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ustomProperty2.bin" ContentType="application/vnd.openxmlformats-officedocument.spreadsheetml.customProperty"/>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ustomProperty3.bin" ContentType="application/vnd.openxmlformats-officedocument.spreadsheetml.customProperty"/>
  <Override PartName="/xl/comments1.xml" ContentType="application/vnd.openxmlformats-officedocument.spreadsheetml.comments+xml"/>
  <Override PartName="/xl/customProperty4.bin" ContentType="application/vnd.openxmlformats-officedocument.spreadsheetml.customProperty"/>
  <Override PartName="/xl/comments2.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ustomProperty7.bin" ContentType="application/vnd.openxmlformats-officedocument.spreadsheetml.customProperty"/>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ustomProperty8.bin" ContentType="application/vnd.openxmlformats-officedocument.spreadsheetml.customProperty"/>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Y:\02. Relación con el Inversionista\01. Resultados Trimestrales\2022\02. 1Q2022\07. Kit de Valoración\"/>
    </mc:Choice>
  </mc:AlternateContent>
  <xr:revisionPtr revIDLastSave="0" documentId="13_ncr:1_{FD0DE286-7776-4AC7-A3E2-8D6B45B3A972}" xr6:coauthVersionLast="47" xr6:coauthVersionMax="47" xr10:uidLastSave="{00000000-0000-0000-0000-000000000000}"/>
  <bookViews>
    <workbookView xWindow="-110" yWindow="-110" windowWidth="19420" windowHeight="10420" tabRatio="866" activeTab="9" xr2:uid="{00000000-000D-0000-FFFF-FFFF00000000}"/>
  </bookViews>
  <sheets>
    <sheet name="ESF GA Consol Q" sheetId="32" r:id="rId1"/>
    <sheet name="ER GA Consol Q" sheetId="33" r:id="rId2"/>
    <sheet name="ESF. GA separado Q" sheetId="344" state="hidden" r:id="rId3"/>
    <sheet name="ESF GA Separado Q " sheetId="376" r:id="rId4"/>
    <sheet name="ER GA separado Q" sheetId="378" r:id="rId5"/>
    <sheet name="INGRESOS" sheetId="181" state="hidden" r:id="rId6"/>
    <sheet name="EBITDA " sheetId="182" state="hidden" r:id="rId7"/>
    <sheet name="UTILIDAD NETA" sheetId="183" state="hidden" r:id="rId8"/>
    <sheet name="EFE GA separado" sheetId="385" r:id="rId9"/>
    <sheet name="EFE GA consolidado" sheetId="387"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 localSheetId="6" hidden="1">{#N/A,#N/A,FALSE,"balance";#N/A,#N/A,FALSE,"PYG"}</definedName>
    <definedName name="__" localSheetId="4" hidden="1">{#N/A,#N/A,FALSE,"balance";#N/A,#N/A,FALSE,"PYG"}</definedName>
    <definedName name="__" localSheetId="3" hidden="1">{#N/A,#N/A,FALSE,"balance";#N/A,#N/A,FALSE,"PYG"}</definedName>
    <definedName name="__" localSheetId="2" hidden="1">{#N/A,#N/A,FALSE,"balance";#N/A,#N/A,FALSE,"PYG"}</definedName>
    <definedName name="__" localSheetId="5" hidden="1">{#N/A,#N/A,FALSE,"balance";#N/A,#N/A,FALSE,"PYG"}</definedName>
    <definedName name="__" localSheetId="7" hidden="1">{#N/A,#N/A,FALSE,"balance";#N/A,#N/A,FALSE,"PYG"}</definedName>
    <definedName name="__" hidden="1">{#N/A,#N/A,FALSE,"balance";#N/A,#N/A,FALSE,"PYG"}</definedName>
    <definedName name="______________________________________________GGF2" localSheetId="4" hidden="1">{#N/A,#N/A,FALSE,"balance";#N/A,#N/A,FALSE,"PYG"}</definedName>
    <definedName name="______________________________________________GGF2" localSheetId="3" hidden="1">{#N/A,#N/A,FALSE,"balance";#N/A,#N/A,FALSE,"PYG"}</definedName>
    <definedName name="______________________________________________GGF2" localSheetId="2" hidden="1">{#N/A,#N/A,FALSE,"balance";#N/A,#N/A,FALSE,"PYG"}</definedName>
    <definedName name="______________________________________________GGF2" hidden="1">{#N/A,#N/A,FALSE,"balance";#N/A,#N/A,FALSE,"PYG"}</definedName>
    <definedName name="______________________________________________OCT2" localSheetId="4" hidden="1">{#N/A,#N/A,FALSE,"BL&amp;GPA";#N/A,#N/A,FALSE,"Summary";#N/A,#N/A,FALSE,"hts"}</definedName>
    <definedName name="______________________________________________OCT2" localSheetId="3" hidden="1">{#N/A,#N/A,FALSE,"BL&amp;GPA";#N/A,#N/A,FALSE,"Summary";#N/A,#N/A,FALSE,"hts"}</definedName>
    <definedName name="______________________________________________OCT2" localSheetId="2" hidden="1">{#N/A,#N/A,FALSE,"BL&amp;GPA";#N/A,#N/A,FALSE,"Summary";#N/A,#N/A,FALSE,"hts"}</definedName>
    <definedName name="______________________________________________OCT2" hidden="1">{#N/A,#N/A,FALSE,"BL&amp;GPA";#N/A,#N/A,FALSE,"Summary";#N/A,#N/A,FALSE,"hts"}</definedName>
    <definedName name="______________________________________________ok1" localSheetId="4" hidden="1">{#N/A,#N/A,FALSE,"balance";#N/A,#N/A,FALSE,"PYG"}</definedName>
    <definedName name="______________________________________________ok1" localSheetId="3" hidden="1">{#N/A,#N/A,FALSE,"balance";#N/A,#N/A,FALSE,"PYG"}</definedName>
    <definedName name="______________________________________________ok1" localSheetId="2" hidden="1">{#N/A,#N/A,FALSE,"balance";#N/A,#N/A,FALSE,"PYG"}</definedName>
    <definedName name="______________________________________________ok1" hidden="1">{#N/A,#N/A,FALSE,"balance";#N/A,#N/A,FALSE,"PYG"}</definedName>
    <definedName name="______________________________________________Ok2" localSheetId="4" hidden="1">{#N/A,#N/A,FALSE,"balance";#N/A,#N/A,FALSE,"PYG"}</definedName>
    <definedName name="______________________________________________Ok2" localSheetId="3" hidden="1">{#N/A,#N/A,FALSE,"balance";#N/A,#N/A,FALSE,"PYG"}</definedName>
    <definedName name="______________________________________________Ok2" localSheetId="2" hidden="1">{#N/A,#N/A,FALSE,"balance";#N/A,#N/A,FALSE,"PYG"}</definedName>
    <definedName name="______________________________________________Ok2" hidden="1">{#N/A,#N/A,FALSE,"balance";#N/A,#N/A,FALSE,"PYG"}</definedName>
    <definedName name="______________________________________________PyG2" localSheetId="4" hidden="1">{#N/A,#N/A,FALSE,"balance";#N/A,#N/A,FALSE,"PYG"}</definedName>
    <definedName name="______________________________________________PyG2" localSheetId="3" hidden="1">{#N/A,#N/A,FALSE,"balance";#N/A,#N/A,FALSE,"PYG"}</definedName>
    <definedName name="______________________________________________PyG2" localSheetId="2" hidden="1">{#N/A,#N/A,FALSE,"balance";#N/A,#N/A,FALSE,"PYG"}</definedName>
    <definedName name="______________________________________________PyG2" hidden="1">{#N/A,#N/A,FALSE,"balance";#N/A,#N/A,FALSE,"PYG"}</definedName>
    <definedName name="______________________________________________PYG3" localSheetId="4" hidden="1">{#N/A,#N/A,FALSE,"balance";#N/A,#N/A,FALSE,"PYG"}</definedName>
    <definedName name="______________________________________________PYG3" localSheetId="3" hidden="1">{#N/A,#N/A,FALSE,"balance";#N/A,#N/A,FALSE,"PYG"}</definedName>
    <definedName name="______________________________________________PYG3" localSheetId="2" hidden="1">{#N/A,#N/A,FALSE,"balance";#N/A,#N/A,FALSE,"PYG"}</definedName>
    <definedName name="______________________________________________PYG3" hidden="1">{#N/A,#N/A,FALSE,"balance";#N/A,#N/A,FALSE,"PYG"}</definedName>
    <definedName name="______________________________________________PyG33" localSheetId="4" hidden="1">{#N/A,#N/A,FALSE,"balance";#N/A,#N/A,FALSE,"PYG"}</definedName>
    <definedName name="______________________________________________PyG33" localSheetId="3" hidden="1">{#N/A,#N/A,FALSE,"balance";#N/A,#N/A,FALSE,"PYG"}</definedName>
    <definedName name="______________________________________________PyG33" localSheetId="2" hidden="1">{#N/A,#N/A,FALSE,"balance";#N/A,#N/A,FALSE,"PYG"}</definedName>
    <definedName name="______________________________________________PyG33" hidden="1">{#N/A,#N/A,FALSE,"balance";#N/A,#N/A,FALSE,"PYG"}</definedName>
    <definedName name="_____________________________________________GGF2" localSheetId="4" hidden="1">{#N/A,#N/A,FALSE,"balance";#N/A,#N/A,FALSE,"PYG"}</definedName>
    <definedName name="_____________________________________________GGF2" localSheetId="3" hidden="1">{#N/A,#N/A,FALSE,"balance";#N/A,#N/A,FALSE,"PYG"}</definedName>
    <definedName name="_____________________________________________GGF2" localSheetId="2" hidden="1">{#N/A,#N/A,FALSE,"balance";#N/A,#N/A,FALSE,"PYG"}</definedName>
    <definedName name="_____________________________________________GGF2" hidden="1">{#N/A,#N/A,FALSE,"balance";#N/A,#N/A,FALSE,"PYG"}</definedName>
    <definedName name="_____________________________________________OCT2" localSheetId="4" hidden="1">{#N/A,#N/A,FALSE,"BL&amp;GPA";#N/A,#N/A,FALSE,"Summary";#N/A,#N/A,FALSE,"hts"}</definedName>
    <definedName name="_____________________________________________OCT2" localSheetId="3" hidden="1">{#N/A,#N/A,FALSE,"BL&amp;GPA";#N/A,#N/A,FALSE,"Summary";#N/A,#N/A,FALSE,"hts"}</definedName>
    <definedName name="_____________________________________________OCT2" localSheetId="2" hidden="1">{#N/A,#N/A,FALSE,"BL&amp;GPA";#N/A,#N/A,FALSE,"Summary";#N/A,#N/A,FALSE,"hts"}</definedName>
    <definedName name="_____________________________________________OCT2" hidden="1">{#N/A,#N/A,FALSE,"BL&amp;GPA";#N/A,#N/A,FALSE,"Summary";#N/A,#N/A,FALSE,"hts"}</definedName>
    <definedName name="_____________________________________________ok1" localSheetId="4" hidden="1">{#N/A,#N/A,FALSE,"balance";#N/A,#N/A,FALSE,"PYG"}</definedName>
    <definedName name="_____________________________________________ok1" localSheetId="3" hidden="1">{#N/A,#N/A,FALSE,"balance";#N/A,#N/A,FALSE,"PYG"}</definedName>
    <definedName name="_____________________________________________ok1" localSheetId="2" hidden="1">{#N/A,#N/A,FALSE,"balance";#N/A,#N/A,FALSE,"PYG"}</definedName>
    <definedName name="_____________________________________________ok1" hidden="1">{#N/A,#N/A,FALSE,"balance";#N/A,#N/A,FALSE,"PYG"}</definedName>
    <definedName name="_____________________________________________Ok2" localSheetId="4" hidden="1">{#N/A,#N/A,FALSE,"balance";#N/A,#N/A,FALSE,"PYG"}</definedName>
    <definedName name="_____________________________________________Ok2" localSheetId="3" hidden="1">{#N/A,#N/A,FALSE,"balance";#N/A,#N/A,FALSE,"PYG"}</definedName>
    <definedName name="_____________________________________________Ok2" localSheetId="2" hidden="1">{#N/A,#N/A,FALSE,"balance";#N/A,#N/A,FALSE,"PYG"}</definedName>
    <definedName name="_____________________________________________Ok2" hidden="1">{#N/A,#N/A,FALSE,"balance";#N/A,#N/A,FALSE,"PYG"}</definedName>
    <definedName name="_____________________________________________PyG2" localSheetId="4" hidden="1">{#N/A,#N/A,FALSE,"balance";#N/A,#N/A,FALSE,"PYG"}</definedName>
    <definedName name="_____________________________________________PyG2" localSheetId="3" hidden="1">{#N/A,#N/A,FALSE,"balance";#N/A,#N/A,FALSE,"PYG"}</definedName>
    <definedName name="_____________________________________________PyG2" localSheetId="2" hidden="1">{#N/A,#N/A,FALSE,"balance";#N/A,#N/A,FALSE,"PYG"}</definedName>
    <definedName name="_____________________________________________PyG2" hidden="1">{#N/A,#N/A,FALSE,"balance";#N/A,#N/A,FALSE,"PYG"}</definedName>
    <definedName name="_____________________________________________PYG3" localSheetId="4" hidden="1">{#N/A,#N/A,FALSE,"balance";#N/A,#N/A,FALSE,"PYG"}</definedName>
    <definedName name="_____________________________________________PYG3" localSheetId="3" hidden="1">{#N/A,#N/A,FALSE,"balance";#N/A,#N/A,FALSE,"PYG"}</definedName>
    <definedName name="_____________________________________________PYG3" localSheetId="2" hidden="1">{#N/A,#N/A,FALSE,"balance";#N/A,#N/A,FALSE,"PYG"}</definedName>
    <definedName name="_____________________________________________PYG3" hidden="1">{#N/A,#N/A,FALSE,"balance";#N/A,#N/A,FALSE,"PYG"}</definedName>
    <definedName name="_____________________________________________PyG33" localSheetId="4" hidden="1">{#N/A,#N/A,FALSE,"balance";#N/A,#N/A,FALSE,"PYG"}</definedName>
    <definedName name="_____________________________________________PyG33" localSheetId="3" hidden="1">{#N/A,#N/A,FALSE,"balance";#N/A,#N/A,FALSE,"PYG"}</definedName>
    <definedName name="_____________________________________________PyG33" localSheetId="2" hidden="1">{#N/A,#N/A,FALSE,"balance";#N/A,#N/A,FALSE,"PYG"}</definedName>
    <definedName name="_____________________________________________PyG33" hidden="1">{#N/A,#N/A,FALSE,"balance";#N/A,#N/A,FALSE,"PYG"}</definedName>
    <definedName name="____________________________________________GGF2" localSheetId="4" hidden="1">{#N/A,#N/A,FALSE,"balance";#N/A,#N/A,FALSE,"PYG"}</definedName>
    <definedName name="____________________________________________GGF2" localSheetId="3" hidden="1">{#N/A,#N/A,FALSE,"balance";#N/A,#N/A,FALSE,"PYG"}</definedName>
    <definedName name="____________________________________________GGF2" localSheetId="2" hidden="1">{#N/A,#N/A,FALSE,"balance";#N/A,#N/A,FALSE,"PYG"}</definedName>
    <definedName name="____________________________________________GGF2" hidden="1">{#N/A,#N/A,FALSE,"balance";#N/A,#N/A,FALSE,"PYG"}</definedName>
    <definedName name="____________________________________________OCT2" localSheetId="4" hidden="1">{#N/A,#N/A,FALSE,"BL&amp;GPA";#N/A,#N/A,FALSE,"Summary";#N/A,#N/A,FALSE,"hts"}</definedName>
    <definedName name="____________________________________________OCT2" localSheetId="3" hidden="1">{#N/A,#N/A,FALSE,"BL&amp;GPA";#N/A,#N/A,FALSE,"Summary";#N/A,#N/A,FALSE,"hts"}</definedName>
    <definedName name="____________________________________________OCT2" localSheetId="2" hidden="1">{#N/A,#N/A,FALSE,"BL&amp;GPA";#N/A,#N/A,FALSE,"Summary";#N/A,#N/A,FALSE,"hts"}</definedName>
    <definedName name="____________________________________________OCT2" hidden="1">{#N/A,#N/A,FALSE,"BL&amp;GPA";#N/A,#N/A,FALSE,"Summary";#N/A,#N/A,FALSE,"hts"}</definedName>
    <definedName name="____________________________________________ok1" localSheetId="4" hidden="1">{#N/A,#N/A,FALSE,"balance";#N/A,#N/A,FALSE,"PYG"}</definedName>
    <definedName name="____________________________________________ok1" localSheetId="3" hidden="1">{#N/A,#N/A,FALSE,"balance";#N/A,#N/A,FALSE,"PYG"}</definedName>
    <definedName name="____________________________________________ok1" localSheetId="2" hidden="1">{#N/A,#N/A,FALSE,"balance";#N/A,#N/A,FALSE,"PYG"}</definedName>
    <definedName name="____________________________________________ok1" hidden="1">{#N/A,#N/A,FALSE,"balance";#N/A,#N/A,FALSE,"PYG"}</definedName>
    <definedName name="____________________________________________Ok2" localSheetId="4" hidden="1">{#N/A,#N/A,FALSE,"balance";#N/A,#N/A,FALSE,"PYG"}</definedName>
    <definedName name="____________________________________________Ok2" localSheetId="3" hidden="1">{#N/A,#N/A,FALSE,"balance";#N/A,#N/A,FALSE,"PYG"}</definedName>
    <definedName name="____________________________________________Ok2" localSheetId="2" hidden="1">{#N/A,#N/A,FALSE,"balance";#N/A,#N/A,FALSE,"PYG"}</definedName>
    <definedName name="____________________________________________Ok2" hidden="1">{#N/A,#N/A,FALSE,"balance";#N/A,#N/A,FALSE,"PYG"}</definedName>
    <definedName name="____________________________________________PyG2" localSheetId="4" hidden="1">{#N/A,#N/A,FALSE,"balance";#N/A,#N/A,FALSE,"PYG"}</definedName>
    <definedName name="____________________________________________PyG2" localSheetId="3" hidden="1">{#N/A,#N/A,FALSE,"balance";#N/A,#N/A,FALSE,"PYG"}</definedName>
    <definedName name="____________________________________________PyG2" localSheetId="2" hidden="1">{#N/A,#N/A,FALSE,"balance";#N/A,#N/A,FALSE,"PYG"}</definedName>
    <definedName name="____________________________________________PyG2" hidden="1">{#N/A,#N/A,FALSE,"balance";#N/A,#N/A,FALSE,"PYG"}</definedName>
    <definedName name="____________________________________________PYG3" localSheetId="4" hidden="1">{#N/A,#N/A,FALSE,"balance";#N/A,#N/A,FALSE,"PYG"}</definedName>
    <definedName name="____________________________________________PYG3" localSheetId="3" hidden="1">{#N/A,#N/A,FALSE,"balance";#N/A,#N/A,FALSE,"PYG"}</definedName>
    <definedName name="____________________________________________PYG3" localSheetId="2" hidden="1">{#N/A,#N/A,FALSE,"balance";#N/A,#N/A,FALSE,"PYG"}</definedName>
    <definedName name="____________________________________________PYG3" hidden="1">{#N/A,#N/A,FALSE,"balance";#N/A,#N/A,FALSE,"PYG"}</definedName>
    <definedName name="____________________________________________PyG33" localSheetId="4" hidden="1">{#N/A,#N/A,FALSE,"balance";#N/A,#N/A,FALSE,"PYG"}</definedName>
    <definedName name="____________________________________________PyG33" localSheetId="3" hidden="1">{#N/A,#N/A,FALSE,"balance";#N/A,#N/A,FALSE,"PYG"}</definedName>
    <definedName name="____________________________________________PyG33" localSheetId="2" hidden="1">{#N/A,#N/A,FALSE,"balance";#N/A,#N/A,FALSE,"PYG"}</definedName>
    <definedName name="____________________________________________PyG33" hidden="1">{#N/A,#N/A,FALSE,"balance";#N/A,#N/A,FALSE,"PYG"}</definedName>
    <definedName name="___________________________________________GGF2" localSheetId="4" hidden="1">{#N/A,#N/A,FALSE,"balance";#N/A,#N/A,FALSE,"PYG"}</definedName>
    <definedName name="___________________________________________GGF2" localSheetId="3" hidden="1">{#N/A,#N/A,FALSE,"balance";#N/A,#N/A,FALSE,"PYG"}</definedName>
    <definedName name="___________________________________________GGF2" localSheetId="2" hidden="1">{#N/A,#N/A,FALSE,"balance";#N/A,#N/A,FALSE,"PYG"}</definedName>
    <definedName name="___________________________________________GGF2" hidden="1">{#N/A,#N/A,FALSE,"balance";#N/A,#N/A,FALSE,"PYG"}</definedName>
    <definedName name="___________________________________________OCT2" localSheetId="4" hidden="1">{#N/A,#N/A,FALSE,"BL&amp;GPA";#N/A,#N/A,FALSE,"Summary";#N/A,#N/A,FALSE,"hts"}</definedName>
    <definedName name="___________________________________________OCT2" localSheetId="3" hidden="1">{#N/A,#N/A,FALSE,"BL&amp;GPA";#N/A,#N/A,FALSE,"Summary";#N/A,#N/A,FALSE,"hts"}</definedName>
    <definedName name="___________________________________________OCT2" localSheetId="2" hidden="1">{#N/A,#N/A,FALSE,"BL&amp;GPA";#N/A,#N/A,FALSE,"Summary";#N/A,#N/A,FALSE,"hts"}</definedName>
    <definedName name="___________________________________________OCT2" hidden="1">{#N/A,#N/A,FALSE,"BL&amp;GPA";#N/A,#N/A,FALSE,"Summary";#N/A,#N/A,FALSE,"hts"}</definedName>
    <definedName name="___________________________________________ok1" localSheetId="4" hidden="1">{#N/A,#N/A,FALSE,"balance";#N/A,#N/A,FALSE,"PYG"}</definedName>
    <definedName name="___________________________________________ok1" localSheetId="3" hidden="1">{#N/A,#N/A,FALSE,"balance";#N/A,#N/A,FALSE,"PYG"}</definedName>
    <definedName name="___________________________________________ok1" localSheetId="2" hidden="1">{#N/A,#N/A,FALSE,"balance";#N/A,#N/A,FALSE,"PYG"}</definedName>
    <definedName name="___________________________________________ok1" hidden="1">{#N/A,#N/A,FALSE,"balance";#N/A,#N/A,FALSE,"PYG"}</definedName>
    <definedName name="___________________________________________Ok2" localSheetId="4" hidden="1">{#N/A,#N/A,FALSE,"balance";#N/A,#N/A,FALSE,"PYG"}</definedName>
    <definedName name="___________________________________________Ok2" localSheetId="3" hidden="1">{#N/A,#N/A,FALSE,"balance";#N/A,#N/A,FALSE,"PYG"}</definedName>
    <definedName name="___________________________________________Ok2" localSheetId="2" hidden="1">{#N/A,#N/A,FALSE,"balance";#N/A,#N/A,FALSE,"PYG"}</definedName>
    <definedName name="___________________________________________Ok2" hidden="1">{#N/A,#N/A,FALSE,"balance";#N/A,#N/A,FALSE,"PYG"}</definedName>
    <definedName name="___________________________________________PyG2" localSheetId="4" hidden="1">{#N/A,#N/A,FALSE,"balance";#N/A,#N/A,FALSE,"PYG"}</definedName>
    <definedName name="___________________________________________PyG2" localSheetId="3" hidden="1">{#N/A,#N/A,FALSE,"balance";#N/A,#N/A,FALSE,"PYG"}</definedName>
    <definedName name="___________________________________________PyG2" localSheetId="2" hidden="1">{#N/A,#N/A,FALSE,"balance";#N/A,#N/A,FALSE,"PYG"}</definedName>
    <definedName name="___________________________________________PyG2" hidden="1">{#N/A,#N/A,FALSE,"balance";#N/A,#N/A,FALSE,"PYG"}</definedName>
    <definedName name="___________________________________________PYG3" localSheetId="4" hidden="1">{#N/A,#N/A,FALSE,"balance";#N/A,#N/A,FALSE,"PYG"}</definedName>
    <definedName name="___________________________________________PYG3" localSheetId="3" hidden="1">{#N/A,#N/A,FALSE,"balance";#N/A,#N/A,FALSE,"PYG"}</definedName>
    <definedName name="___________________________________________PYG3" localSheetId="2" hidden="1">{#N/A,#N/A,FALSE,"balance";#N/A,#N/A,FALSE,"PYG"}</definedName>
    <definedName name="___________________________________________PYG3" hidden="1">{#N/A,#N/A,FALSE,"balance";#N/A,#N/A,FALSE,"PYG"}</definedName>
    <definedName name="___________________________________________PyG33" localSheetId="4" hidden="1">{#N/A,#N/A,FALSE,"balance";#N/A,#N/A,FALSE,"PYG"}</definedName>
    <definedName name="___________________________________________PyG33" localSheetId="3" hidden="1">{#N/A,#N/A,FALSE,"balance";#N/A,#N/A,FALSE,"PYG"}</definedName>
    <definedName name="___________________________________________PyG33" localSheetId="2" hidden="1">{#N/A,#N/A,FALSE,"balance";#N/A,#N/A,FALSE,"PYG"}</definedName>
    <definedName name="___________________________________________PyG33" hidden="1">{#N/A,#N/A,FALSE,"balance";#N/A,#N/A,FALSE,"PYG"}</definedName>
    <definedName name="__________________________________________GGF2" localSheetId="4" hidden="1">{#N/A,#N/A,FALSE,"balance";#N/A,#N/A,FALSE,"PYG"}</definedName>
    <definedName name="__________________________________________GGF2" localSheetId="3" hidden="1">{#N/A,#N/A,FALSE,"balance";#N/A,#N/A,FALSE,"PYG"}</definedName>
    <definedName name="__________________________________________GGF2" localSheetId="2" hidden="1">{#N/A,#N/A,FALSE,"balance";#N/A,#N/A,FALSE,"PYG"}</definedName>
    <definedName name="__________________________________________GGF2" hidden="1">{#N/A,#N/A,FALSE,"balance";#N/A,#N/A,FALSE,"PYG"}</definedName>
    <definedName name="__________________________________________OCT2" localSheetId="4" hidden="1">{#N/A,#N/A,FALSE,"BL&amp;GPA";#N/A,#N/A,FALSE,"Summary";#N/A,#N/A,FALSE,"hts"}</definedName>
    <definedName name="__________________________________________OCT2" localSheetId="3" hidden="1">{#N/A,#N/A,FALSE,"BL&amp;GPA";#N/A,#N/A,FALSE,"Summary";#N/A,#N/A,FALSE,"hts"}</definedName>
    <definedName name="__________________________________________OCT2" localSheetId="2" hidden="1">{#N/A,#N/A,FALSE,"BL&amp;GPA";#N/A,#N/A,FALSE,"Summary";#N/A,#N/A,FALSE,"hts"}</definedName>
    <definedName name="__________________________________________OCT2" hidden="1">{#N/A,#N/A,FALSE,"BL&amp;GPA";#N/A,#N/A,FALSE,"Summary";#N/A,#N/A,FALSE,"hts"}</definedName>
    <definedName name="__________________________________________ok1" localSheetId="4" hidden="1">{#N/A,#N/A,FALSE,"balance";#N/A,#N/A,FALSE,"PYG"}</definedName>
    <definedName name="__________________________________________ok1" localSheetId="3" hidden="1">{#N/A,#N/A,FALSE,"balance";#N/A,#N/A,FALSE,"PYG"}</definedName>
    <definedName name="__________________________________________ok1" localSheetId="2" hidden="1">{#N/A,#N/A,FALSE,"balance";#N/A,#N/A,FALSE,"PYG"}</definedName>
    <definedName name="__________________________________________ok1" hidden="1">{#N/A,#N/A,FALSE,"balance";#N/A,#N/A,FALSE,"PYG"}</definedName>
    <definedName name="__________________________________________Ok2" localSheetId="4" hidden="1">{#N/A,#N/A,FALSE,"balance";#N/A,#N/A,FALSE,"PYG"}</definedName>
    <definedName name="__________________________________________Ok2" localSheetId="3" hidden="1">{#N/A,#N/A,FALSE,"balance";#N/A,#N/A,FALSE,"PYG"}</definedName>
    <definedName name="__________________________________________Ok2" localSheetId="2" hidden="1">{#N/A,#N/A,FALSE,"balance";#N/A,#N/A,FALSE,"PYG"}</definedName>
    <definedName name="__________________________________________Ok2" hidden="1">{#N/A,#N/A,FALSE,"balance";#N/A,#N/A,FALSE,"PYG"}</definedName>
    <definedName name="__________________________________________PyG2" localSheetId="4" hidden="1">{#N/A,#N/A,FALSE,"balance";#N/A,#N/A,FALSE,"PYG"}</definedName>
    <definedName name="__________________________________________PyG2" localSheetId="3" hidden="1">{#N/A,#N/A,FALSE,"balance";#N/A,#N/A,FALSE,"PYG"}</definedName>
    <definedName name="__________________________________________PyG2" localSheetId="2" hidden="1">{#N/A,#N/A,FALSE,"balance";#N/A,#N/A,FALSE,"PYG"}</definedName>
    <definedName name="__________________________________________PyG2" hidden="1">{#N/A,#N/A,FALSE,"balance";#N/A,#N/A,FALSE,"PYG"}</definedName>
    <definedName name="__________________________________________PYG3" localSheetId="4" hidden="1">{#N/A,#N/A,FALSE,"balance";#N/A,#N/A,FALSE,"PYG"}</definedName>
    <definedName name="__________________________________________PYG3" localSheetId="3" hidden="1">{#N/A,#N/A,FALSE,"balance";#N/A,#N/A,FALSE,"PYG"}</definedName>
    <definedName name="__________________________________________PYG3" localSheetId="2" hidden="1">{#N/A,#N/A,FALSE,"balance";#N/A,#N/A,FALSE,"PYG"}</definedName>
    <definedName name="__________________________________________PYG3" hidden="1">{#N/A,#N/A,FALSE,"balance";#N/A,#N/A,FALSE,"PYG"}</definedName>
    <definedName name="__________________________________________PyG33" localSheetId="4" hidden="1">{#N/A,#N/A,FALSE,"balance";#N/A,#N/A,FALSE,"PYG"}</definedName>
    <definedName name="__________________________________________PyG33" localSheetId="3" hidden="1">{#N/A,#N/A,FALSE,"balance";#N/A,#N/A,FALSE,"PYG"}</definedName>
    <definedName name="__________________________________________PyG33" localSheetId="2" hidden="1">{#N/A,#N/A,FALSE,"balance";#N/A,#N/A,FALSE,"PYG"}</definedName>
    <definedName name="__________________________________________PyG33" hidden="1">{#N/A,#N/A,FALSE,"balance";#N/A,#N/A,FALSE,"PYG"}</definedName>
    <definedName name="_________________________________________GGF2" localSheetId="4" hidden="1">{#N/A,#N/A,FALSE,"balance";#N/A,#N/A,FALSE,"PYG"}</definedName>
    <definedName name="_________________________________________GGF2" localSheetId="3" hidden="1">{#N/A,#N/A,FALSE,"balance";#N/A,#N/A,FALSE,"PYG"}</definedName>
    <definedName name="_________________________________________GGF2" localSheetId="2" hidden="1">{#N/A,#N/A,FALSE,"balance";#N/A,#N/A,FALSE,"PYG"}</definedName>
    <definedName name="_________________________________________GGF2" hidden="1">{#N/A,#N/A,FALSE,"balance";#N/A,#N/A,FALSE,"PYG"}</definedName>
    <definedName name="_________________________________________OCT2" localSheetId="4" hidden="1">{#N/A,#N/A,FALSE,"BL&amp;GPA";#N/A,#N/A,FALSE,"Summary";#N/A,#N/A,FALSE,"hts"}</definedName>
    <definedName name="_________________________________________OCT2" localSheetId="3" hidden="1">{#N/A,#N/A,FALSE,"BL&amp;GPA";#N/A,#N/A,FALSE,"Summary";#N/A,#N/A,FALSE,"hts"}</definedName>
    <definedName name="_________________________________________OCT2" localSheetId="2" hidden="1">{#N/A,#N/A,FALSE,"BL&amp;GPA";#N/A,#N/A,FALSE,"Summary";#N/A,#N/A,FALSE,"hts"}</definedName>
    <definedName name="_________________________________________OCT2" hidden="1">{#N/A,#N/A,FALSE,"BL&amp;GPA";#N/A,#N/A,FALSE,"Summary";#N/A,#N/A,FALSE,"hts"}</definedName>
    <definedName name="_________________________________________ok1" localSheetId="4" hidden="1">{#N/A,#N/A,FALSE,"balance";#N/A,#N/A,FALSE,"PYG"}</definedName>
    <definedName name="_________________________________________ok1" localSheetId="3" hidden="1">{#N/A,#N/A,FALSE,"balance";#N/A,#N/A,FALSE,"PYG"}</definedName>
    <definedName name="_________________________________________ok1" localSheetId="2" hidden="1">{#N/A,#N/A,FALSE,"balance";#N/A,#N/A,FALSE,"PYG"}</definedName>
    <definedName name="_________________________________________ok1" hidden="1">{#N/A,#N/A,FALSE,"balance";#N/A,#N/A,FALSE,"PYG"}</definedName>
    <definedName name="_________________________________________Ok2" localSheetId="4" hidden="1">{#N/A,#N/A,FALSE,"balance";#N/A,#N/A,FALSE,"PYG"}</definedName>
    <definedName name="_________________________________________Ok2" localSheetId="3" hidden="1">{#N/A,#N/A,FALSE,"balance";#N/A,#N/A,FALSE,"PYG"}</definedName>
    <definedName name="_________________________________________Ok2" localSheetId="2" hidden="1">{#N/A,#N/A,FALSE,"balance";#N/A,#N/A,FALSE,"PYG"}</definedName>
    <definedName name="_________________________________________Ok2" hidden="1">{#N/A,#N/A,FALSE,"balance";#N/A,#N/A,FALSE,"PYG"}</definedName>
    <definedName name="_________________________________________PyG2" localSheetId="4" hidden="1">{#N/A,#N/A,FALSE,"balance";#N/A,#N/A,FALSE,"PYG"}</definedName>
    <definedName name="_________________________________________PyG2" localSheetId="3" hidden="1">{#N/A,#N/A,FALSE,"balance";#N/A,#N/A,FALSE,"PYG"}</definedName>
    <definedName name="_________________________________________PyG2" localSheetId="2" hidden="1">{#N/A,#N/A,FALSE,"balance";#N/A,#N/A,FALSE,"PYG"}</definedName>
    <definedName name="_________________________________________PyG2" hidden="1">{#N/A,#N/A,FALSE,"balance";#N/A,#N/A,FALSE,"PYG"}</definedName>
    <definedName name="_________________________________________PYG3" localSheetId="4" hidden="1">{#N/A,#N/A,FALSE,"balance";#N/A,#N/A,FALSE,"PYG"}</definedName>
    <definedName name="_________________________________________PYG3" localSheetId="3" hidden="1">{#N/A,#N/A,FALSE,"balance";#N/A,#N/A,FALSE,"PYG"}</definedName>
    <definedName name="_________________________________________PYG3" localSheetId="2" hidden="1">{#N/A,#N/A,FALSE,"balance";#N/A,#N/A,FALSE,"PYG"}</definedName>
    <definedName name="_________________________________________PYG3" hidden="1">{#N/A,#N/A,FALSE,"balance";#N/A,#N/A,FALSE,"PYG"}</definedName>
    <definedName name="_________________________________________PyG33" localSheetId="4" hidden="1">{#N/A,#N/A,FALSE,"balance";#N/A,#N/A,FALSE,"PYG"}</definedName>
    <definedName name="_________________________________________PyG33" localSheetId="3" hidden="1">{#N/A,#N/A,FALSE,"balance";#N/A,#N/A,FALSE,"PYG"}</definedName>
    <definedName name="_________________________________________PyG33" localSheetId="2" hidden="1">{#N/A,#N/A,FALSE,"balance";#N/A,#N/A,FALSE,"PYG"}</definedName>
    <definedName name="_________________________________________PyG33" hidden="1">{#N/A,#N/A,FALSE,"balance";#N/A,#N/A,FALSE,"PYG"}</definedName>
    <definedName name="________________________________________GGF2" localSheetId="4" hidden="1">{#N/A,#N/A,FALSE,"balance";#N/A,#N/A,FALSE,"PYG"}</definedName>
    <definedName name="________________________________________GGF2" localSheetId="3" hidden="1">{#N/A,#N/A,FALSE,"balance";#N/A,#N/A,FALSE,"PYG"}</definedName>
    <definedName name="________________________________________GGF2" localSheetId="2" hidden="1">{#N/A,#N/A,FALSE,"balance";#N/A,#N/A,FALSE,"PYG"}</definedName>
    <definedName name="________________________________________GGF2" hidden="1">{#N/A,#N/A,FALSE,"balance";#N/A,#N/A,FALSE,"PYG"}</definedName>
    <definedName name="________________________________________OCT2" localSheetId="4" hidden="1">{#N/A,#N/A,FALSE,"BL&amp;GPA";#N/A,#N/A,FALSE,"Summary";#N/A,#N/A,FALSE,"hts"}</definedName>
    <definedName name="________________________________________OCT2" localSheetId="3" hidden="1">{#N/A,#N/A,FALSE,"BL&amp;GPA";#N/A,#N/A,FALSE,"Summary";#N/A,#N/A,FALSE,"hts"}</definedName>
    <definedName name="________________________________________OCT2" localSheetId="2" hidden="1">{#N/A,#N/A,FALSE,"BL&amp;GPA";#N/A,#N/A,FALSE,"Summary";#N/A,#N/A,FALSE,"hts"}</definedName>
    <definedName name="________________________________________OCT2" hidden="1">{#N/A,#N/A,FALSE,"BL&amp;GPA";#N/A,#N/A,FALSE,"Summary";#N/A,#N/A,FALSE,"hts"}</definedName>
    <definedName name="________________________________________ok1" localSheetId="4" hidden="1">{#N/A,#N/A,FALSE,"balance";#N/A,#N/A,FALSE,"PYG"}</definedName>
    <definedName name="________________________________________ok1" localSheetId="3" hidden="1">{#N/A,#N/A,FALSE,"balance";#N/A,#N/A,FALSE,"PYG"}</definedName>
    <definedName name="________________________________________ok1" localSheetId="2" hidden="1">{#N/A,#N/A,FALSE,"balance";#N/A,#N/A,FALSE,"PYG"}</definedName>
    <definedName name="________________________________________ok1" hidden="1">{#N/A,#N/A,FALSE,"balance";#N/A,#N/A,FALSE,"PYG"}</definedName>
    <definedName name="________________________________________Ok2" localSheetId="4" hidden="1">{#N/A,#N/A,FALSE,"balance";#N/A,#N/A,FALSE,"PYG"}</definedName>
    <definedName name="________________________________________Ok2" localSheetId="3" hidden="1">{#N/A,#N/A,FALSE,"balance";#N/A,#N/A,FALSE,"PYG"}</definedName>
    <definedName name="________________________________________Ok2" localSheetId="2" hidden="1">{#N/A,#N/A,FALSE,"balance";#N/A,#N/A,FALSE,"PYG"}</definedName>
    <definedName name="________________________________________Ok2" hidden="1">{#N/A,#N/A,FALSE,"balance";#N/A,#N/A,FALSE,"PYG"}</definedName>
    <definedName name="________________________________________PyG2" localSheetId="4" hidden="1">{#N/A,#N/A,FALSE,"balance";#N/A,#N/A,FALSE,"PYG"}</definedName>
    <definedName name="________________________________________PyG2" localSheetId="3" hidden="1">{#N/A,#N/A,FALSE,"balance";#N/A,#N/A,FALSE,"PYG"}</definedName>
    <definedName name="________________________________________PyG2" localSheetId="2" hidden="1">{#N/A,#N/A,FALSE,"balance";#N/A,#N/A,FALSE,"PYG"}</definedName>
    <definedName name="________________________________________PyG2" hidden="1">{#N/A,#N/A,FALSE,"balance";#N/A,#N/A,FALSE,"PYG"}</definedName>
    <definedName name="________________________________________PYG3" localSheetId="4" hidden="1">{#N/A,#N/A,FALSE,"balance";#N/A,#N/A,FALSE,"PYG"}</definedName>
    <definedName name="________________________________________PYG3" localSheetId="3" hidden="1">{#N/A,#N/A,FALSE,"balance";#N/A,#N/A,FALSE,"PYG"}</definedName>
    <definedName name="________________________________________PYG3" localSheetId="2" hidden="1">{#N/A,#N/A,FALSE,"balance";#N/A,#N/A,FALSE,"PYG"}</definedName>
    <definedName name="________________________________________PYG3" hidden="1">{#N/A,#N/A,FALSE,"balance";#N/A,#N/A,FALSE,"PYG"}</definedName>
    <definedName name="________________________________________PyG33" localSheetId="4" hidden="1">{#N/A,#N/A,FALSE,"balance";#N/A,#N/A,FALSE,"PYG"}</definedName>
    <definedName name="________________________________________PyG33" localSheetId="3" hidden="1">{#N/A,#N/A,FALSE,"balance";#N/A,#N/A,FALSE,"PYG"}</definedName>
    <definedName name="________________________________________PyG33" localSheetId="2" hidden="1">{#N/A,#N/A,FALSE,"balance";#N/A,#N/A,FALSE,"PYG"}</definedName>
    <definedName name="________________________________________PyG33" hidden="1">{#N/A,#N/A,FALSE,"balance";#N/A,#N/A,FALSE,"PYG"}</definedName>
    <definedName name="_______________________________________GGF2" localSheetId="4" hidden="1">{#N/A,#N/A,FALSE,"balance";#N/A,#N/A,FALSE,"PYG"}</definedName>
    <definedName name="_______________________________________GGF2" localSheetId="3" hidden="1">{#N/A,#N/A,FALSE,"balance";#N/A,#N/A,FALSE,"PYG"}</definedName>
    <definedName name="_______________________________________GGF2" localSheetId="2" hidden="1">{#N/A,#N/A,FALSE,"balance";#N/A,#N/A,FALSE,"PYG"}</definedName>
    <definedName name="_______________________________________GGF2" hidden="1">{#N/A,#N/A,FALSE,"balance";#N/A,#N/A,FALSE,"PYG"}</definedName>
    <definedName name="_______________________________________OCT2" localSheetId="4" hidden="1">{#N/A,#N/A,FALSE,"BL&amp;GPA";#N/A,#N/A,FALSE,"Summary";#N/A,#N/A,FALSE,"hts"}</definedName>
    <definedName name="_______________________________________OCT2" localSheetId="3" hidden="1">{#N/A,#N/A,FALSE,"BL&amp;GPA";#N/A,#N/A,FALSE,"Summary";#N/A,#N/A,FALSE,"hts"}</definedName>
    <definedName name="_______________________________________OCT2" localSheetId="2" hidden="1">{#N/A,#N/A,FALSE,"BL&amp;GPA";#N/A,#N/A,FALSE,"Summary";#N/A,#N/A,FALSE,"hts"}</definedName>
    <definedName name="_______________________________________OCT2" hidden="1">{#N/A,#N/A,FALSE,"BL&amp;GPA";#N/A,#N/A,FALSE,"Summary";#N/A,#N/A,FALSE,"hts"}</definedName>
    <definedName name="_______________________________________ok1" localSheetId="4" hidden="1">{#N/A,#N/A,FALSE,"balance";#N/A,#N/A,FALSE,"PYG"}</definedName>
    <definedName name="_______________________________________ok1" localSheetId="3" hidden="1">{#N/A,#N/A,FALSE,"balance";#N/A,#N/A,FALSE,"PYG"}</definedName>
    <definedName name="_______________________________________ok1" localSheetId="2" hidden="1">{#N/A,#N/A,FALSE,"balance";#N/A,#N/A,FALSE,"PYG"}</definedName>
    <definedName name="_______________________________________ok1" hidden="1">{#N/A,#N/A,FALSE,"balance";#N/A,#N/A,FALSE,"PYG"}</definedName>
    <definedName name="_______________________________________Ok2" localSheetId="4" hidden="1">{#N/A,#N/A,FALSE,"balance";#N/A,#N/A,FALSE,"PYG"}</definedName>
    <definedName name="_______________________________________Ok2" localSheetId="3" hidden="1">{#N/A,#N/A,FALSE,"balance";#N/A,#N/A,FALSE,"PYG"}</definedName>
    <definedName name="_______________________________________Ok2" localSheetId="2" hidden="1">{#N/A,#N/A,FALSE,"balance";#N/A,#N/A,FALSE,"PYG"}</definedName>
    <definedName name="_______________________________________Ok2" hidden="1">{#N/A,#N/A,FALSE,"balance";#N/A,#N/A,FALSE,"PYG"}</definedName>
    <definedName name="_______________________________________PyG2" localSheetId="4" hidden="1">{#N/A,#N/A,FALSE,"balance";#N/A,#N/A,FALSE,"PYG"}</definedName>
    <definedName name="_______________________________________PyG2" localSheetId="3" hidden="1">{#N/A,#N/A,FALSE,"balance";#N/A,#N/A,FALSE,"PYG"}</definedName>
    <definedName name="_______________________________________PyG2" localSheetId="2" hidden="1">{#N/A,#N/A,FALSE,"balance";#N/A,#N/A,FALSE,"PYG"}</definedName>
    <definedName name="_______________________________________PyG2" hidden="1">{#N/A,#N/A,FALSE,"balance";#N/A,#N/A,FALSE,"PYG"}</definedName>
    <definedName name="_______________________________________PYG3" localSheetId="4" hidden="1">{#N/A,#N/A,FALSE,"balance";#N/A,#N/A,FALSE,"PYG"}</definedName>
    <definedName name="_______________________________________PYG3" localSheetId="3" hidden="1">{#N/A,#N/A,FALSE,"balance";#N/A,#N/A,FALSE,"PYG"}</definedName>
    <definedName name="_______________________________________PYG3" localSheetId="2" hidden="1">{#N/A,#N/A,FALSE,"balance";#N/A,#N/A,FALSE,"PYG"}</definedName>
    <definedName name="_______________________________________PYG3" hidden="1">{#N/A,#N/A,FALSE,"balance";#N/A,#N/A,FALSE,"PYG"}</definedName>
    <definedName name="_______________________________________PyG33" localSheetId="4" hidden="1">{#N/A,#N/A,FALSE,"balance";#N/A,#N/A,FALSE,"PYG"}</definedName>
    <definedName name="_______________________________________PyG33" localSheetId="3" hidden="1">{#N/A,#N/A,FALSE,"balance";#N/A,#N/A,FALSE,"PYG"}</definedName>
    <definedName name="_______________________________________PyG33" localSheetId="2" hidden="1">{#N/A,#N/A,FALSE,"balance";#N/A,#N/A,FALSE,"PYG"}</definedName>
    <definedName name="_______________________________________PyG33" hidden="1">{#N/A,#N/A,FALSE,"balance";#N/A,#N/A,FALSE,"PYG"}</definedName>
    <definedName name="______________________________________GGF2" localSheetId="1" hidden="1">{#N/A,#N/A,FALSE,"balance";#N/A,#N/A,FALSE,"PYG"}</definedName>
    <definedName name="______________________________________GGF2" localSheetId="4" hidden="1">{#N/A,#N/A,FALSE,"balance";#N/A,#N/A,FALSE,"PYG"}</definedName>
    <definedName name="______________________________________GGF2" localSheetId="0" hidden="1">{#N/A,#N/A,FALSE,"balance";#N/A,#N/A,FALSE,"PYG"}</definedName>
    <definedName name="______________________________________GGF2" localSheetId="3" hidden="1">{#N/A,#N/A,FALSE,"balance";#N/A,#N/A,FALSE,"PYG"}</definedName>
    <definedName name="______________________________________GGF2" localSheetId="2" hidden="1">{#N/A,#N/A,FALSE,"balance";#N/A,#N/A,FALSE,"PYG"}</definedName>
    <definedName name="______________________________________GGF2" hidden="1">{#N/A,#N/A,FALSE,"balance";#N/A,#N/A,FALSE,"PYG"}</definedName>
    <definedName name="______________________________________OCT2" localSheetId="1" hidden="1">{#N/A,#N/A,FALSE,"BL&amp;GPA";#N/A,#N/A,FALSE,"Summary";#N/A,#N/A,FALSE,"hts"}</definedName>
    <definedName name="______________________________________OCT2" localSheetId="4" hidden="1">{#N/A,#N/A,FALSE,"BL&amp;GPA";#N/A,#N/A,FALSE,"Summary";#N/A,#N/A,FALSE,"hts"}</definedName>
    <definedName name="______________________________________OCT2" localSheetId="0" hidden="1">{#N/A,#N/A,FALSE,"BL&amp;GPA";#N/A,#N/A,FALSE,"Summary";#N/A,#N/A,FALSE,"hts"}</definedName>
    <definedName name="______________________________________OCT2" localSheetId="3" hidden="1">{#N/A,#N/A,FALSE,"BL&amp;GPA";#N/A,#N/A,FALSE,"Summary";#N/A,#N/A,FALSE,"hts"}</definedName>
    <definedName name="______________________________________OCT2" localSheetId="2" hidden="1">{#N/A,#N/A,FALSE,"BL&amp;GPA";#N/A,#N/A,FALSE,"Summary";#N/A,#N/A,FALSE,"hts"}</definedName>
    <definedName name="______________________________________OCT2" hidden="1">{#N/A,#N/A,FALSE,"BL&amp;GPA";#N/A,#N/A,FALSE,"Summary";#N/A,#N/A,FALSE,"hts"}</definedName>
    <definedName name="______________________________________ok1" localSheetId="1" hidden="1">{#N/A,#N/A,FALSE,"balance";#N/A,#N/A,FALSE,"PYG"}</definedName>
    <definedName name="______________________________________ok1" localSheetId="4" hidden="1">{#N/A,#N/A,FALSE,"balance";#N/A,#N/A,FALSE,"PYG"}</definedName>
    <definedName name="______________________________________ok1" localSheetId="0" hidden="1">{#N/A,#N/A,FALSE,"balance";#N/A,#N/A,FALSE,"PYG"}</definedName>
    <definedName name="______________________________________ok1" localSheetId="3" hidden="1">{#N/A,#N/A,FALSE,"balance";#N/A,#N/A,FALSE,"PYG"}</definedName>
    <definedName name="______________________________________ok1" localSheetId="2" hidden="1">{#N/A,#N/A,FALSE,"balance";#N/A,#N/A,FALSE,"PYG"}</definedName>
    <definedName name="______________________________________ok1" hidden="1">{#N/A,#N/A,FALSE,"balance";#N/A,#N/A,FALSE,"PYG"}</definedName>
    <definedName name="______________________________________Ok2" localSheetId="1" hidden="1">{#N/A,#N/A,FALSE,"balance";#N/A,#N/A,FALSE,"PYG"}</definedName>
    <definedName name="______________________________________Ok2" localSheetId="4" hidden="1">{#N/A,#N/A,FALSE,"balance";#N/A,#N/A,FALSE,"PYG"}</definedName>
    <definedName name="______________________________________Ok2" localSheetId="0" hidden="1">{#N/A,#N/A,FALSE,"balance";#N/A,#N/A,FALSE,"PYG"}</definedName>
    <definedName name="______________________________________Ok2" localSheetId="3" hidden="1">{#N/A,#N/A,FALSE,"balance";#N/A,#N/A,FALSE,"PYG"}</definedName>
    <definedName name="______________________________________Ok2" localSheetId="2" hidden="1">{#N/A,#N/A,FALSE,"balance";#N/A,#N/A,FALSE,"PYG"}</definedName>
    <definedName name="______________________________________Ok2" hidden="1">{#N/A,#N/A,FALSE,"balance";#N/A,#N/A,FALSE,"PYG"}</definedName>
    <definedName name="______________________________________PyG2" localSheetId="1" hidden="1">{#N/A,#N/A,FALSE,"balance";#N/A,#N/A,FALSE,"PYG"}</definedName>
    <definedName name="______________________________________PyG2" localSheetId="4" hidden="1">{#N/A,#N/A,FALSE,"balance";#N/A,#N/A,FALSE,"PYG"}</definedName>
    <definedName name="______________________________________PyG2" localSheetId="0" hidden="1">{#N/A,#N/A,FALSE,"balance";#N/A,#N/A,FALSE,"PYG"}</definedName>
    <definedName name="______________________________________PyG2" localSheetId="3" hidden="1">{#N/A,#N/A,FALSE,"balance";#N/A,#N/A,FALSE,"PYG"}</definedName>
    <definedName name="______________________________________PyG2" localSheetId="2" hidden="1">{#N/A,#N/A,FALSE,"balance";#N/A,#N/A,FALSE,"PYG"}</definedName>
    <definedName name="______________________________________PyG2" hidden="1">{#N/A,#N/A,FALSE,"balance";#N/A,#N/A,FALSE,"PYG"}</definedName>
    <definedName name="______________________________________PYG3" localSheetId="1" hidden="1">{#N/A,#N/A,FALSE,"balance";#N/A,#N/A,FALSE,"PYG"}</definedName>
    <definedName name="______________________________________PYG3" localSheetId="4" hidden="1">{#N/A,#N/A,FALSE,"balance";#N/A,#N/A,FALSE,"PYG"}</definedName>
    <definedName name="______________________________________PYG3" localSheetId="0" hidden="1">{#N/A,#N/A,FALSE,"balance";#N/A,#N/A,FALSE,"PYG"}</definedName>
    <definedName name="______________________________________PYG3" localSheetId="3" hidden="1">{#N/A,#N/A,FALSE,"balance";#N/A,#N/A,FALSE,"PYG"}</definedName>
    <definedName name="______________________________________PYG3" localSheetId="2" hidden="1">{#N/A,#N/A,FALSE,"balance";#N/A,#N/A,FALSE,"PYG"}</definedName>
    <definedName name="______________________________________PYG3" hidden="1">{#N/A,#N/A,FALSE,"balance";#N/A,#N/A,FALSE,"PYG"}</definedName>
    <definedName name="______________________________________PyG33" localSheetId="1" hidden="1">{#N/A,#N/A,FALSE,"balance";#N/A,#N/A,FALSE,"PYG"}</definedName>
    <definedName name="______________________________________PyG33" localSheetId="4" hidden="1">{#N/A,#N/A,FALSE,"balance";#N/A,#N/A,FALSE,"PYG"}</definedName>
    <definedName name="______________________________________PyG33" localSheetId="0" hidden="1">{#N/A,#N/A,FALSE,"balance";#N/A,#N/A,FALSE,"PYG"}</definedName>
    <definedName name="______________________________________PyG33" localSheetId="3" hidden="1">{#N/A,#N/A,FALSE,"balance";#N/A,#N/A,FALSE,"PYG"}</definedName>
    <definedName name="______________________________________PyG33" localSheetId="2" hidden="1">{#N/A,#N/A,FALSE,"balance";#N/A,#N/A,FALSE,"PYG"}</definedName>
    <definedName name="______________________________________PyG33" hidden="1">{#N/A,#N/A,FALSE,"balance";#N/A,#N/A,FALSE,"PYG"}</definedName>
    <definedName name="_____________________________________GGF2" localSheetId="4" hidden="1">{#N/A,#N/A,FALSE,"balance";#N/A,#N/A,FALSE,"PYG"}</definedName>
    <definedName name="_____________________________________GGF2" localSheetId="3" hidden="1">{#N/A,#N/A,FALSE,"balance";#N/A,#N/A,FALSE,"PYG"}</definedName>
    <definedName name="_____________________________________GGF2" localSheetId="2" hidden="1">{#N/A,#N/A,FALSE,"balance";#N/A,#N/A,FALSE,"PYG"}</definedName>
    <definedName name="_____________________________________GGF2" hidden="1">{#N/A,#N/A,FALSE,"balance";#N/A,#N/A,FALSE,"PYG"}</definedName>
    <definedName name="_____________________________________OCT2" localSheetId="4" hidden="1">{#N/A,#N/A,FALSE,"BL&amp;GPA";#N/A,#N/A,FALSE,"Summary";#N/A,#N/A,FALSE,"hts"}</definedName>
    <definedName name="_____________________________________OCT2" localSheetId="3" hidden="1">{#N/A,#N/A,FALSE,"BL&amp;GPA";#N/A,#N/A,FALSE,"Summary";#N/A,#N/A,FALSE,"hts"}</definedName>
    <definedName name="_____________________________________OCT2" localSheetId="2" hidden="1">{#N/A,#N/A,FALSE,"BL&amp;GPA";#N/A,#N/A,FALSE,"Summary";#N/A,#N/A,FALSE,"hts"}</definedName>
    <definedName name="_____________________________________OCT2" hidden="1">{#N/A,#N/A,FALSE,"BL&amp;GPA";#N/A,#N/A,FALSE,"Summary";#N/A,#N/A,FALSE,"hts"}</definedName>
    <definedName name="_____________________________________ok1" localSheetId="4" hidden="1">{#N/A,#N/A,FALSE,"balance";#N/A,#N/A,FALSE,"PYG"}</definedName>
    <definedName name="_____________________________________ok1" localSheetId="3" hidden="1">{#N/A,#N/A,FALSE,"balance";#N/A,#N/A,FALSE,"PYG"}</definedName>
    <definedName name="_____________________________________ok1" localSheetId="2" hidden="1">{#N/A,#N/A,FALSE,"balance";#N/A,#N/A,FALSE,"PYG"}</definedName>
    <definedName name="_____________________________________ok1" hidden="1">{#N/A,#N/A,FALSE,"balance";#N/A,#N/A,FALSE,"PYG"}</definedName>
    <definedName name="_____________________________________Ok2" localSheetId="4" hidden="1">{#N/A,#N/A,FALSE,"balance";#N/A,#N/A,FALSE,"PYG"}</definedName>
    <definedName name="_____________________________________Ok2" localSheetId="3" hidden="1">{#N/A,#N/A,FALSE,"balance";#N/A,#N/A,FALSE,"PYG"}</definedName>
    <definedName name="_____________________________________Ok2" localSheetId="2" hidden="1">{#N/A,#N/A,FALSE,"balance";#N/A,#N/A,FALSE,"PYG"}</definedName>
    <definedName name="_____________________________________Ok2" hidden="1">{#N/A,#N/A,FALSE,"balance";#N/A,#N/A,FALSE,"PYG"}</definedName>
    <definedName name="_____________________________________PyG2" localSheetId="4" hidden="1">{#N/A,#N/A,FALSE,"balance";#N/A,#N/A,FALSE,"PYG"}</definedName>
    <definedName name="_____________________________________PyG2" localSheetId="3" hidden="1">{#N/A,#N/A,FALSE,"balance";#N/A,#N/A,FALSE,"PYG"}</definedName>
    <definedName name="_____________________________________PyG2" localSheetId="2" hidden="1">{#N/A,#N/A,FALSE,"balance";#N/A,#N/A,FALSE,"PYG"}</definedName>
    <definedName name="_____________________________________PyG2" hidden="1">{#N/A,#N/A,FALSE,"balance";#N/A,#N/A,FALSE,"PYG"}</definedName>
    <definedName name="_____________________________________PYG3" localSheetId="4" hidden="1">{#N/A,#N/A,FALSE,"balance";#N/A,#N/A,FALSE,"PYG"}</definedName>
    <definedName name="_____________________________________PYG3" localSheetId="3" hidden="1">{#N/A,#N/A,FALSE,"balance";#N/A,#N/A,FALSE,"PYG"}</definedName>
    <definedName name="_____________________________________PYG3" localSheetId="2" hidden="1">{#N/A,#N/A,FALSE,"balance";#N/A,#N/A,FALSE,"PYG"}</definedName>
    <definedName name="_____________________________________PYG3" hidden="1">{#N/A,#N/A,FALSE,"balance";#N/A,#N/A,FALSE,"PYG"}</definedName>
    <definedName name="_____________________________________PyG33" localSheetId="4" hidden="1">{#N/A,#N/A,FALSE,"balance";#N/A,#N/A,FALSE,"PYG"}</definedName>
    <definedName name="_____________________________________PyG33" localSheetId="3" hidden="1">{#N/A,#N/A,FALSE,"balance";#N/A,#N/A,FALSE,"PYG"}</definedName>
    <definedName name="_____________________________________PyG33" localSheetId="2" hidden="1">{#N/A,#N/A,FALSE,"balance";#N/A,#N/A,FALSE,"PYG"}</definedName>
    <definedName name="_____________________________________PyG33" hidden="1">{#N/A,#N/A,FALSE,"balance";#N/A,#N/A,FALSE,"PYG"}</definedName>
    <definedName name="____________________________________GGF2" localSheetId="1" hidden="1">{#N/A,#N/A,FALSE,"balance";#N/A,#N/A,FALSE,"PYG"}</definedName>
    <definedName name="____________________________________GGF2" localSheetId="4" hidden="1">{#N/A,#N/A,FALSE,"balance";#N/A,#N/A,FALSE,"PYG"}</definedName>
    <definedName name="____________________________________GGF2" localSheetId="0" hidden="1">{#N/A,#N/A,FALSE,"balance";#N/A,#N/A,FALSE,"PYG"}</definedName>
    <definedName name="____________________________________GGF2" localSheetId="3" hidden="1">{#N/A,#N/A,FALSE,"balance";#N/A,#N/A,FALSE,"PYG"}</definedName>
    <definedName name="____________________________________GGF2" localSheetId="2" hidden="1">{#N/A,#N/A,FALSE,"balance";#N/A,#N/A,FALSE,"PYG"}</definedName>
    <definedName name="____________________________________GGF2" hidden="1">{#N/A,#N/A,FALSE,"balance";#N/A,#N/A,FALSE,"PYG"}</definedName>
    <definedName name="____________________________________OCT2" localSheetId="1" hidden="1">{#N/A,#N/A,FALSE,"BL&amp;GPA";#N/A,#N/A,FALSE,"Summary";#N/A,#N/A,FALSE,"hts"}</definedName>
    <definedName name="____________________________________OCT2" localSheetId="4" hidden="1">{#N/A,#N/A,FALSE,"BL&amp;GPA";#N/A,#N/A,FALSE,"Summary";#N/A,#N/A,FALSE,"hts"}</definedName>
    <definedName name="____________________________________OCT2" localSheetId="0" hidden="1">{#N/A,#N/A,FALSE,"BL&amp;GPA";#N/A,#N/A,FALSE,"Summary";#N/A,#N/A,FALSE,"hts"}</definedName>
    <definedName name="____________________________________OCT2" localSheetId="3" hidden="1">{#N/A,#N/A,FALSE,"BL&amp;GPA";#N/A,#N/A,FALSE,"Summary";#N/A,#N/A,FALSE,"hts"}</definedName>
    <definedName name="____________________________________OCT2" localSheetId="2" hidden="1">{#N/A,#N/A,FALSE,"BL&amp;GPA";#N/A,#N/A,FALSE,"Summary";#N/A,#N/A,FALSE,"hts"}</definedName>
    <definedName name="____________________________________OCT2" hidden="1">{#N/A,#N/A,FALSE,"BL&amp;GPA";#N/A,#N/A,FALSE,"Summary";#N/A,#N/A,FALSE,"hts"}</definedName>
    <definedName name="____________________________________ok1" localSheetId="1" hidden="1">{#N/A,#N/A,FALSE,"balance";#N/A,#N/A,FALSE,"PYG"}</definedName>
    <definedName name="____________________________________ok1" localSheetId="4" hidden="1">{#N/A,#N/A,FALSE,"balance";#N/A,#N/A,FALSE,"PYG"}</definedName>
    <definedName name="____________________________________ok1" localSheetId="0" hidden="1">{#N/A,#N/A,FALSE,"balance";#N/A,#N/A,FALSE,"PYG"}</definedName>
    <definedName name="____________________________________ok1" localSheetId="3" hidden="1">{#N/A,#N/A,FALSE,"balance";#N/A,#N/A,FALSE,"PYG"}</definedName>
    <definedName name="____________________________________ok1" localSheetId="2" hidden="1">{#N/A,#N/A,FALSE,"balance";#N/A,#N/A,FALSE,"PYG"}</definedName>
    <definedName name="____________________________________ok1" hidden="1">{#N/A,#N/A,FALSE,"balance";#N/A,#N/A,FALSE,"PYG"}</definedName>
    <definedName name="____________________________________Ok2" localSheetId="1" hidden="1">{#N/A,#N/A,FALSE,"balance";#N/A,#N/A,FALSE,"PYG"}</definedName>
    <definedName name="____________________________________Ok2" localSheetId="4" hidden="1">{#N/A,#N/A,FALSE,"balance";#N/A,#N/A,FALSE,"PYG"}</definedName>
    <definedName name="____________________________________Ok2" localSheetId="0" hidden="1">{#N/A,#N/A,FALSE,"balance";#N/A,#N/A,FALSE,"PYG"}</definedName>
    <definedName name="____________________________________Ok2" localSheetId="3" hidden="1">{#N/A,#N/A,FALSE,"balance";#N/A,#N/A,FALSE,"PYG"}</definedName>
    <definedName name="____________________________________Ok2" localSheetId="2" hidden="1">{#N/A,#N/A,FALSE,"balance";#N/A,#N/A,FALSE,"PYG"}</definedName>
    <definedName name="____________________________________Ok2" hidden="1">{#N/A,#N/A,FALSE,"balance";#N/A,#N/A,FALSE,"PYG"}</definedName>
    <definedName name="____________________________________PyG2" localSheetId="1" hidden="1">{#N/A,#N/A,FALSE,"balance";#N/A,#N/A,FALSE,"PYG"}</definedName>
    <definedName name="____________________________________PyG2" localSheetId="4" hidden="1">{#N/A,#N/A,FALSE,"balance";#N/A,#N/A,FALSE,"PYG"}</definedName>
    <definedName name="____________________________________PyG2" localSheetId="0" hidden="1">{#N/A,#N/A,FALSE,"balance";#N/A,#N/A,FALSE,"PYG"}</definedName>
    <definedName name="____________________________________PyG2" localSheetId="3" hidden="1">{#N/A,#N/A,FALSE,"balance";#N/A,#N/A,FALSE,"PYG"}</definedName>
    <definedName name="____________________________________PyG2" localSheetId="2" hidden="1">{#N/A,#N/A,FALSE,"balance";#N/A,#N/A,FALSE,"PYG"}</definedName>
    <definedName name="____________________________________PyG2" hidden="1">{#N/A,#N/A,FALSE,"balance";#N/A,#N/A,FALSE,"PYG"}</definedName>
    <definedName name="____________________________________PYG3" localSheetId="1" hidden="1">{#N/A,#N/A,FALSE,"balance";#N/A,#N/A,FALSE,"PYG"}</definedName>
    <definedName name="____________________________________PYG3" localSheetId="4" hidden="1">{#N/A,#N/A,FALSE,"balance";#N/A,#N/A,FALSE,"PYG"}</definedName>
    <definedName name="____________________________________PYG3" localSheetId="0" hidden="1">{#N/A,#N/A,FALSE,"balance";#N/A,#N/A,FALSE,"PYG"}</definedName>
    <definedName name="____________________________________PYG3" localSheetId="3" hidden="1">{#N/A,#N/A,FALSE,"balance";#N/A,#N/A,FALSE,"PYG"}</definedName>
    <definedName name="____________________________________PYG3" localSheetId="2" hidden="1">{#N/A,#N/A,FALSE,"balance";#N/A,#N/A,FALSE,"PYG"}</definedName>
    <definedName name="____________________________________PYG3" hidden="1">{#N/A,#N/A,FALSE,"balance";#N/A,#N/A,FALSE,"PYG"}</definedName>
    <definedName name="____________________________________PyG33" localSheetId="1" hidden="1">{#N/A,#N/A,FALSE,"balance";#N/A,#N/A,FALSE,"PYG"}</definedName>
    <definedName name="____________________________________PyG33" localSheetId="4" hidden="1">{#N/A,#N/A,FALSE,"balance";#N/A,#N/A,FALSE,"PYG"}</definedName>
    <definedName name="____________________________________PyG33" localSheetId="0" hidden="1">{#N/A,#N/A,FALSE,"balance";#N/A,#N/A,FALSE,"PYG"}</definedName>
    <definedName name="____________________________________PyG33" localSheetId="3" hidden="1">{#N/A,#N/A,FALSE,"balance";#N/A,#N/A,FALSE,"PYG"}</definedName>
    <definedName name="____________________________________PyG33" localSheetId="2" hidden="1">{#N/A,#N/A,FALSE,"balance";#N/A,#N/A,FALSE,"PYG"}</definedName>
    <definedName name="____________________________________PyG33" hidden="1">{#N/A,#N/A,FALSE,"balance";#N/A,#N/A,FALSE,"PYG"}</definedName>
    <definedName name="___________________________________GGF2" localSheetId="1" hidden="1">{#N/A,#N/A,FALSE,"balance";#N/A,#N/A,FALSE,"PYG"}</definedName>
    <definedName name="___________________________________GGF2" localSheetId="4" hidden="1">{#N/A,#N/A,FALSE,"balance";#N/A,#N/A,FALSE,"PYG"}</definedName>
    <definedName name="___________________________________GGF2" localSheetId="0" hidden="1">{#N/A,#N/A,FALSE,"balance";#N/A,#N/A,FALSE,"PYG"}</definedName>
    <definedName name="___________________________________GGF2" localSheetId="3" hidden="1">{#N/A,#N/A,FALSE,"balance";#N/A,#N/A,FALSE,"PYG"}</definedName>
    <definedName name="___________________________________GGF2" localSheetId="2" hidden="1">{#N/A,#N/A,FALSE,"balance";#N/A,#N/A,FALSE,"PYG"}</definedName>
    <definedName name="___________________________________GGF2" hidden="1">{#N/A,#N/A,FALSE,"balance";#N/A,#N/A,FALSE,"PYG"}</definedName>
    <definedName name="___________________________________OCT2" localSheetId="1" hidden="1">{#N/A,#N/A,FALSE,"BL&amp;GPA";#N/A,#N/A,FALSE,"Summary";#N/A,#N/A,FALSE,"hts"}</definedName>
    <definedName name="___________________________________OCT2" localSheetId="4" hidden="1">{#N/A,#N/A,FALSE,"BL&amp;GPA";#N/A,#N/A,FALSE,"Summary";#N/A,#N/A,FALSE,"hts"}</definedName>
    <definedName name="___________________________________OCT2" localSheetId="0" hidden="1">{#N/A,#N/A,FALSE,"BL&amp;GPA";#N/A,#N/A,FALSE,"Summary";#N/A,#N/A,FALSE,"hts"}</definedName>
    <definedName name="___________________________________OCT2" localSheetId="3" hidden="1">{#N/A,#N/A,FALSE,"BL&amp;GPA";#N/A,#N/A,FALSE,"Summary";#N/A,#N/A,FALSE,"hts"}</definedName>
    <definedName name="___________________________________OCT2" localSheetId="2" hidden="1">{#N/A,#N/A,FALSE,"BL&amp;GPA";#N/A,#N/A,FALSE,"Summary";#N/A,#N/A,FALSE,"hts"}</definedName>
    <definedName name="___________________________________OCT2" hidden="1">{#N/A,#N/A,FALSE,"BL&amp;GPA";#N/A,#N/A,FALSE,"Summary";#N/A,#N/A,FALSE,"hts"}</definedName>
    <definedName name="___________________________________ok1" localSheetId="1" hidden="1">{#N/A,#N/A,FALSE,"balance";#N/A,#N/A,FALSE,"PYG"}</definedName>
    <definedName name="___________________________________ok1" localSheetId="4" hidden="1">{#N/A,#N/A,FALSE,"balance";#N/A,#N/A,FALSE,"PYG"}</definedName>
    <definedName name="___________________________________ok1" localSheetId="0" hidden="1">{#N/A,#N/A,FALSE,"balance";#N/A,#N/A,FALSE,"PYG"}</definedName>
    <definedName name="___________________________________ok1" localSheetId="3" hidden="1">{#N/A,#N/A,FALSE,"balance";#N/A,#N/A,FALSE,"PYG"}</definedName>
    <definedName name="___________________________________ok1" localSheetId="2" hidden="1">{#N/A,#N/A,FALSE,"balance";#N/A,#N/A,FALSE,"PYG"}</definedName>
    <definedName name="___________________________________ok1" hidden="1">{#N/A,#N/A,FALSE,"balance";#N/A,#N/A,FALSE,"PYG"}</definedName>
    <definedName name="___________________________________Ok2" localSheetId="1" hidden="1">{#N/A,#N/A,FALSE,"balance";#N/A,#N/A,FALSE,"PYG"}</definedName>
    <definedName name="___________________________________Ok2" localSheetId="4" hidden="1">{#N/A,#N/A,FALSE,"balance";#N/A,#N/A,FALSE,"PYG"}</definedName>
    <definedName name="___________________________________Ok2" localSheetId="0" hidden="1">{#N/A,#N/A,FALSE,"balance";#N/A,#N/A,FALSE,"PYG"}</definedName>
    <definedName name="___________________________________Ok2" localSheetId="3" hidden="1">{#N/A,#N/A,FALSE,"balance";#N/A,#N/A,FALSE,"PYG"}</definedName>
    <definedName name="___________________________________Ok2" localSheetId="2" hidden="1">{#N/A,#N/A,FALSE,"balance";#N/A,#N/A,FALSE,"PYG"}</definedName>
    <definedName name="___________________________________Ok2" hidden="1">{#N/A,#N/A,FALSE,"balance";#N/A,#N/A,FALSE,"PYG"}</definedName>
    <definedName name="___________________________________PyG2" localSheetId="1" hidden="1">{#N/A,#N/A,FALSE,"balance";#N/A,#N/A,FALSE,"PYG"}</definedName>
    <definedName name="___________________________________PyG2" localSheetId="4" hidden="1">{#N/A,#N/A,FALSE,"balance";#N/A,#N/A,FALSE,"PYG"}</definedName>
    <definedName name="___________________________________PyG2" localSheetId="0" hidden="1">{#N/A,#N/A,FALSE,"balance";#N/A,#N/A,FALSE,"PYG"}</definedName>
    <definedName name="___________________________________PyG2" localSheetId="3" hidden="1">{#N/A,#N/A,FALSE,"balance";#N/A,#N/A,FALSE,"PYG"}</definedName>
    <definedName name="___________________________________PyG2" localSheetId="2" hidden="1">{#N/A,#N/A,FALSE,"balance";#N/A,#N/A,FALSE,"PYG"}</definedName>
    <definedName name="___________________________________PyG2" hidden="1">{#N/A,#N/A,FALSE,"balance";#N/A,#N/A,FALSE,"PYG"}</definedName>
    <definedName name="___________________________________PYG3" localSheetId="1" hidden="1">{#N/A,#N/A,FALSE,"balance";#N/A,#N/A,FALSE,"PYG"}</definedName>
    <definedName name="___________________________________PYG3" localSheetId="4" hidden="1">{#N/A,#N/A,FALSE,"balance";#N/A,#N/A,FALSE,"PYG"}</definedName>
    <definedName name="___________________________________PYG3" localSheetId="0" hidden="1">{#N/A,#N/A,FALSE,"balance";#N/A,#N/A,FALSE,"PYG"}</definedName>
    <definedName name="___________________________________PYG3" localSheetId="3" hidden="1">{#N/A,#N/A,FALSE,"balance";#N/A,#N/A,FALSE,"PYG"}</definedName>
    <definedName name="___________________________________PYG3" localSheetId="2" hidden="1">{#N/A,#N/A,FALSE,"balance";#N/A,#N/A,FALSE,"PYG"}</definedName>
    <definedName name="___________________________________PYG3" hidden="1">{#N/A,#N/A,FALSE,"balance";#N/A,#N/A,FALSE,"PYG"}</definedName>
    <definedName name="___________________________________PyG33" localSheetId="1" hidden="1">{#N/A,#N/A,FALSE,"balance";#N/A,#N/A,FALSE,"PYG"}</definedName>
    <definedName name="___________________________________PyG33" localSheetId="4" hidden="1">{#N/A,#N/A,FALSE,"balance";#N/A,#N/A,FALSE,"PYG"}</definedName>
    <definedName name="___________________________________PyG33" localSheetId="0" hidden="1">{#N/A,#N/A,FALSE,"balance";#N/A,#N/A,FALSE,"PYG"}</definedName>
    <definedName name="___________________________________PyG33" localSheetId="3" hidden="1">{#N/A,#N/A,FALSE,"balance";#N/A,#N/A,FALSE,"PYG"}</definedName>
    <definedName name="___________________________________PyG33" localSheetId="2" hidden="1">{#N/A,#N/A,FALSE,"balance";#N/A,#N/A,FALSE,"PYG"}</definedName>
    <definedName name="___________________________________PyG33" hidden="1">{#N/A,#N/A,FALSE,"balance";#N/A,#N/A,FALSE,"PYG"}</definedName>
    <definedName name="__________________________________GGF2" localSheetId="1" hidden="1">{#N/A,#N/A,FALSE,"balance";#N/A,#N/A,FALSE,"PYG"}</definedName>
    <definedName name="__________________________________GGF2" localSheetId="4" hidden="1">{#N/A,#N/A,FALSE,"balance";#N/A,#N/A,FALSE,"PYG"}</definedName>
    <definedName name="__________________________________GGF2" localSheetId="0" hidden="1">{#N/A,#N/A,FALSE,"balance";#N/A,#N/A,FALSE,"PYG"}</definedName>
    <definedName name="__________________________________GGF2" localSheetId="3" hidden="1">{#N/A,#N/A,FALSE,"balance";#N/A,#N/A,FALSE,"PYG"}</definedName>
    <definedName name="__________________________________GGF2" localSheetId="2" hidden="1">{#N/A,#N/A,FALSE,"balance";#N/A,#N/A,FALSE,"PYG"}</definedName>
    <definedName name="__________________________________GGF2" hidden="1">{#N/A,#N/A,FALSE,"balance";#N/A,#N/A,FALSE,"PYG"}</definedName>
    <definedName name="__________________________________OCT2" localSheetId="1" hidden="1">{#N/A,#N/A,FALSE,"BL&amp;GPA";#N/A,#N/A,FALSE,"Summary";#N/A,#N/A,FALSE,"hts"}</definedName>
    <definedName name="__________________________________OCT2" localSheetId="4" hidden="1">{#N/A,#N/A,FALSE,"BL&amp;GPA";#N/A,#N/A,FALSE,"Summary";#N/A,#N/A,FALSE,"hts"}</definedName>
    <definedName name="__________________________________OCT2" localSheetId="0" hidden="1">{#N/A,#N/A,FALSE,"BL&amp;GPA";#N/A,#N/A,FALSE,"Summary";#N/A,#N/A,FALSE,"hts"}</definedName>
    <definedName name="__________________________________OCT2" localSheetId="3" hidden="1">{#N/A,#N/A,FALSE,"BL&amp;GPA";#N/A,#N/A,FALSE,"Summary";#N/A,#N/A,FALSE,"hts"}</definedName>
    <definedName name="__________________________________OCT2" localSheetId="2" hidden="1">{#N/A,#N/A,FALSE,"BL&amp;GPA";#N/A,#N/A,FALSE,"Summary";#N/A,#N/A,FALSE,"hts"}</definedName>
    <definedName name="__________________________________OCT2" hidden="1">{#N/A,#N/A,FALSE,"BL&amp;GPA";#N/A,#N/A,FALSE,"Summary";#N/A,#N/A,FALSE,"hts"}</definedName>
    <definedName name="__________________________________ok1" localSheetId="1" hidden="1">{#N/A,#N/A,FALSE,"balance";#N/A,#N/A,FALSE,"PYG"}</definedName>
    <definedName name="__________________________________ok1" localSheetId="4" hidden="1">{#N/A,#N/A,FALSE,"balance";#N/A,#N/A,FALSE,"PYG"}</definedName>
    <definedName name="__________________________________ok1" localSheetId="0" hidden="1">{#N/A,#N/A,FALSE,"balance";#N/A,#N/A,FALSE,"PYG"}</definedName>
    <definedName name="__________________________________ok1" localSheetId="3" hidden="1">{#N/A,#N/A,FALSE,"balance";#N/A,#N/A,FALSE,"PYG"}</definedName>
    <definedName name="__________________________________ok1" localSheetId="2" hidden="1">{#N/A,#N/A,FALSE,"balance";#N/A,#N/A,FALSE,"PYG"}</definedName>
    <definedName name="__________________________________ok1" hidden="1">{#N/A,#N/A,FALSE,"balance";#N/A,#N/A,FALSE,"PYG"}</definedName>
    <definedName name="__________________________________Ok2" localSheetId="1" hidden="1">{#N/A,#N/A,FALSE,"balance";#N/A,#N/A,FALSE,"PYG"}</definedName>
    <definedName name="__________________________________Ok2" localSheetId="4" hidden="1">{#N/A,#N/A,FALSE,"balance";#N/A,#N/A,FALSE,"PYG"}</definedName>
    <definedName name="__________________________________Ok2" localSheetId="0" hidden="1">{#N/A,#N/A,FALSE,"balance";#N/A,#N/A,FALSE,"PYG"}</definedName>
    <definedName name="__________________________________Ok2" localSheetId="3" hidden="1">{#N/A,#N/A,FALSE,"balance";#N/A,#N/A,FALSE,"PYG"}</definedName>
    <definedName name="__________________________________Ok2" localSheetId="2" hidden="1">{#N/A,#N/A,FALSE,"balance";#N/A,#N/A,FALSE,"PYG"}</definedName>
    <definedName name="__________________________________Ok2" hidden="1">{#N/A,#N/A,FALSE,"balance";#N/A,#N/A,FALSE,"PYG"}</definedName>
    <definedName name="__________________________________PyG2" localSheetId="1" hidden="1">{#N/A,#N/A,FALSE,"balance";#N/A,#N/A,FALSE,"PYG"}</definedName>
    <definedName name="__________________________________PyG2" localSheetId="4" hidden="1">{#N/A,#N/A,FALSE,"balance";#N/A,#N/A,FALSE,"PYG"}</definedName>
    <definedName name="__________________________________PyG2" localSheetId="0" hidden="1">{#N/A,#N/A,FALSE,"balance";#N/A,#N/A,FALSE,"PYG"}</definedName>
    <definedName name="__________________________________PyG2" localSheetId="3" hidden="1">{#N/A,#N/A,FALSE,"balance";#N/A,#N/A,FALSE,"PYG"}</definedName>
    <definedName name="__________________________________PyG2" localSheetId="2" hidden="1">{#N/A,#N/A,FALSE,"balance";#N/A,#N/A,FALSE,"PYG"}</definedName>
    <definedName name="__________________________________PyG2" hidden="1">{#N/A,#N/A,FALSE,"balance";#N/A,#N/A,FALSE,"PYG"}</definedName>
    <definedName name="__________________________________PYG3" localSheetId="1" hidden="1">{#N/A,#N/A,FALSE,"balance";#N/A,#N/A,FALSE,"PYG"}</definedName>
    <definedName name="__________________________________PYG3" localSheetId="4" hidden="1">{#N/A,#N/A,FALSE,"balance";#N/A,#N/A,FALSE,"PYG"}</definedName>
    <definedName name="__________________________________PYG3" localSheetId="0" hidden="1">{#N/A,#N/A,FALSE,"balance";#N/A,#N/A,FALSE,"PYG"}</definedName>
    <definedName name="__________________________________PYG3" localSheetId="3" hidden="1">{#N/A,#N/A,FALSE,"balance";#N/A,#N/A,FALSE,"PYG"}</definedName>
    <definedName name="__________________________________PYG3" localSheetId="2" hidden="1">{#N/A,#N/A,FALSE,"balance";#N/A,#N/A,FALSE,"PYG"}</definedName>
    <definedName name="__________________________________PYG3" hidden="1">{#N/A,#N/A,FALSE,"balance";#N/A,#N/A,FALSE,"PYG"}</definedName>
    <definedName name="__________________________________PyG33" localSheetId="1" hidden="1">{#N/A,#N/A,FALSE,"balance";#N/A,#N/A,FALSE,"PYG"}</definedName>
    <definedName name="__________________________________PyG33" localSheetId="4" hidden="1">{#N/A,#N/A,FALSE,"balance";#N/A,#N/A,FALSE,"PYG"}</definedName>
    <definedName name="__________________________________PyG33" localSheetId="0" hidden="1">{#N/A,#N/A,FALSE,"balance";#N/A,#N/A,FALSE,"PYG"}</definedName>
    <definedName name="__________________________________PyG33" localSheetId="3" hidden="1">{#N/A,#N/A,FALSE,"balance";#N/A,#N/A,FALSE,"PYG"}</definedName>
    <definedName name="__________________________________PyG33" localSheetId="2" hidden="1">{#N/A,#N/A,FALSE,"balance";#N/A,#N/A,FALSE,"PYG"}</definedName>
    <definedName name="__________________________________PyG33" hidden="1">{#N/A,#N/A,FALSE,"balance";#N/A,#N/A,FALSE,"PYG"}</definedName>
    <definedName name="_________________________________GGF2" localSheetId="1" hidden="1">{#N/A,#N/A,FALSE,"balance";#N/A,#N/A,FALSE,"PYG"}</definedName>
    <definedName name="_________________________________GGF2" localSheetId="4" hidden="1">{#N/A,#N/A,FALSE,"balance";#N/A,#N/A,FALSE,"PYG"}</definedName>
    <definedName name="_________________________________GGF2" localSheetId="0" hidden="1">{#N/A,#N/A,FALSE,"balance";#N/A,#N/A,FALSE,"PYG"}</definedName>
    <definedName name="_________________________________GGF2" localSheetId="3" hidden="1">{#N/A,#N/A,FALSE,"balance";#N/A,#N/A,FALSE,"PYG"}</definedName>
    <definedName name="_________________________________GGF2" localSheetId="2" hidden="1">{#N/A,#N/A,FALSE,"balance";#N/A,#N/A,FALSE,"PYG"}</definedName>
    <definedName name="_________________________________GGF2" hidden="1">{#N/A,#N/A,FALSE,"balance";#N/A,#N/A,FALSE,"PYG"}</definedName>
    <definedName name="_________________________________OCT2" localSheetId="1" hidden="1">{#N/A,#N/A,FALSE,"BL&amp;GPA";#N/A,#N/A,FALSE,"Summary";#N/A,#N/A,FALSE,"hts"}</definedName>
    <definedName name="_________________________________OCT2" localSheetId="4" hidden="1">{#N/A,#N/A,FALSE,"BL&amp;GPA";#N/A,#N/A,FALSE,"Summary";#N/A,#N/A,FALSE,"hts"}</definedName>
    <definedName name="_________________________________OCT2" localSheetId="0" hidden="1">{#N/A,#N/A,FALSE,"BL&amp;GPA";#N/A,#N/A,FALSE,"Summary";#N/A,#N/A,FALSE,"hts"}</definedName>
    <definedName name="_________________________________OCT2" localSheetId="3" hidden="1">{#N/A,#N/A,FALSE,"BL&amp;GPA";#N/A,#N/A,FALSE,"Summary";#N/A,#N/A,FALSE,"hts"}</definedName>
    <definedName name="_________________________________OCT2" localSheetId="2" hidden="1">{#N/A,#N/A,FALSE,"BL&amp;GPA";#N/A,#N/A,FALSE,"Summary";#N/A,#N/A,FALSE,"hts"}</definedName>
    <definedName name="_________________________________OCT2" hidden="1">{#N/A,#N/A,FALSE,"BL&amp;GPA";#N/A,#N/A,FALSE,"Summary";#N/A,#N/A,FALSE,"hts"}</definedName>
    <definedName name="_________________________________ok1" localSheetId="1" hidden="1">{#N/A,#N/A,FALSE,"balance";#N/A,#N/A,FALSE,"PYG"}</definedName>
    <definedName name="_________________________________ok1" localSheetId="4" hidden="1">{#N/A,#N/A,FALSE,"balance";#N/A,#N/A,FALSE,"PYG"}</definedName>
    <definedName name="_________________________________ok1" localSheetId="0" hidden="1">{#N/A,#N/A,FALSE,"balance";#N/A,#N/A,FALSE,"PYG"}</definedName>
    <definedName name="_________________________________ok1" localSheetId="3" hidden="1">{#N/A,#N/A,FALSE,"balance";#N/A,#N/A,FALSE,"PYG"}</definedName>
    <definedName name="_________________________________ok1" localSheetId="2" hidden="1">{#N/A,#N/A,FALSE,"balance";#N/A,#N/A,FALSE,"PYG"}</definedName>
    <definedName name="_________________________________ok1" hidden="1">{#N/A,#N/A,FALSE,"balance";#N/A,#N/A,FALSE,"PYG"}</definedName>
    <definedName name="_________________________________Ok2" localSheetId="1" hidden="1">{#N/A,#N/A,FALSE,"balance";#N/A,#N/A,FALSE,"PYG"}</definedName>
    <definedName name="_________________________________Ok2" localSheetId="4" hidden="1">{#N/A,#N/A,FALSE,"balance";#N/A,#N/A,FALSE,"PYG"}</definedName>
    <definedName name="_________________________________Ok2" localSheetId="0" hidden="1">{#N/A,#N/A,FALSE,"balance";#N/A,#N/A,FALSE,"PYG"}</definedName>
    <definedName name="_________________________________Ok2" localSheetId="3" hidden="1">{#N/A,#N/A,FALSE,"balance";#N/A,#N/A,FALSE,"PYG"}</definedName>
    <definedName name="_________________________________Ok2" localSheetId="2" hidden="1">{#N/A,#N/A,FALSE,"balance";#N/A,#N/A,FALSE,"PYG"}</definedName>
    <definedName name="_________________________________Ok2" hidden="1">{#N/A,#N/A,FALSE,"balance";#N/A,#N/A,FALSE,"PYG"}</definedName>
    <definedName name="_________________________________PyG2" localSheetId="1" hidden="1">{#N/A,#N/A,FALSE,"balance";#N/A,#N/A,FALSE,"PYG"}</definedName>
    <definedName name="_________________________________PyG2" localSheetId="4" hidden="1">{#N/A,#N/A,FALSE,"balance";#N/A,#N/A,FALSE,"PYG"}</definedName>
    <definedName name="_________________________________PyG2" localSheetId="0" hidden="1">{#N/A,#N/A,FALSE,"balance";#N/A,#N/A,FALSE,"PYG"}</definedName>
    <definedName name="_________________________________PyG2" localSheetId="3" hidden="1">{#N/A,#N/A,FALSE,"balance";#N/A,#N/A,FALSE,"PYG"}</definedName>
    <definedName name="_________________________________PyG2" localSheetId="2" hidden="1">{#N/A,#N/A,FALSE,"balance";#N/A,#N/A,FALSE,"PYG"}</definedName>
    <definedName name="_________________________________PyG2" hidden="1">{#N/A,#N/A,FALSE,"balance";#N/A,#N/A,FALSE,"PYG"}</definedName>
    <definedName name="_________________________________PYG3" localSheetId="1" hidden="1">{#N/A,#N/A,FALSE,"balance";#N/A,#N/A,FALSE,"PYG"}</definedName>
    <definedName name="_________________________________PYG3" localSheetId="4" hidden="1">{#N/A,#N/A,FALSE,"balance";#N/A,#N/A,FALSE,"PYG"}</definedName>
    <definedName name="_________________________________PYG3" localSheetId="0" hidden="1">{#N/A,#N/A,FALSE,"balance";#N/A,#N/A,FALSE,"PYG"}</definedName>
    <definedName name="_________________________________PYG3" localSheetId="3" hidden="1">{#N/A,#N/A,FALSE,"balance";#N/A,#N/A,FALSE,"PYG"}</definedName>
    <definedName name="_________________________________PYG3" localSheetId="2" hidden="1">{#N/A,#N/A,FALSE,"balance";#N/A,#N/A,FALSE,"PYG"}</definedName>
    <definedName name="_________________________________PYG3" hidden="1">{#N/A,#N/A,FALSE,"balance";#N/A,#N/A,FALSE,"PYG"}</definedName>
    <definedName name="_________________________________PyG33" localSheetId="1" hidden="1">{#N/A,#N/A,FALSE,"balance";#N/A,#N/A,FALSE,"PYG"}</definedName>
    <definedName name="_________________________________PyG33" localSheetId="4" hidden="1">{#N/A,#N/A,FALSE,"balance";#N/A,#N/A,FALSE,"PYG"}</definedName>
    <definedName name="_________________________________PyG33" localSheetId="0" hidden="1">{#N/A,#N/A,FALSE,"balance";#N/A,#N/A,FALSE,"PYG"}</definedName>
    <definedName name="_________________________________PyG33" localSheetId="3" hidden="1">{#N/A,#N/A,FALSE,"balance";#N/A,#N/A,FALSE,"PYG"}</definedName>
    <definedName name="_________________________________PyG33" localSheetId="2" hidden="1">{#N/A,#N/A,FALSE,"balance";#N/A,#N/A,FALSE,"PYG"}</definedName>
    <definedName name="_________________________________PyG33" hidden="1">{#N/A,#N/A,FALSE,"balance";#N/A,#N/A,FALSE,"PYG"}</definedName>
    <definedName name="________________________________GGF2" localSheetId="1" hidden="1">{#N/A,#N/A,FALSE,"balance";#N/A,#N/A,FALSE,"PYG"}</definedName>
    <definedName name="________________________________GGF2" localSheetId="4" hidden="1">{#N/A,#N/A,FALSE,"balance";#N/A,#N/A,FALSE,"PYG"}</definedName>
    <definedName name="________________________________GGF2" localSheetId="0" hidden="1">{#N/A,#N/A,FALSE,"balance";#N/A,#N/A,FALSE,"PYG"}</definedName>
    <definedName name="________________________________GGF2" localSheetId="3" hidden="1">{#N/A,#N/A,FALSE,"balance";#N/A,#N/A,FALSE,"PYG"}</definedName>
    <definedName name="________________________________GGF2" localSheetId="2" hidden="1">{#N/A,#N/A,FALSE,"balance";#N/A,#N/A,FALSE,"PYG"}</definedName>
    <definedName name="________________________________GGF2" hidden="1">{#N/A,#N/A,FALSE,"balance";#N/A,#N/A,FALSE,"PYG"}</definedName>
    <definedName name="________________________________OCT2" localSheetId="1" hidden="1">{#N/A,#N/A,FALSE,"BL&amp;GPA";#N/A,#N/A,FALSE,"Summary";#N/A,#N/A,FALSE,"hts"}</definedName>
    <definedName name="________________________________OCT2" localSheetId="4" hidden="1">{#N/A,#N/A,FALSE,"BL&amp;GPA";#N/A,#N/A,FALSE,"Summary";#N/A,#N/A,FALSE,"hts"}</definedName>
    <definedName name="________________________________OCT2" localSheetId="0" hidden="1">{#N/A,#N/A,FALSE,"BL&amp;GPA";#N/A,#N/A,FALSE,"Summary";#N/A,#N/A,FALSE,"hts"}</definedName>
    <definedName name="________________________________OCT2" localSheetId="3" hidden="1">{#N/A,#N/A,FALSE,"BL&amp;GPA";#N/A,#N/A,FALSE,"Summary";#N/A,#N/A,FALSE,"hts"}</definedName>
    <definedName name="________________________________OCT2" localSheetId="2" hidden="1">{#N/A,#N/A,FALSE,"BL&amp;GPA";#N/A,#N/A,FALSE,"Summary";#N/A,#N/A,FALSE,"hts"}</definedName>
    <definedName name="________________________________OCT2" hidden="1">{#N/A,#N/A,FALSE,"BL&amp;GPA";#N/A,#N/A,FALSE,"Summary";#N/A,#N/A,FALSE,"hts"}</definedName>
    <definedName name="________________________________ok1" localSheetId="1" hidden="1">{#N/A,#N/A,FALSE,"balance";#N/A,#N/A,FALSE,"PYG"}</definedName>
    <definedName name="________________________________ok1" localSheetId="4" hidden="1">{#N/A,#N/A,FALSE,"balance";#N/A,#N/A,FALSE,"PYG"}</definedName>
    <definedName name="________________________________ok1" localSheetId="0" hidden="1">{#N/A,#N/A,FALSE,"balance";#N/A,#N/A,FALSE,"PYG"}</definedName>
    <definedName name="________________________________ok1" localSheetId="3" hidden="1">{#N/A,#N/A,FALSE,"balance";#N/A,#N/A,FALSE,"PYG"}</definedName>
    <definedName name="________________________________ok1" localSheetId="2" hidden="1">{#N/A,#N/A,FALSE,"balance";#N/A,#N/A,FALSE,"PYG"}</definedName>
    <definedName name="________________________________ok1" hidden="1">{#N/A,#N/A,FALSE,"balance";#N/A,#N/A,FALSE,"PYG"}</definedName>
    <definedName name="________________________________Ok2" localSheetId="1" hidden="1">{#N/A,#N/A,FALSE,"balance";#N/A,#N/A,FALSE,"PYG"}</definedName>
    <definedName name="________________________________Ok2" localSheetId="4" hidden="1">{#N/A,#N/A,FALSE,"balance";#N/A,#N/A,FALSE,"PYG"}</definedName>
    <definedName name="________________________________Ok2" localSheetId="0" hidden="1">{#N/A,#N/A,FALSE,"balance";#N/A,#N/A,FALSE,"PYG"}</definedName>
    <definedName name="________________________________Ok2" localSheetId="3" hidden="1">{#N/A,#N/A,FALSE,"balance";#N/A,#N/A,FALSE,"PYG"}</definedName>
    <definedName name="________________________________Ok2" localSheetId="2" hidden="1">{#N/A,#N/A,FALSE,"balance";#N/A,#N/A,FALSE,"PYG"}</definedName>
    <definedName name="________________________________Ok2" hidden="1">{#N/A,#N/A,FALSE,"balance";#N/A,#N/A,FALSE,"PYG"}</definedName>
    <definedName name="________________________________PyG2" localSheetId="1" hidden="1">{#N/A,#N/A,FALSE,"balance";#N/A,#N/A,FALSE,"PYG"}</definedName>
    <definedName name="________________________________PyG2" localSheetId="4" hidden="1">{#N/A,#N/A,FALSE,"balance";#N/A,#N/A,FALSE,"PYG"}</definedName>
    <definedName name="________________________________PyG2" localSheetId="0" hidden="1">{#N/A,#N/A,FALSE,"balance";#N/A,#N/A,FALSE,"PYG"}</definedName>
    <definedName name="________________________________PyG2" localSheetId="3" hidden="1">{#N/A,#N/A,FALSE,"balance";#N/A,#N/A,FALSE,"PYG"}</definedName>
    <definedName name="________________________________PyG2" localSheetId="2" hidden="1">{#N/A,#N/A,FALSE,"balance";#N/A,#N/A,FALSE,"PYG"}</definedName>
    <definedName name="________________________________PyG2" hidden="1">{#N/A,#N/A,FALSE,"balance";#N/A,#N/A,FALSE,"PYG"}</definedName>
    <definedName name="________________________________PYG3" localSheetId="1" hidden="1">{#N/A,#N/A,FALSE,"balance";#N/A,#N/A,FALSE,"PYG"}</definedName>
    <definedName name="________________________________PYG3" localSheetId="4" hidden="1">{#N/A,#N/A,FALSE,"balance";#N/A,#N/A,FALSE,"PYG"}</definedName>
    <definedName name="________________________________PYG3" localSheetId="0" hidden="1">{#N/A,#N/A,FALSE,"balance";#N/A,#N/A,FALSE,"PYG"}</definedName>
    <definedName name="________________________________PYG3" localSheetId="3" hidden="1">{#N/A,#N/A,FALSE,"balance";#N/A,#N/A,FALSE,"PYG"}</definedName>
    <definedName name="________________________________PYG3" localSheetId="2" hidden="1">{#N/A,#N/A,FALSE,"balance";#N/A,#N/A,FALSE,"PYG"}</definedName>
    <definedName name="________________________________PYG3" hidden="1">{#N/A,#N/A,FALSE,"balance";#N/A,#N/A,FALSE,"PYG"}</definedName>
    <definedName name="________________________________PyG33" localSheetId="1" hidden="1">{#N/A,#N/A,FALSE,"balance";#N/A,#N/A,FALSE,"PYG"}</definedName>
    <definedName name="________________________________PyG33" localSheetId="4" hidden="1">{#N/A,#N/A,FALSE,"balance";#N/A,#N/A,FALSE,"PYG"}</definedName>
    <definedName name="________________________________PyG33" localSheetId="0" hidden="1">{#N/A,#N/A,FALSE,"balance";#N/A,#N/A,FALSE,"PYG"}</definedName>
    <definedName name="________________________________PyG33" localSheetId="3" hidden="1">{#N/A,#N/A,FALSE,"balance";#N/A,#N/A,FALSE,"PYG"}</definedName>
    <definedName name="________________________________PyG33" localSheetId="2" hidden="1">{#N/A,#N/A,FALSE,"balance";#N/A,#N/A,FALSE,"PYG"}</definedName>
    <definedName name="________________________________PyG33" hidden="1">{#N/A,#N/A,FALSE,"balance";#N/A,#N/A,FALSE,"PYG"}</definedName>
    <definedName name="_______________________________GGF2" localSheetId="1" hidden="1">{#N/A,#N/A,FALSE,"balance";#N/A,#N/A,FALSE,"PYG"}</definedName>
    <definedName name="_______________________________GGF2" localSheetId="4" hidden="1">{#N/A,#N/A,FALSE,"balance";#N/A,#N/A,FALSE,"PYG"}</definedName>
    <definedName name="_______________________________GGF2" localSheetId="0" hidden="1">{#N/A,#N/A,FALSE,"balance";#N/A,#N/A,FALSE,"PYG"}</definedName>
    <definedName name="_______________________________GGF2" localSheetId="3" hidden="1">{#N/A,#N/A,FALSE,"balance";#N/A,#N/A,FALSE,"PYG"}</definedName>
    <definedName name="_______________________________GGF2" localSheetId="2" hidden="1">{#N/A,#N/A,FALSE,"balance";#N/A,#N/A,FALSE,"PYG"}</definedName>
    <definedName name="_______________________________GGF2" hidden="1">{#N/A,#N/A,FALSE,"balance";#N/A,#N/A,FALSE,"PYG"}</definedName>
    <definedName name="_______________________________OCT2" localSheetId="1" hidden="1">{#N/A,#N/A,FALSE,"BL&amp;GPA";#N/A,#N/A,FALSE,"Summary";#N/A,#N/A,FALSE,"hts"}</definedName>
    <definedName name="_______________________________OCT2" localSheetId="4" hidden="1">{#N/A,#N/A,FALSE,"BL&amp;GPA";#N/A,#N/A,FALSE,"Summary";#N/A,#N/A,FALSE,"hts"}</definedName>
    <definedName name="_______________________________OCT2" localSheetId="0" hidden="1">{#N/A,#N/A,FALSE,"BL&amp;GPA";#N/A,#N/A,FALSE,"Summary";#N/A,#N/A,FALSE,"hts"}</definedName>
    <definedName name="_______________________________OCT2" localSheetId="3" hidden="1">{#N/A,#N/A,FALSE,"BL&amp;GPA";#N/A,#N/A,FALSE,"Summary";#N/A,#N/A,FALSE,"hts"}</definedName>
    <definedName name="_______________________________OCT2" localSheetId="2" hidden="1">{#N/A,#N/A,FALSE,"BL&amp;GPA";#N/A,#N/A,FALSE,"Summary";#N/A,#N/A,FALSE,"hts"}</definedName>
    <definedName name="_______________________________OCT2" hidden="1">{#N/A,#N/A,FALSE,"BL&amp;GPA";#N/A,#N/A,FALSE,"Summary";#N/A,#N/A,FALSE,"hts"}</definedName>
    <definedName name="_______________________________ok1" localSheetId="1" hidden="1">{#N/A,#N/A,FALSE,"balance";#N/A,#N/A,FALSE,"PYG"}</definedName>
    <definedName name="_______________________________ok1" localSheetId="4" hidden="1">{#N/A,#N/A,FALSE,"balance";#N/A,#N/A,FALSE,"PYG"}</definedName>
    <definedName name="_______________________________ok1" localSheetId="0" hidden="1">{#N/A,#N/A,FALSE,"balance";#N/A,#N/A,FALSE,"PYG"}</definedName>
    <definedName name="_______________________________ok1" localSheetId="3" hidden="1">{#N/A,#N/A,FALSE,"balance";#N/A,#N/A,FALSE,"PYG"}</definedName>
    <definedName name="_______________________________ok1" localSheetId="2" hidden="1">{#N/A,#N/A,FALSE,"balance";#N/A,#N/A,FALSE,"PYG"}</definedName>
    <definedName name="_______________________________ok1" hidden="1">{#N/A,#N/A,FALSE,"balance";#N/A,#N/A,FALSE,"PYG"}</definedName>
    <definedName name="_______________________________Ok2" localSheetId="1" hidden="1">{#N/A,#N/A,FALSE,"balance";#N/A,#N/A,FALSE,"PYG"}</definedName>
    <definedName name="_______________________________Ok2" localSheetId="4" hidden="1">{#N/A,#N/A,FALSE,"balance";#N/A,#N/A,FALSE,"PYG"}</definedName>
    <definedName name="_______________________________Ok2" localSheetId="0" hidden="1">{#N/A,#N/A,FALSE,"balance";#N/A,#N/A,FALSE,"PYG"}</definedName>
    <definedName name="_______________________________Ok2" localSheetId="3" hidden="1">{#N/A,#N/A,FALSE,"balance";#N/A,#N/A,FALSE,"PYG"}</definedName>
    <definedName name="_______________________________Ok2" localSheetId="2" hidden="1">{#N/A,#N/A,FALSE,"balance";#N/A,#N/A,FALSE,"PYG"}</definedName>
    <definedName name="_______________________________Ok2" hidden="1">{#N/A,#N/A,FALSE,"balance";#N/A,#N/A,FALSE,"PYG"}</definedName>
    <definedName name="_______________________________PyG2" localSheetId="1" hidden="1">{#N/A,#N/A,FALSE,"balance";#N/A,#N/A,FALSE,"PYG"}</definedName>
    <definedName name="_______________________________PyG2" localSheetId="4" hidden="1">{#N/A,#N/A,FALSE,"balance";#N/A,#N/A,FALSE,"PYG"}</definedName>
    <definedName name="_______________________________PyG2" localSheetId="0" hidden="1">{#N/A,#N/A,FALSE,"balance";#N/A,#N/A,FALSE,"PYG"}</definedName>
    <definedName name="_______________________________PyG2" localSheetId="3" hidden="1">{#N/A,#N/A,FALSE,"balance";#N/A,#N/A,FALSE,"PYG"}</definedName>
    <definedName name="_______________________________PyG2" localSheetId="2" hidden="1">{#N/A,#N/A,FALSE,"balance";#N/A,#N/A,FALSE,"PYG"}</definedName>
    <definedName name="_______________________________PyG2" hidden="1">{#N/A,#N/A,FALSE,"balance";#N/A,#N/A,FALSE,"PYG"}</definedName>
    <definedName name="_______________________________PYG3" localSheetId="1" hidden="1">{#N/A,#N/A,FALSE,"balance";#N/A,#N/A,FALSE,"PYG"}</definedName>
    <definedName name="_______________________________PYG3" localSheetId="4" hidden="1">{#N/A,#N/A,FALSE,"balance";#N/A,#N/A,FALSE,"PYG"}</definedName>
    <definedName name="_______________________________PYG3" localSheetId="0" hidden="1">{#N/A,#N/A,FALSE,"balance";#N/A,#N/A,FALSE,"PYG"}</definedName>
    <definedName name="_______________________________PYG3" localSheetId="3" hidden="1">{#N/A,#N/A,FALSE,"balance";#N/A,#N/A,FALSE,"PYG"}</definedName>
    <definedName name="_______________________________PYG3" localSheetId="2" hidden="1">{#N/A,#N/A,FALSE,"balance";#N/A,#N/A,FALSE,"PYG"}</definedName>
    <definedName name="_______________________________PYG3" hidden="1">{#N/A,#N/A,FALSE,"balance";#N/A,#N/A,FALSE,"PYG"}</definedName>
    <definedName name="_______________________________PyG33" localSheetId="1" hidden="1">{#N/A,#N/A,FALSE,"balance";#N/A,#N/A,FALSE,"PYG"}</definedName>
    <definedName name="_______________________________PyG33" localSheetId="4" hidden="1">{#N/A,#N/A,FALSE,"balance";#N/A,#N/A,FALSE,"PYG"}</definedName>
    <definedName name="_______________________________PyG33" localSheetId="0" hidden="1">{#N/A,#N/A,FALSE,"balance";#N/A,#N/A,FALSE,"PYG"}</definedName>
    <definedName name="_______________________________PyG33" localSheetId="3" hidden="1">{#N/A,#N/A,FALSE,"balance";#N/A,#N/A,FALSE,"PYG"}</definedName>
    <definedName name="_______________________________PyG33" localSheetId="2" hidden="1">{#N/A,#N/A,FALSE,"balance";#N/A,#N/A,FALSE,"PYG"}</definedName>
    <definedName name="_______________________________PyG33" hidden="1">{#N/A,#N/A,FALSE,"balance";#N/A,#N/A,FALSE,"PYG"}</definedName>
    <definedName name="______________________________GGF2" localSheetId="1" hidden="1">{#N/A,#N/A,FALSE,"balance";#N/A,#N/A,FALSE,"PYG"}</definedName>
    <definedName name="______________________________GGF2" localSheetId="4" hidden="1">{#N/A,#N/A,FALSE,"balance";#N/A,#N/A,FALSE,"PYG"}</definedName>
    <definedName name="______________________________GGF2" localSheetId="0" hidden="1">{#N/A,#N/A,FALSE,"balance";#N/A,#N/A,FALSE,"PYG"}</definedName>
    <definedName name="______________________________GGF2" localSheetId="3" hidden="1">{#N/A,#N/A,FALSE,"balance";#N/A,#N/A,FALSE,"PYG"}</definedName>
    <definedName name="______________________________GGF2" localSheetId="2" hidden="1">{#N/A,#N/A,FALSE,"balance";#N/A,#N/A,FALSE,"PYG"}</definedName>
    <definedName name="______________________________GGF2" hidden="1">{#N/A,#N/A,FALSE,"balance";#N/A,#N/A,FALSE,"PYG"}</definedName>
    <definedName name="______________________________OCT2" localSheetId="1" hidden="1">{#N/A,#N/A,FALSE,"BL&amp;GPA";#N/A,#N/A,FALSE,"Summary";#N/A,#N/A,FALSE,"hts"}</definedName>
    <definedName name="______________________________OCT2" localSheetId="4" hidden="1">{#N/A,#N/A,FALSE,"BL&amp;GPA";#N/A,#N/A,FALSE,"Summary";#N/A,#N/A,FALSE,"hts"}</definedName>
    <definedName name="______________________________OCT2" localSheetId="0" hidden="1">{#N/A,#N/A,FALSE,"BL&amp;GPA";#N/A,#N/A,FALSE,"Summary";#N/A,#N/A,FALSE,"hts"}</definedName>
    <definedName name="______________________________OCT2" localSheetId="3" hidden="1">{#N/A,#N/A,FALSE,"BL&amp;GPA";#N/A,#N/A,FALSE,"Summary";#N/A,#N/A,FALSE,"hts"}</definedName>
    <definedName name="______________________________OCT2" localSheetId="2" hidden="1">{#N/A,#N/A,FALSE,"BL&amp;GPA";#N/A,#N/A,FALSE,"Summary";#N/A,#N/A,FALSE,"hts"}</definedName>
    <definedName name="______________________________OCT2" hidden="1">{#N/A,#N/A,FALSE,"BL&amp;GPA";#N/A,#N/A,FALSE,"Summary";#N/A,#N/A,FALSE,"hts"}</definedName>
    <definedName name="______________________________ok1" localSheetId="1" hidden="1">{#N/A,#N/A,FALSE,"balance";#N/A,#N/A,FALSE,"PYG"}</definedName>
    <definedName name="______________________________ok1" localSheetId="4" hidden="1">{#N/A,#N/A,FALSE,"balance";#N/A,#N/A,FALSE,"PYG"}</definedName>
    <definedName name="______________________________ok1" localSheetId="0" hidden="1">{#N/A,#N/A,FALSE,"balance";#N/A,#N/A,FALSE,"PYG"}</definedName>
    <definedName name="______________________________ok1" localSheetId="3" hidden="1">{#N/A,#N/A,FALSE,"balance";#N/A,#N/A,FALSE,"PYG"}</definedName>
    <definedName name="______________________________ok1" localSheetId="2" hidden="1">{#N/A,#N/A,FALSE,"balance";#N/A,#N/A,FALSE,"PYG"}</definedName>
    <definedName name="______________________________ok1" hidden="1">{#N/A,#N/A,FALSE,"balance";#N/A,#N/A,FALSE,"PYG"}</definedName>
    <definedName name="______________________________Ok2" localSheetId="1" hidden="1">{#N/A,#N/A,FALSE,"balance";#N/A,#N/A,FALSE,"PYG"}</definedName>
    <definedName name="______________________________Ok2" localSheetId="4" hidden="1">{#N/A,#N/A,FALSE,"balance";#N/A,#N/A,FALSE,"PYG"}</definedName>
    <definedName name="______________________________Ok2" localSheetId="0" hidden="1">{#N/A,#N/A,FALSE,"balance";#N/A,#N/A,FALSE,"PYG"}</definedName>
    <definedName name="______________________________Ok2" localSheetId="3" hidden="1">{#N/A,#N/A,FALSE,"balance";#N/A,#N/A,FALSE,"PYG"}</definedName>
    <definedName name="______________________________Ok2" localSheetId="2" hidden="1">{#N/A,#N/A,FALSE,"balance";#N/A,#N/A,FALSE,"PYG"}</definedName>
    <definedName name="______________________________Ok2" hidden="1">{#N/A,#N/A,FALSE,"balance";#N/A,#N/A,FALSE,"PYG"}</definedName>
    <definedName name="______________________________PyG2" localSheetId="1" hidden="1">{#N/A,#N/A,FALSE,"balance";#N/A,#N/A,FALSE,"PYG"}</definedName>
    <definedName name="______________________________PyG2" localSheetId="4" hidden="1">{#N/A,#N/A,FALSE,"balance";#N/A,#N/A,FALSE,"PYG"}</definedName>
    <definedName name="______________________________PyG2" localSheetId="0" hidden="1">{#N/A,#N/A,FALSE,"balance";#N/A,#N/A,FALSE,"PYG"}</definedName>
    <definedName name="______________________________PyG2" localSheetId="3" hidden="1">{#N/A,#N/A,FALSE,"balance";#N/A,#N/A,FALSE,"PYG"}</definedName>
    <definedName name="______________________________PyG2" localSheetId="2" hidden="1">{#N/A,#N/A,FALSE,"balance";#N/A,#N/A,FALSE,"PYG"}</definedName>
    <definedName name="______________________________PyG2" hidden="1">{#N/A,#N/A,FALSE,"balance";#N/A,#N/A,FALSE,"PYG"}</definedName>
    <definedName name="______________________________PYG3" localSheetId="1" hidden="1">{#N/A,#N/A,FALSE,"balance";#N/A,#N/A,FALSE,"PYG"}</definedName>
    <definedName name="______________________________PYG3" localSheetId="4" hidden="1">{#N/A,#N/A,FALSE,"balance";#N/A,#N/A,FALSE,"PYG"}</definedName>
    <definedName name="______________________________PYG3" localSheetId="0" hidden="1">{#N/A,#N/A,FALSE,"balance";#N/A,#N/A,FALSE,"PYG"}</definedName>
    <definedName name="______________________________PYG3" localSheetId="3" hidden="1">{#N/A,#N/A,FALSE,"balance";#N/A,#N/A,FALSE,"PYG"}</definedName>
    <definedName name="______________________________PYG3" localSheetId="2" hidden="1">{#N/A,#N/A,FALSE,"balance";#N/A,#N/A,FALSE,"PYG"}</definedName>
    <definedName name="______________________________PYG3" hidden="1">{#N/A,#N/A,FALSE,"balance";#N/A,#N/A,FALSE,"PYG"}</definedName>
    <definedName name="______________________________PyG33" localSheetId="1" hidden="1">{#N/A,#N/A,FALSE,"balance";#N/A,#N/A,FALSE,"PYG"}</definedName>
    <definedName name="______________________________PyG33" localSheetId="4" hidden="1">{#N/A,#N/A,FALSE,"balance";#N/A,#N/A,FALSE,"PYG"}</definedName>
    <definedName name="______________________________PyG33" localSheetId="0" hidden="1">{#N/A,#N/A,FALSE,"balance";#N/A,#N/A,FALSE,"PYG"}</definedName>
    <definedName name="______________________________PyG33" localSheetId="3" hidden="1">{#N/A,#N/A,FALSE,"balance";#N/A,#N/A,FALSE,"PYG"}</definedName>
    <definedName name="______________________________PyG33" localSheetId="2" hidden="1">{#N/A,#N/A,FALSE,"balance";#N/A,#N/A,FALSE,"PYG"}</definedName>
    <definedName name="______________________________PyG33" hidden="1">{#N/A,#N/A,FALSE,"balance";#N/A,#N/A,FALSE,"PYG"}</definedName>
    <definedName name="_____________________________GGF2" localSheetId="1" hidden="1">{#N/A,#N/A,FALSE,"balance";#N/A,#N/A,FALSE,"PYG"}</definedName>
    <definedName name="_____________________________GGF2" localSheetId="4" hidden="1">{#N/A,#N/A,FALSE,"balance";#N/A,#N/A,FALSE,"PYG"}</definedName>
    <definedName name="_____________________________GGF2" localSheetId="0" hidden="1">{#N/A,#N/A,FALSE,"balance";#N/A,#N/A,FALSE,"PYG"}</definedName>
    <definedName name="_____________________________GGF2" localSheetId="3" hidden="1">{#N/A,#N/A,FALSE,"balance";#N/A,#N/A,FALSE,"PYG"}</definedName>
    <definedName name="_____________________________GGF2" localSheetId="2" hidden="1">{#N/A,#N/A,FALSE,"balance";#N/A,#N/A,FALSE,"PYG"}</definedName>
    <definedName name="_____________________________GGF2" hidden="1">{#N/A,#N/A,FALSE,"balance";#N/A,#N/A,FALSE,"PYG"}</definedName>
    <definedName name="_____________________________OCT2" localSheetId="1" hidden="1">{#N/A,#N/A,FALSE,"BL&amp;GPA";#N/A,#N/A,FALSE,"Summary";#N/A,#N/A,FALSE,"hts"}</definedName>
    <definedName name="_____________________________OCT2" localSheetId="4" hidden="1">{#N/A,#N/A,FALSE,"BL&amp;GPA";#N/A,#N/A,FALSE,"Summary";#N/A,#N/A,FALSE,"hts"}</definedName>
    <definedName name="_____________________________OCT2" localSheetId="0" hidden="1">{#N/A,#N/A,FALSE,"BL&amp;GPA";#N/A,#N/A,FALSE,"Summary";#N/A,#N/A,FALSE,"hts"}</definedName>
    <definedName name="_____________________________OCT2" localSheetId="3" hidden="1">{#N/A,#N/A,FALSE,"BL&amp;GPA";#N/A,#N/A,FALSE,"Summary";#N/A,#N/A,FALSE,"hts"}</definedName>
    <definedName name="_____________________________OCT2" localSheetId="2" hidden="1">{#N/A,#N/A,FALSE,"BL&amp;GPA";#N/A,#N/A,FALSE,"Summary";#N/A,#N/A,FALSE,"hts"}</definedName>
    <definedName name="_____________________________OCT2" hidden="1">{#N/A,#N/A,FALSE,"BL&amp;GPA";#N/A,#N/A,FALSE,"Summary";#N/A,#N/A,FALSE,"hts"}</definedName>
    <definedName name="_____________________________ok1" localSheetId="1" hidden="1">{#N/A,#N/A,FALSE,"balance";#N/A,#N/A,FALSE,"PYG"}</definedName>
    <definedName name="_____________________________ok1" localSheetId="4" hidden="1">{#N/A,#N/A,FALSE,"balance";#N/A,#N/A,FALSE,"PYG"}</definedName>
    <definedName name="_____________________________ok1" localSheetId="0" hidden="1">{#N/A,#N/A,FALSE,"balance";#N/A,#N/A,FALSE,"PYG"}</definedName>
    <definedName name="_____________________________ok1" localSheetId="3" hidden="1">{#N/A,#N/A,FALSE,"balance";#N/A,#N/A,FALSE,"PYG"}</definedName>
    <definedName name="_____________________________ok1" localSheetId="2" hidden="1">{#N/A,#N/A,FALSE,"balance";#N/A,#N/A,FALSE,"PYG"}</definedName>
    <definedName name="_____________________________ok1" hidden="1">{#N/A,#N/A,FALSE,"balance";#N/A,#N/A,FALSE,"PYG"}</definedName>
    <definedName name="_____________________________Ok2" localSheetId="1" hidden="1">{#N/A,#N/A,FALSE,"balance";#N/A,#N/A,FALSE,"PYG"}</definedName>
    <definedName name="_____________________________Ok2" localSheetId="4" hidden="1">{#N/A,#N/A,FALSE,"balance";#N/A,#N/A,FALSE,"PYG"}</definedName>
    <definedName name="_____________________________Ok2" localSheetId="0" hidden="1">{#N/A,#N/A,FALSE,"balance";#N/A,#N/A,FALSE,"PYG"}</definedName>
    <definedName name="_____________________________Ok2" localSheetId="3" hidden="1">{#N/A,#N/A,FALSE,"balance";#N/A,#N/A,FALSE,"PYG"}</definedName>
    <definedName name="_____________________________Ok2" localSheetId="2" hidden="1">{#N/A,#N/A,FALSE,"balance";#N/A,#N/A,FALSE,"PYG"}</definedName>
    <definedName name="_____________________________Ok2" hidden="1">{#N/A,#N/A,FALSE,"balance";#N/A,#N/A,FALSE,"PYG"}</definedName>
    <definedName name="_____________________________PyG2" localSheetId="1" hidden="1">{#N/A,#N/A,FALSE,"balance";#N/A,#N/A,FALSE,"PYG"}</definedName>
    <definedName name="_____________________________PyG2" localSheetId="4" hidden="1">{#N/A,#N/A,FALSE,"balance";#N/A,#N/A,FALSE,"PYG"}</definedName>
    <definedName name="_____________________________PyG2" localSheetId="0" hidden="1">{#N/A,#N/A,FALSE,"balance";#N/A,#N/A,FALSE,"PYG"}</definedName>
    <definedName name="_____________________________PyG2" localSheetId="3" hidden="1">{#N/A,#N/A,FALSE,"balance";#N/A,#N/A,FALSE,"PYG"}</definedName>
    <definedName name="_____________________________PyG2" localSheetId="2" hidden="1">{#N/A,#N/A,FALSE,"balance";#N/A,#N/A,FALSE,"PYG"}</definedName>
    <definedName name="_____________________________PyG2" hidden="1">{#N/A,#N/A,FALSE,"balance";#N/A,#N/A,FALSE,"PYG"}</definedName>
    <definedName name="_____________________________PYG3" localSheetId="1" hidden="1">{#N/A,#N/A,FALSE,"balance";#N/A,#N/A,FALSE,"PYG"}</definedName>
    <definedName name="_____________________________PYG3" localSheetId="4" hidden="1">{#N/A,#N/A,FALSE,"balance";#N/A,#N/A,FALSE,"PYG"}</definedName>
    <definedName name="_____________________________PYG3" localSheetId="0" hidden="1">{#N/A,#N/A,FALSE,"balance";#N/A,#N/A,FALSE,"PYG"}</definedName>
    <definedName name="_____________________________PYG3" localSheetId="3" hidden="1">{#N/A,#N/A,FALSE,"balance";#N/A,#N/A,FALSE,"PYG"}</definedName>
    <definedName name="_____________________________PYG3" localSheetId="2" hidden="1">{#N/A,#N/A,FALSE,"balance";#N/A,#N/A,FALSE,"PYG"}</definedName>
    <definedName name="_____________________________PYG3" hidden="1">{#N/A,#N/A,FALSE,"balance";#N/A,#N/A,FALSE,"PYG"}</definedName>
    <definedName name="_____________________________PyG33" localSheetId="1" hidden="1">{#N/A,#N/A,FALSE,"balance";#N/A,#N/A,FALSE,"PYG"}</definedName>
    <definedName name="_____________________________PyG33" localSheetId="4" hidden="1">{#N/A,#N/A,FALSE,"balance";#N/A,#N/A,FALSE,"PYG"}</definedName>
    <definedName name="_____________________________PyG33" localSheetId="0" hidden="1">{#N/A,#N/A,FALSE,"balance";#N/A,#N/A,FALSE,"PYG"}</definedName>
    <definedName name="_____________________________PyG33" localSheetId="3" hidden="1">{#N/A,#N/A,FALSE,"balance";#N/A,#N/A,FALSE,"PYG"}</definedName>
    <definedName name="_____________________________PyG33" localSheetId="2" hidden="1">{#N/A,#N/A,FALSE,"balance";#N/A,#N/A,FALSE,"PYG"}</definedName>
    <definedName name="_____________________________PyG33" hidden="1">{#N/A,#N/A,FALSE,"balance";#N/A,#N/A,FALSE,"PYG"}</definedName>
    <definedName name="____________________________GGF2" localSheetId="1" hidden="1">{#N/A,#N/A,FALSE,"balance";#N/A,#N/A,FALSE,"PYG"}</definedName>
    <definedName name="____________________________GGF2" localSheetId="4" hidden="1">{#N/A,#N/A,FALSE,"balance";#N/A,#N/A,FALSE,"PYG"}</definedName>
    <definedName name="____________________________GGF2" localSheetId="0" hidden="1">{#N/A,#N/A,FALSE,"balance";#N/A,#N/A,FALSE,"PYG"}</definedName>
    <definedName name="____________________________GGF2" localSheetId="3" hidden="1">{#N/A,#N/A,FALSE,"balance";#N/A,#N/A,FALSE,"PYG"}</definedName>
    <definedName name="____________________________GGF2" localSheetId="2" hidden="1">{#N/A,#N/A,FALSE,"balance";#N/A,#N/A,FALSE,"PYG"}</definedName>
    <definedName name="____________________________GGF2" hidden="1">{#N/A,#N/A,FALSE,"balance";#N/A,#N/A,FALSE,"PYG"}</definedName>
    <definedName name="____________________________OCT2" localSheetId="1" hidden="1">{#N/A,#N/A,FALSE,"BL&amp;GPA";#N/A,#N/A,FALSE,"Summary";#N/A,#N/A,FALSE,"hts"}</definedName>
    <definedName name="____________________________OCT2" localSheetId="4" hidden="1">{#N/A,#N/A,FALSE,"BL&amp;GPA";#N/A,#N/A,FALSE,"Summary";#N/A,#N/A,FALSE,"hts"}</definedName>
    <definedName name="____________________________OCT2" localSheetId="0" hidden="1">{#N/A,#N/A,FALSE,"BL&amp;GPA";#N/A,#N/A,FALSE,"Summary";#N/A,#N/A,FALSE,"hts"}</definedName>
    <definedName name="____________________________OCT2" localSheetId="3" hidden="1">{#N/A,#N/A,FALSE,"BL&amp;GPA";#N/A,#N/A,FALSE,"Summary";#N/A,#N/A,FALSE,"hts"}</definedName>
    <definedName name="____________________________OCT2" localSheetId="2" hidden="1">{#N/A,#N/A,FALSE,"BL&amp;GPA";#N/A,#N/A,FALSE,"Summary";#N/A,#N/A,FALSE,"hts"}</definedName>
    <definedName name="____________________________OCT2" hidden="1">{#N/A,#N/A,FALSE,"BL&amp;GPA";#N/A,#N/A,FALSE,"Summary";#N/A,#N/A,FALSE,"hts"}</definedName>
    <definedName name="____________________________ok1" localSheetId="1" hidden="1">{#N/A,#N/A,FALSE,"balance";#N/A,#N/A,FALSE,"PYG"}</definedName>
    <definedName name="____________________________ok1" localSheetId="4" hidden="1">{#N/A,#N/A,FALSE,"balance";#N/A,#N/A,FALSE,"PYG"}</definedName>
    <definedName name="____________________________ok1" localSheetId="0" hidden="1">{#N/A,#N/A,FALSE,"balance";#N/A,#N/A,FALSE,"PYG"}</definedName>
    <definedName name="____________________________ok1" localSheetId="3" hidden="1">{#N/A,#N/A,FALSE,"balance";#N/A,#N/A,FALSE,"PYG"}</definedName>
    <definedName name="____________________________ok1" localSheetId="2" hidden="1">{#N/A,#N/A,FALSE,"balance";#N/A,#N/A,FALSE,"PYG"}</definedName>
    <definedName name="____________________________ok1" hidden="1">{#N/A,#N/A,FALSE,"balance";#N/A,#N/A,FALSE,"PYG"}</definedName>
    <definedName name="____________________________Ok2" localSheetId="1" hidden="1">{#N/A,#N/A,FALSE,"balance";#N/A,#N/A,FALSE,"PYG"}</definedName>
    <definedName name="____________________________Ok2" localSheetId="4" hidden="1">{#N/A,#N/A,FALSE,"balance";#N/A,#N/A,FALSE,"PYG"}</definedName>
    <definedName name="____________________________Ok2" localSheetId="0" hidden="1">{#N/A,#N/A,FALSE,"balance";#N/A,#N/A,FALSE,"PYG"}</definedName>
    <definedName name="____________________________Ok2" localSheetId="3" hidden="1">{#N/A,#N/A,FALSE,"balance";#N/A,#N/A,FALSE,"PYG"}</definedName>
    <definedName name="____________________________Ok2" localSheetId="2" hidden="1">{#N/A,#N/A,FALSE,"balance";#N/A,#N/A,FALSE,"PYG"}</definedName>
    <definedName name="____________________________Ok2" hidden="1">{#N/A,#N/A,FALSE,"balance";#N/A,#N/A,FALSE,"PYG"}</definedName>
    <definedName name="____________________________PyG2" localSheetId="1" hidden="1">{#N/A,#N/A,FALSE,"balance";#N/A,#N/A,FALSE,"PYG"}</definedName>
    <definedName name="____________________________PyG2" localSheetId="4" hidden="1">{#N/A,#N/A,FALSE,"balance";#N/A,#N/A,FALSE,"PYG"}</definedName>
    <definedName name="____________________________PyG2" localSheetId="0" hidden="1">{#N/A,#N/A,FALSE,"balance";#N/A,#N/A,FALSE,"PYG"}</definedName>
    <definedName name="____________________________PyG2" localSheetId="3" hidden="1">{#N/A,#N/A,FALSE,"balance";#N/A,#N/A,FALSE,"PYG"}</definedName>
    <definedName name="____________________________PyG2" localSheetId="2" hidden="1">{#N/A,#N/A,FALSE,"balance";#N/A,#N/A,FALSE,"PYG"}</definedName>
    <definedName name="____________________________PyG2" hidden="1">{#N/A,#N/A,FALSE,"balance";#N/A,#N/A,FALSE,"PYG"}</definedName>
    <definedName name="____________________________PYG3" localSheetId="1" hidden="1">{#N/A,#N/A,FALSE,"balance";#N/A,#N/A,FALSE,"PYG"}</definedName>
    <definedName name="____________________________PYG3" localSheetId="4" hidden="1">{#N/A,#N/A,FALSE,"balance";#N/A,#N/A,FALSE,"PYG"}</definedName>
    <definedName name="____________________________PYG3" localSheetId="0" hidden="1">{#N/A,#N/A,FALSE,"balance";#N/A,#N/A,FALSE,"PYG"}</definedName>
    <definedName name="____________________________PYG3" localSheetId="3" hidden="1">{#N/A,#N/A,FALSE,"balance";#N/A,#N/A,FALSE,"PYG"}</definedName>
    <definedName name="____________________________PYG3" localSheetId="2" hidden="1">{#N/A,#N/A,FALSE,"balance";#N/A,#N/A,FALSE,"PYG"}</definedName>
    <definedName name="____________________________PYG3" hidden="1">{#N/A,#N/A,FALSE,"balance";#N/A,#N/A,FALSE,"PYG"}</definedName>
    <definedName name="____________________________PyG33" localSheetId="1" hidden="1">{#N/A,#N/A,FALSE,"balance";#N/A,#N/A,FALSE,"PYG"}</definedName>
    <definedName name="____________________________PyG33" localSheetId="4" hidden="1">{#N/A,#N/A,FALSE,"balance";#N/A,#N/A,FALSE,"PYG"}</definedName>
    <definedName name="____________________________PyG33" localSheetId="0" hidden="1">{#N/A,#N/A,FALSE,"balance";#N/A,#N/A,FALSE,"PYG"}</definedName>
    <definedName name="____________________________PyG33" localSheetId="3" hidden="1">{#N/A,#N/A,FALSE,"balance";#N/A,#N/A,FALSE,"PYG"}</definedName>
    <definedName name="____________________________PyG33" localSheetId="2" hidden="1">{#N/A,#N/A,FALSE,"balance";#N/A,#N/A,FALSE,"PYG"}</definedName>
    <definedName name="____________________________PyG33" hidden="1">{#N/A,#N/A,FALSE,"balance";#N/A,#N/A,FALSE,"PYG"}</definedName>
    <definedName name="___________________________GGF2" localSheetId="1" hidden="1">{#N/A,#N/A,FALSE,"balance";#N/A,#N/A,FALSE,"PYG"}</definedName>
    <definedName name="___________________________GGF2" localSheetId="4" hidden="1">{#N/A,#N/A,FALSE,"balance";#N/A,#N/A,FALSE,"PYG"}</definedName>
    <definedName name="___________________________GGF2" localSheetId="0" hidden="1">{#N/A,#N/A,FALSE,"balance";#N/A,#N/A,FALSE,"PYG"}</definedName>
    <definedName name="___________________________GGF2" localSheetId="3" hidden="1">{#N/A,#N/A,FALSE,"balance";#N/A,#N/A,FALSE,"PYG"}</definedName>
    <definedName name="___________________________GGF2" localSheetId="2" hidden="1">{#N/A,#N/A,FALSE,"balance";#N/A,#N/A,FALSE,"PYG"}</definedName>
    <definedName name="___________________________GGF2" hidden="1">{#N/A,#N/A,FALSE,"balance";#N/A,#N/A,FALSE,"PYG"}</definedName>
    <definedName name="___________________________OCT2" localSheetId="1" hidden="1">{#N/A,#N/A,FALSE,"BL&amp;GPA";#N/A,#N/A,FALSE,"Summary";#N/A,#N/A,FALSE,"hts"}</definedName>
    <definedName name="___________________________OCT2" localSheetId="4" hidden="1">{#N/A,#N/A,FALSE,"BL&amp;GPA";#N/A,#N/A,FALSE,"Summary";#N/A,#N/A,FALSE,"hts"}</definedName>
    <definedName name="___________________________OCT2" localSheetId="0" hidden="1">{#N/A,#N/A,FALSE,"BL&amp;GPA";#N/A,#N/A,FALSE,"Summary";#N/A,#N/A,FALSE,"hts"}</definedName>
    <definedName name="___________________________OCT2" localSheetId="3" hidden="1">{#N/A,#N/A,FALSE,"BL&amp;GPA";#N/A,#N/A,FALSE,"Summary";#N/A,#N/A,FALSE,"hts"}</definedName>
    <definedName name="___________________________OCT2" localSheetId="2" hidden="1">{#N/A,#N/A,FALSE,"BL&amp;GPA";#N/A,#N/A,FALSE,"Summary";#N/A,#N/A,FALSE,"hts"}</definedName>
    <definedName name="___________________________OCT2" hidden="1">{#N/A,#N/A,FALSE,"BL&amp;GPA";#N/A,#N/A,FALSE,"Summary";#N/A,#N/A,FALSE,"hts"}</definedName>
    <definedName name="___________________________ok1" localSheetId="1" hidden="1">{#N/A,#N/A,FALSE,"balance";#N/A,#N/A,FALSE,"PYG"}</definedName>
    <definedName name="___________________________ok1" localSheetId="4" hidden="1">{#N/A,#N/A,FALSE,"balance";#N/A,#N/A,FALSE,"PYG"}</definedName>
    <definedName name="___________________________ok1" localSheetId="0" hidden="1">{#N/A,#N/A,FALSE,"balance";#N/A,#N/A,FALSE,"PYG"}</definedName>
    <definedName name="___________________________ok1" localSheetId="3" hidden="1">{#N/A,#N/A,FALSE,"balance";#N/A,#N/A,FALSE,"PYG"}</definedName>
    <definedName name="___________________________ok1" localSheetId="2" hidden="1">{#N/A,#N/A,FALSE,"balance";#N/A,#N/A,FALSE,"PYG"}</definedName>
    <definedName name="___________________________ok1" hidden="1">{#N/A,#N/A,FALSE,"balance";#N/A,#N/A,FALSE,"PYG"}</definedName>
    <definedName name="___________________________Ok2" localSheetId="1" hidden="1">{#N/A,#N/A,FALSE,"balance";#N/A,#N/A,FALSE,"PYG"}</definedName>
    <definedName name="___________________________Ok2" localSheetId="4" hidden="1">{#N/A,#N/A,FALSE,"balance";#N/A,#N/A,FALSE,"PYG"}</definedName>
    <definedName name="___________________________Ok2" localSheetId="0" hidden="1">{#N/A,#N/A,FALSE,"balance";#N/A,#N/A,FALSE,"PYG"}</definedName>
    <definedName name="___________________________Ok2" localSheetId="3" hidden="1">{#N/A,#N/A,FALSE,"balance";#N/A,#N/A,FALSE,"PYG"}</definedName>
    <definedName name="___________________________Ok2" localSheetId="2" hidden="1">{#N/A,#N/A,FALSE,"balance";#N/A,#N/A,FALSE,"PYG"}</definedName>
    <definedName name="___________________________Ok2" hidden="1">{#N/A,#N/A,FALSE,"balance";#N/A,#N/A,FALSE,"PYG"}</definedName>
    <definedName name="___________________________PyG2" localSheetId="1" hidden="1">{#N/A,#N/A,FALSE,"balance";#N/A,#N/A,FALSE,"PYG"}</definedName>
    <definedName name="___________________________PyG2" localSheetId="4" hidden="1">{#N/A,#N/A,FALSE,"balance";#N/A,#N/A,FALSE,"PYG"}</definedName>
    <definedName name="___________________________PyG2" localSheetId="0" hidden="1">{#N/A,#N/A,FALSE,"balance";#N/A,#N/A,FALSE,"PYG"}</definedName>
    <definedName name="___________________________PyG2" localSheetId="3" hidden="1">{#N/A,#N/A,FALSE,"balance";#N/A,#N/A,FALSE,"PYG"}</definedName>
    <definedName name="___________________________PyG2" localSheetId="2" hidden="1">{#N/A,#N/A,FALSE,"balance";#N/A,#N/A,FALSE,"PYG"}</definedName>
    <definedName name="___________________________PyG2" hidden="1">{#N/A,#N/A,FALSE,"balance";#N/A,#N/A,FALSE,"PYG"}</definedName>
    <definedName name="___________________________PYG3" localSheetId="1" hidden="1">{#N/A,#N/A,FALSE,"balance";#N/A,#N/A,FALSE,"PYG"}</definedName>
    <definedName name="___________________________PYG3" localSheetId="4" hidden="1">{#N/A,#N/A,FALSE,"balance";#N/A,#N/A,FALSE,"PYG"}</definedName>
    <definedName name="___________________________PYG3" localSheetId="0" hidden="1">{#N/A,#N/A,FALSE,"balance";#N/A,#N/A,FALSE,"PYG"}</definedName>
    <definedName name="___________________________PYG3" localSheetId="3" hidden="1">{#N/A,#N/A,FALSE,"balance";#N/A,#N/A,FALSE,"PYG"}</definedName>
    <definedName name="___________________________PYG3" localSheetId="2" hidden="1">{#N/A,#N/A,FALSE,"balance";#N/A,#N/A,FALSE,"PYG"}</definedName>
    <definedName name="___________________________PYG3" hidden="1">{#N/A,#N/A,FALSE,"balance";#N/A,#N/A,FALSE,"PYG"}</definedName>
    <definedName name="___________________________PyG33" localSheetId="1" hidden="1">{#N/A,#N/A,FALSE,"balance";#N/A,#N/A,FALSE,"PYG"}</definedName>
    <definedName name="___________________________PyG33" localSheetId="4" hidden="1">{#N/A,#N/A,FALSE,"balance";#N/A,#N/A,FALSE,"PYG"}</definedName>
    <definedName name="___________________________PyG33" localSheetId="0" hidden="1">{#N/A,#N/A,FALSE,"balance";#N/A,#N/A,FALSE,"PYG"}</definedName>
    <definedName name="___________________________PyG33" localSheetId="3" hidden="1">{#N/A,#N/A,FALSE,"balance";#N/A,#N/A,FALSE,"PYG"}</definedName>
    <definedName name="___________________________PyG33" localSheetId="2" hidden="1">{#N/A,#N/A,FALSE,"balance";#N/A,#N/A,FALSE,"PYG"}</definedName>
    <definedName name="___________________________PyG33" hidden="1">{#N/A,#N/A,FALSE,"balance";#N/A,#N/A,FALSE,"PYG"}</definedName>
    <definedName name="__________________________GGF2" localSheetId="1" hidden="1">{#N/A,#N/A,FALSE,"balance";#N/A,#N/A,FALSE,"PYG"}</definedName>
    <definedName name="__________________________GGF2" localSheetId="4" hidden="1">{#N/A,#N/A,FALSE,"balance";#N/A,#N/A,FALSE,"PYG"}</definedName>
    <definedName name="__________________________GGF2" localSheetId="0" hidden="1">{#N/A,#N/A,FALSE,"balance";#N/A,#N/A,FALSE,"PYG"}</definedName>
    <definedName name="__________________________GGF2" localSheetId="3" hidden="1">{#N/A,#N/A,FALSE,"balance";#N/A,#N/A,FALSE,"PYG"}</definedName>
    <definedName name="__________________________GGF2" localSheetId="2" hidden="1">{#N/A,#N/A,FALSE,"balance";#N/A,#N/A,FALSE,"PYG"}</definedName>
    <definedName name="__________________________GGF2" hidden="1">{#N/A,#N/A,FALSE,"balance";#N/A,#N/A,FALSE,"PYG"}</definedName>
    <definedName name="__________________________OCT2" localSheetId="1" hidden="1">{#N/A,#N/A,FALSE,"BL&amp;GPA";#N/A,#N/A,FALSE,"Summary";#N/A,#N/A,FALSE,"hts"}</definedName>
    <definedName name="__________________________OCT2" localSheetId="4" hidden="1">{#N/A,#N/A,FALSE,"BL&amp;GPA";#N/A,#N/A,FALSE,"Summary";#N/A,#N/A,FALSE,"hts"}</definedName>
    <definedName name="__________________________OCT2" localSheetId="0" hidden="1">{#N/A,#N/A,FALSE,"BL&amp;GPA";#N/A,#N/A,FALSE,"Summary";#N/A,#N/A,FALSE,"hts"}</definedName>
    <definedName name="__________________________OCT2" localSheetId="3" hidden="1">{#N/A,#N/A,FALSE,"BL&amp;GPA";#N/A,#N/A,FALSE,"Summary";#N/A,#N/A,FALSE,"hts"}</definedName>
    <definedName name="__________________________OCT2" localSheetId="2" hidden="1">{#N/A,#N/A,FALSE,"BL&amp;GPA";#N/A,#N/A,FALSE,"Summary";#N/A,#N/A,FALSE,"hts"}</definedName>
    <definedName name="__________________________OCT2" hidden="1">{#N/A,#N/A,FALSE,"BL&amp;GPA";#N/A,#N/A,FALSE,"Summary";#N/A,#N/A,FALSE,"hts"}</definedName>
    <definedName name="__________________________ok1" localSheetId="1" hidden="1">{#N/A,#N/A,FALSE,"balance";#N/A,#N/A,FALSE,"PYG"}</definedName>
    <definedName name="__________________________ok1" localSheetId="4" hidden="1">{#N/A,#N/A,FALSE,"balance";#N/A,#N/A,FALSE,"PYG"}</definedName>
    <definedName name="__________________________ok1" localSheetId="0" hidden="1">{#N/A,#N/A,FALSE,"balance";#N/A,#N/A,FALSE,"PYG"}</definedName>
    <definedName name="__________________________ok1" localSheetId="3" hidden="1">{#N/A,#N/A,FALSE,"balance";#N/A,#N/A,FALSE,"PYG"}</definedName>
    <definedName name="__________________________ok1" localSheetId="2" hidden="1">{#N/A,#N/A,FALSE,"balance";#N/A,#N/A,FALSE,"PYG"}</definedName>
    <definedName name="__________________________ok1" hidden="1">{#N/A,#N/A,FALSE,"balance";#N/A,#N/A,FALSE,"PYG"}</definedName>
    <definedName name="__________________________Ok2" localSheetId="1" hidden="1">{#N/A,#N/A,FALSE,"balance";#N/A,#N/A,FALSE,"PYG"}</definedName>
    <definedName name="__________________________Ok2" localSheetId="4" hidden="1">{#N/A,#N/A,FALSE,"balance";#N/A,#N/A,FALSE,"PYG"}</definedName>
    <definedName name="__________________________Ok2" localSheetId="0" hidden="1">{#N/A,#N/A,FALSE,"balance";#N/A,#N/A,FALSE,"PYG"}</definedName>
    <definedName name="__________________________Ok2" localSheetId="3" hidden="1">{#N/A,#N/A,FALSE,"balance";#N/A,#N/A,FALSE,"PYG"}</definedName>
    <definedName name="__________________________Ok2" localSheetId="2" hidden="1">{#N/A,#N/A,FALSE,"balance";#N/A,#N/A,FALSE,"PYG"}</definedName>
    <definedName name="__________________________Ok2" hidden="1">{#N/A,#N/A,FALSE,"balance";#N/A,#N/A,FALSE,"PYG"}</definedName>
    <definedName name="__________________________PyG2" localSheetId="1" hidden="1">{#N/A,#N/A,FALSE,"balance";#N/A,#N/A,FALSE,"PYG"}</definedName>
    <definedName name="__________________________PyG2" localSheetId="4" hidden="1">{#N/A,#N/A,FALSE,"balance";#N/A,#N/A,FALSE,"PYG"}</definedName>
    <definedName name="__________________________PyG2" localSheetId="0" hidden="1">{#N/A,#N/A,FALSE,"balance";#N/A,#N/A,FALSE,"PYG"}</definedName>
    <definedName name="__________________________PyG2" localSheetId="3" hidden="1">{#N/A,#N/A,FALSE,"balance";#N/A,#N/A,FALSE,"PYG"}</definedName>
    <definedName name="__________________________PyG2" localSheetId="2" hidden="1">{#N/A,#N/A,FALSE,"balance";#N/A,#N/A,FALSE,"PYG"}</definedName>
    <definedName name="__________________________PyG2" hidden="1">{#N/A,#N/A,FALSE,"balance";#N/A,#N/A,FALSE,"PYG"}</definedName>
    <definedName name="__________________________PYG3" localSheetId="1" hidden="1">{#N/A,#N/A,FALSE,"balance";#N/A,#N/A,FALSE,"PYG"}</definedName>
    <definedName name="__________________________PYG3" localSheetId="4" hidden="1">{#N/A,#N/A,FALSE,"balance";#N/A,#N/A,FALSE,"PYG"}</definedName>
    <definedName name="__________________________PYG3" localSheetId="0" hidden="1">{#N/A,#N/A,FALSE,"balance";#N/A,#N/A,FALSE,"PYG"}</definedName>
    <definedName name="__________________________PYG3" localSheetId="3" hidden="1">{#N/A,#N/A,FALSE,"balance";#N/A,#N/A,FALSE,"PYG"}</definedName>
    <definedName name="__________________________PYG3" localSheetId="2" hidden="1">{#N/A,#N/A,FALSE,"balance";#N/A,#N/A,FALSE,"PYG"}</definedName>
    <definedName name="__________________________PYG3" hidden="1">{#N/A,#N/A,FALSE,"balance";#N/A,#N/A,FALSE,"PYG"}</definedName>
    <definedName name="__________________________PyG33" localSheetId="1" hidden="1">{#N/A,#N/A,FALSE,"balance";#N/A,#N/A,FALSE,"PYG"}</definedName>
    <definedName name="__________________________PyG33" localSheetId="4" hidden="1">{#N/A,#N/A,FALSE,"balance";#N/A,#N/A,FALSE,"PYG"}</definedName>
    <definedName name="__________________________PyG33" localSheetId="0" hidden="1">{#N/A,#N/A,FALSE,"balance";#N/A,#N/A,FALSE,"PYG"}</definedName>
    <definedName name="__________________________PyG33" localSheetId="3" hidden="1">{#N/A,#N/A,FALSE,"balance";#N/A,#N/A,FALSE,"PYG"}</definedName>
    <definedName name="__________________________PyG33" localSheetId="2" hidden="1">{#N/A,#N/A,FALSE,"balance";#N/A,#N/A,FALSE,"PYG"}</definedName>
    <definedName name="__________________________PyG33" hidden="1">{#N/A,#N/A,FALSE,"balance";#N/A,#N/A,FALSE,"PYG"}</definedName>
    <definedName name="_________________________GGF2" localSheetId="1" hidden="1">{#N/A,#N/A,FALSE,"balance";#N/A,#N/A,FALSE,"PYG"}</definedName>
    <definedName name="_________________________GGF2" localSheetId="4" hidden="1">{#N/A,#N/A,FALSE,"balance";#N/A,#N/A,FALSE,"PYG"}</definedName>
    <definedName name="_________________________GGF2" localSheetId="0" hidden="1">{#N/A,#N/A,FALSE,"balance";#N/A,#N/A,FALSE,"PYG"}</definedName>
    <definedName name="_________________________GGF2" localSheetId="3" hidden="1">{#N/A,#N/A,FALSE,"balance";#N/A,#N/A,FALSE,"PYG"}</definedName>
    <definedName name="_________________________GGF2" localSheetId="2" hidden="1">{#N/A,#N/A,FALSE,"balance";#N/A,#N/A,FALSE,"PYG"}</definedName>
    <definedName name="_________________________GGF2" hidden="1">{#N/A,#N/A,FALSE,"balance";#N/A,#N/A,FALSE,"PYG"}</definedName>
    <definedName name="_________________________OCT2" localSheetId="1" hidden="1">{#N/A,#N/A,FALSE,"BL&amp;GPA";#N/A,#N/A,FALSE,"Summary";#N/A,#N/A,FALSE,"hts"}</definedName>
    <definedName name="_________________________OCT2" localSheetId="4" hidden="1">{#N/A,#N/A,FALSE,"BL&amp;GPA";#N/A,#N/A,FALSE,"Summary";#N/A,#N/A,FALSE,"hts"}</definedName>
    <definedName name="_________________________OCT2" localSheetId="0" hidden="1">{#N/A,#N/A,FALSE,"BL&amp;GPA";#N/A,#N/A,FALSE,"Summary";#N/A,#N/A,FALSE,"hts"}</definedName>
    <definedName name="_________________________OCT2" localSheetId="3" hidden="1">{#N/A,#N/A,FALSE,"BL&amp;GPA";#N/A,#N/A,FALSE,"Summary";#N/A,#N/A,FALSE,"hts"}</definedName>
    <definedName name="_________________________OCT2" localSheetId="2" hidden="1">{#N/A,#N/A,FALSE,"BL&amp;GPA";#N/A,#N/A,FALSE,"Summary";#N/A,#N/A,FALSE,"hts"}</definedName>
    <definedName name="_________________________OCT2" hidden="1">{#N/A,#N/A,FALSE,"BL&amp;GPA";#N/A,#N/A,FALSE,"Summary";#N/A,#N/A,FALSE,"hts"}</definedName>
    <definedName name="_________________________ok1" localSheetId="1" hidden="1">{#N/A,#N/A,FALSE,"balance";#N/A,#N/A,FALSE,"PYG"}</definedName>
    <definedName name="_________________________ok1" localSheetId="4" hidden="1">{#N/A,#N/A,FALSE,"balance";#N/A,#N/A,FALSE,"PYG"}</definedName>
    <definedName name="_________________________ok1" localSheetId="0" hidden="1">{#N/A,#N/A,FALSE,"balance";#N/A,#N/A,FALSE,"PYG"}</definedName>
    <definedName name="_________________________ok1" localSheetId="3" hidden="1">{#N/A,#N/A,FALSE,"balance";#N/A,#N/A,FALSE,"PYG"}</definedName>
    <definedName name="_________________________ok1" localSheetId="2" hidden="1">{#N/A,#N/A,FALSE,"balance";#N/A,#N/A,FALSE,"PYG"}</definedName>
    <definedName name="_________________________ok1" hidden="1">{#N/A,#N/A,FALSE,"balance";#N/A,#N/A,FALSE,"PYG"}</definedName>
    <definedName name="_________________________Ok2" localSheetId="1" hidden="1">{#N/A,#N/A,FALSE,"balance";#N/A,#N/A,FALSE,"PYG"}</definedName>
    <definedName name="_________________________Ok2" localSheetId="4" hidden="1">{#N/A,#N/A,FALSE,"balance";#N/A,#N/A,FALSE,"PYG"}</definedName>
    <definedName name="_________________________Ok2" localSheetId="0" hidden="1">{#N/A,#N/A,FALSE,"balance";#N/A,#N/A,FALSE,"PYG"}</definedName>
    <definedName name="_________________________Ok2" localSheetId="3" hidden="1">{#N/A,#N/A,FALSE,"balance";#N/A,#N/A,FALSE,"PYG"}</definedName>
    <definedName name="_________________________Ok2" localSheetId="2" hidden="1">{#N/A,#N/A,FALSE,"balance";#N/A,#N/A,FALSE,"PYG"}</definedName>
    <definedName name="_________________________Ok2" hidden="1">{#N/A,#N/A,FALSE,"balance";#N/A,#N/A,FALSE,"PYG"}</definedName>
    <definedName name="_________________________PyG2" localSheetId="1" hidden="1">{#N/A,#N/A,FALSE,"balance";#N/A,#N/A,FALSE,"PYG"}</definedName>
    <definedName name="_________________________PyG2" localSheetId="4" hidden="1">{#N/A,#N/A,FALSE,"balance";#N/A,#N/A,FALSE,"PYG"}</definedName>
    <definedName name="_________________________PyG2" localSheetId="0" hidden="1">{#N/A,#N/A,FALSE,"balance";#N/A,#N/A,FALSE,"PYG"}</definedName>
    <definedName name="_________________________PyG2" localSheetId="3" hidden="1">{#N/A,#N/A,FALSE,"balance";#N/A,#N/A,FALSE,"PYG"}</definedName>
    <definedName name="_________________________PyG2" localSheetId="2" hidden="1">{#N/A,#N/A,FALSE,"balance";#N/A,#N/A,FALSE,"PYG"}</definedName>
    <definedName name="_________________________PyG2" hidden="1">{#N/A,#N/A,FALSE,"balance";#N/A,#N/A,FALSE,"PYG"}</definedName>
    <definedName name="_________________________PYG3" localSheetId="1" hidden="1">{#N/A,#N/A,FALSE,"balance";#N/A,#N/A,FALSE,"PYG"}</definedName>
    <definedName name="_________________________PYG3" localSheetId="4" hidden="1">{#N/A,#N/A,FALSE,"balance";#N/A,#N/A,FALSE,"PYG"}</definedName>
    <definedName name="_________________________PYG3" localSheetId="0" hidden="1">{#N/A,#N/A,FALSE,"balance";#N/A,#N/A,FALSE,"PYG"}</definedName>
    <definedName name="_________________________PYG3" localSheetId="3" hidden="1">{#N/A,#N/A,FALSE,"balance";#N/A,#N/A,FALSE,"PYG"}</definedName>
    <definedName name="_________________________PYG3" localSheetId="2" hidden="1">{#N/A,#N/A,FALSE,"balance";#N/A,#N/A,FALSE,"PYG"}</definedName>
    <definedName name="_________________________PYG3" hidden="1">{#N/A,#N/A,FALSE,"balance";#N/A,#N/A,FALSE,"PYG"}</definedName>
    <definedName name="_________________________PyG33" localSheetId="1" hidden="1">{#N/A,#N/A,FALSE,"balance";#N/A,#N/A,FALSE,"PYG"}</definedName>
    <definedName name="_________________________PyG33" localSheetId="4" hidden="1">{#N/A,#N/A,FALSE,"balance";#N/A,#N/A,FALSE,"PYG"}</definedName>
    <definedName name="_________________________PyG33" localSheetId="0" hidden="1">{#N/A,#N/A,FALSE,"balance";#N/A,#N/A,FALSE,"PYG"}</definedName>
    <definedName name="_________________________PyG33" localSheetId="3" hidden="1">{#N/A,#N/A,FALSE,"balance";#N/A,#N/A,FALSE,"PYG"}</definedName>
    <definedName name="_________________________PyG33" localSheetId="2" hidden="1">{#N/A,#N/A,FALSE,"balance";#N/A,#N/A,FALSE,"PYG"}</definedName>
    <definedName name="_________________________PyG33" hidden="1">{#N/A,#N/A,FALSE,"balance";#N/A,#N/A,FALSE,"PYG"}</definedName>
    <definedName name="________________________GGF2" localSheetId="1" hidden="1">{#N/A,#N/A,FALSE,"balance";#N/A,#N/A,FALSE,"PYG"}</definedName>
    <definedName name="________________________GGF2" localSheetId="4" hidden="1">{#N/A,#N/A,FALSE,"balance";#N/A,#N/A,FALSE,"PYG"}</definedName>
    <definedName name="________________________GGF2" localSheetId="0" hidden="1">{#N/A,#N/A,FALSE,"balance";#N/A,#N/A,FALSE,"PYG"}</definedName>
    <definedName name="________________________GGF2" localSheetId="3" hidden="1">{#N/A,#N/A,FALSE,"balance";#N/A,#N/A,FALSE,"PYG"}</definedName>
    <definedName name="________________________GGF2" localSheetId="2" hidden="1">{#N/A,#N/A,FALSE,"balance";#N/A,#N/A,FALSE,"PYG"}</definedName>
    <definedName name="________________________GGF2" hidden="1">{#N/A,#N/A,FALSE,"balance";#N/A,#N/A,FALSE,"PYG"}</definedName>
    <definedName name="________________________OCT2" localSheetId="1" hidden="1">{#N/A,#N/A,FALSE,"BL&amp;GPA";#N/A,#N/A,FALSE,"Summary";#N/A,#N/A,FALSE,"hts"}</definedName>
    <definedName name="________________________OCT2" localSheetId="4" hidden="1">{#N/A,#N/A,FALSE,"BL&amp;GPA";#N/A,#N/A,FALSE,"Summary";#N/A,#N/A,FALSE,"hts"}</definedName>
    <definedName name="________________________OCT2" localSheetId="0" hidden="1">{#N/A,#N/A,FALSE,"BL&amp;GPA";#N/A,#N/A,FALSE,"Summary";#N/A,#N/A,FALSE,"hts"}</definedName>
    <definedName name="________________________OCT2" localSheetId="3" hidden="1">{#N/A,#N/A,FALSE,"BL&amp;GPA";#N/A,#N/A,FALSE,"Summary";#N/A,#N/A,FALSE,"hts"}</definedName>
    <definedName name="________________________OCT2" localSheetId="2" hidden="1">{#N/A,#N/A,FALSE,"BL&amp;GPA";#N/A,#N/A,FALSE,"Summary";#N/A,#N/A,FALSE,"hts"}</definedName>
    <definedName name="________________________OCT2" hidden="1">{#N/A,#N/A,FALSE,"BL&amp;GPA";#N/A,#N/A,FALSE,"Summary";#N/A,#N/A,FALSE,"hts"}</definedName>
    <definedName name="________________________ok1" localSheetId="1" hidden="1">{#N/A,#N/A,FALSE,"balance";#N/A,#N/A,FALSE,"PYG"}</definedName>
    <definedName name="________________________ok1" localSheetId="4" hidden="1">{#N/A,#N/A,FALSE,"balance";#N/A,#N/A,FALSE,"PYG"}</definedName>
    <definedName name="________________________ok1" localSheetId="0" hidden="1">{#N/A,#N/A,FALSE,"balance";#N/A,#N/A,FALSE,"PYG"}</definedName>
    <definedName name="________________________ok1" localSheetId="3" hidden="1">{#N/A,#N/A,FALSE,"balance";#N/A,#N/A,FALSE,"PYG"}</definedName>
    <definedName name="________________________ok1" localSheetId="2" hidden="1">{#N/A,#N/A,FALSE,"balance";#N/A,#N/A,FALSE,"PYG"}</definedName>
    <definedName name="________________________ok1" hidden="1">{#N/A,#N/A,FALSE,"balance";#N/A,#N/A,FALSE,"PYG"}</definedName>
    <definedName name="________________________Ok2" localSheetId="1" hidden="1">{#N/A,#N/A,FALSE,"balance";#N/A,#N/A,FALSE,"PYG"}</definedName>
    <definedName name="________________________Ok2" localSheetId="4" hidden="1">{#N/A,#N/A,FALSE,"balance";#N/A,#N/A,FALSE,"PYG"}</definedName>
    <definedName name="________________________Ok2" localSheetId="0" hidden="1">{#N/A,#N/A,FALSE,"balance";#N/A,#N/A,FALSE,"PYG"}</definedName>
    <definedName name="________________________Ok2" localSheetId="3" hidden="1">{#N/A,#N/A,FALSE,"balance";#N/A,#N/A,FALSE,"PYG"}</definedName>
    <definedName name="________________________Ok2" localSheetId="2" hidden="1">{#N/A,#N/A,FALSE,"balance";#N/A,#N/A,FALSE,"PYG"}</definedName>
    <definedName name="________________________Ok2" hidden="1">{#N/A,#N/A,FALSE,"balance";#N/A,#N/A,FALSE,"PYG"}</definedName>
    <definedName name="________________________PyG2" localSheetId="1" hidden="1">{#N/A,#N/A,FALSE,"balance";#N/A,#N/A,FALSE,"PYG"}</definedName>
    <definedName name="________________________PyG2" localSheetId="4" hidden="1">{#N/A,#N/A,FALSE,"balance";#N/A,#N/A,FALSE,"PYG"}</definedName>
    <definedName name="________________________PyG2" localSheetId="0" hidden="1">{#N/A,#N/A,FALSE,"balance";#N/A,#N/A,FALSE,"PYG"}</definedName>
    <definedName name="________________________PyG2" localSheetId="3" hidden="1">{#N/A,#N/A,FALSE,"balance";#N/A,#N/A,FALSE,"PYG"}</definedName>
    <definedName name="________________________PyG2" localSheetId="2" hidden="1">{#N/A,#N/A,FALSE,"balance";#N/A,#N/A,FALSE,"PYG"}</definedName>
    <definedName name="________________________PyG2" hidden="1">{#N/A,#N/A,FALSE,"balance";#N/A,#N/A,FALSE,"PYG"}</definedName>
    <definedName name="________________________PYG3" localSheetId="1" hidden="1">{#N/A,#N/A,FALSE,"balance";#N/A,#N/A,FALSE,"PYG"}</definedName>
    <definedName name="________________________PYG3" localSheetId="4" hidden="1">{#N/A,#N/A,FALSE,"balance";#N/A,#N/A,FALSE,"PYG"}</definedName>
    <definedName name="________________________PYG3" localSheetId="0" hidden="1">{#N/A,#N/A,FALSE,"balance";#N/A,#N/A,FALSE,"PYG"}</definedName>
    <definedName name="________________________PYG3" localSheetId="3" hidden="1">{#N/A,#N/A,FALSE,"balance";#N/A,#N/A,FALSE,"PYG"}</definedName>
    <definedName name="________________________PYG3" localSheetId="2" hidden="1">{#N/A,#N/A,FALSE,"balance";#N/A,#N/A,FALSE,"PYG"}</definedName>
    <definedName name="________________________PYG3" hidden="1">{#N/A,#N/A,FALSE,"balance";#N/A,#N/A,FALSE,"PYG"}</definedName>
    <definedName name="________________________PyG33" localSheetId="1" hidden="1">{#N/A,#N/A,FALSE,"balance";#N/A,#N/A,FALSE,"PYG"}</definedName>
    <definedName name="________________________PyG33" localSheetId="4" hidden="1">{#N/A,#N/A,FALSE,"balance";#N/A,#N/A,FALSE,"PYG"}</definedName>
    <definedName name="________________________PyG33" localSheetId="0" hidden="1">{#N/A,#N/A,FALSE,"balance";#N/A,#N/A,FALSE,"PYG"}</definedName>
    <definedName name="________________________PyG33" localSheetId="3" hidden="1">{#N/A,#N/A,FALSE,"balance";#N/A,#N/A,FALSE,"PYG"}</definedName>
    <definedName name="________________________PyG33" localSheetId="2" hidden="1">{#N/A,#N/A,FALSE,"balance";#N/A,#N/A,FALSE,"PYG"}</definedName>
    <definedName name="________________________PyG33" hidden="1">{#N/A,#N/A,FALSE,"balance";#N/A,#N/A,FALSE,"PYG"}</definedName>
    <definedName name="_______________________GGF2" localSheetId="1" hidden="1">{#N/A,#N/A,FALSE,"balance";#N/A,#N/A,FALSE,"PYG"}</definedName>
    <definedName name="_______________________GGF2" localSheetId="4" hidden="1">{#N/A,#N/A,FALSE,"balance";#N/A,#N/A,FALSE,"PYG"}</definedName>
    <definedName name="_______________________GGF2" localSheetId="0" hidden="1">{#N/A,#N/A,FALSE,"balance";#N/A,#N/A,FALSE,"PYG"}</definedName>
    <definedName name="_______________________GGF2" localSheetId="3" hidden="1">{#N/A,#N/A,FALSE,"balance";#N/A,#N/A,FALSE,"PYG"}</definedName>
    <definedName name="_______________________GGF2" localSheetId="2" hidden="1">{#N/A,#N/A,FALSE,"balance";#N/A,#N/A,FALSE,"PYG"}</definedName>
    <definedName name="_______________________GGF2" hidden="1">{#N/A,#N/A,FALSE,"balance";#N/A,#N/A,FALSE,"PYG"}</definedName>
    <definedName name="_______________________OCT2" localSheetId="1" hidden="1">{#N/A,#N/A,FALSE,"BL&amp;GPA";#N/A,#N/A,FALSE,"Summary";#N/A,#N/A,FALSE,"hts"}</definedName>
    <definedName name="_______________________OCT2" localSheetId="4" hidden="1">{#N/A,#N/A,FALSE,"BL&amp;GPA";#N/A,#N/A,FALSE,"Summary";#N/A,#N/A,FALSE,"hts"}</definedName>
    <definedName name="_______________________OCT2" localSheetId="0" hidden="1">{#N/A,#N/A,FALSE,"BL&amp;GPA";#N/A,#N/A,FALSE,"Summary";#N/A,#N/A,FALSE,"hts"}</definedName>
    <definedName name="_______________________OCT2" localSheetId="3" hidden="1">{#N/A,#N/A,FALSE,"BL&amp;GPA";#N/A,#N/A,FALSE,"Summary";#N/A,#N/A,FALSE,"hts"}</definedName>
    <definedName name="_______________________OCT2" localSheetId="2" hidden="1">{#N/A,#N/A,FALSE,"BL&amp;GPA";#N/A,#N/A,FALSE,"Summary";#N/A,#N/A,FALSE,"hts"}</definedName>
    <definedName name="_______________________OCT2" hidden="1">{#N/A,#N/A,FALSE,"BL&amp;GPA";#N/A,#N/A,FALSE,"Summary";#N/A,#N/A,FALSE,"hts"}</definedName>
    <definedName name="_______________________ok1" localSheetId="1" hidden="1">{#N/A,#N/A,FALSE,"balance";#N/A,#N/A,FALSE,"PYG"}</definedName>
    <definedName name="_______________________ok1" localSheetId="4" hidden="1">{#N/A,#N/A,FALSE,"balance";#N/A,#N/A,FALSE,"PYG"}</definedName>
    <definedName name="_______________________ok1" localSheetId="0" hidden="1">{#N/A,#N/A,FALSE,"balance";#N/A,#N/A,FALSE,"PYG"}</definedName>
    <definedName name="_______________________ok1" localSheetId="3" hidden="1">{#N/A,#N/A,FALSE,"balance";#N/A,#N/A,FALSE,"PYG"}</definedName>
    <definedName name="_______________________ok1" localSheetId="2" hidden="1">{#N/A,#N/A,FALSE,"balance";#N/A,#N/A,FALSE,"PYG"}</definedName>
    <definedName name="_______________________ok1" hidden="1">{#N/A,#N/A,FALSE,"balance";#N/A,#N/A,FALSE,"PYG"}</definedName>
    <definedName name="_______________________Ok2" localSheetId="1" hidden="1">{#N/A,#N/A,FALSE,"balance";#N/A,#N/A,FALSE,"PYG"}</definedName>
    <definedName name="_______________________Ok2" localSheetId="4" hidden="1">{#N/A,#N/A,FALSE,"balance";#N/A,#N/A,FALSE,"PYG"}</definedName>
    <definedName name="_______________________Ok2" localSheetId="0" hidden="1">{#N/A,#N/A,FALSE,"balance";#N/A,#N/A,FALSE,"PYG"}</definedName>
    <definedName name="_______________________Ok2" localSheetId="3" hidden="1">{#N/A,#N/A,FALSE,"balance";#N/A,#N/A,FALSE,"PYG"}</definedName>
    <definedName name="_______________________Ok2" localSheetId="2" hidden="1">{#N/A,#N/A,FALSE,"balance";#N/A,#N/A,FALSE,"PYG"}</definedName>
    <definedName name="_______________________Ok2" hidden="1">{#N/A,#N/A,FALSE,"balance";#N/A,#N/A,FALSE,"PYG"}</definedName>
    <definedName name="_______________________PyG2" localSheetId="1" hidden="1">{#N/A,#N/A,FALSE,"balance";#N/A,#N/A,FALSE,"PYG"}</definedName>
    <definedName name="_______________________PyG2" localSheetId="4" hidden="1">{#N/A,#N/A,FALSE,"balance";#N/A,#N/A,FALSE,"PYG"}</definedName>
    <definedName name="_______________________PyG2" localSheetId="0" hidden="1">{#N/A,#N/A,FALSE,"balance";#N/A,#N/A,FALSE,"PYG"}</definedName>
    <definedName name="_______________________PyG2" localSheetId="3" hidden="1">{#N/A,#N/A,FALSE,"balance";#N/A,#N/A,FALSE,"PYG"}</definedName>
    <definedName name="_______________________PyG2" localSheetId="2" hidden="1">{#N/A,#N/A,FALSE,"balance";#N/A,#N/A,FALSE,"PYG"}</definedName>
    <definedName name="_______________________PyG2" hidden="1">{#N/A,#N/A,FALSE,"balance";#N/A,#N/A,FALSE,"PYG"}</definedName>
    <definedName name="_______________________PYG3" localSheetId="1" hidden="1">{#N/A,#N/A,FALSE,"balance";#N/A,#N/A,FALSE,"PYG"}</definedName>
    <definedName name="_______________________PYG3" localSheetId="4" hidden="1">{#N/A,#N/A,FALSE,"balance";#N/A,#N/A,FALSE,"PYG"}</definedName>
    <definedName name="_______________________PYG3" localSheetId="0" hidden="1">{#N/A,#N/A,FALSE,"balance";#N/A,#N/A,FALSE,"PYG"}</definedName>
    <definedName name="_______________________PYG3" localSheetId="3" hidden="1">{#N/A,#N/A,FALSE,"balance";#N/A,#N/A,FALSE,"PYG"}</definedName>
    <definedName name="_______________________PYG3" localSheetId="2" hidden="1">{#N/A,#N/A,FALSE,"balance";#N/A,#N/A,FALSE,"PYG"}</definedName>
    <definedName name="_______________________PYG3" hidden="1">{#N/A,#N/A,FALSE,"balance";#N/A,#N/A,FALSE,"PYG"}</definedName>
    <definedName name="_______________________PyG33" localSheetId="1" hidden="1">{#N/A,#N/A,FALSE,"balance";#N/A,#N/A,FALSE,"PYG"}</definedName>
    <definedName name="_______________________PyG33" localSheetId="4" hidden="1">{#N/A,#N/A,FALSE,"balance";#N/A,#N/A,FALSE,"PYG"}</definedName>
    <definedName name="_______________________PyG33" localSheetId="0" hidden="1">{#N/A,#N/A,FALSE,"balance";#N/A,#N/A,FALSE,"PYG"}</definedName>
    <definedName name="_______________________PyG33" localSheetId="3" hidden="1">{#N/A,#N/A,FALSE,"balance";#N/A,#N/A,FALSE,"PYG"}</definedName>
    <definedName name="_______________________PyG33" localSheetId="2" hidden="1">{#N/A,#N/A,FALSE,"balance";#N/A,#N/A,FALSE,"PYG"}</definedName>
    <definedName name="_______________________PyG33" hidden="1">{#N/A,#N/A,FALSE,"balance";#N/A,#N/A,FALSE,"PYG"}</definedName>
    <definedName name="______________________GGF2" localSheetId="1" hidden="1">{#N/A,#N/A,FALSE,"balance";#N/A,#N/A,FALSE,"PYG"}</definedName>
    <definedName name="______________________GGF2" localSheetId="4" hidden="1">{#N/A,#N/A,FALSE,"balance";#N/A,#N/A,FALSE,"PYG"}</definedName>
    <definedName name="______________________GGF2" localSheetId="0" hidden="1">{#N/A,#N/A,FALSE,"balance";#N/A,#N/A,FALSE,"PYG"}</definedName>
    <definedName name="______________________GGF2" localSheetId="3" hidden="1">{#N/A,#N/A,FALSE,"balance";#N/A,#N/A,FALSE,"PYG"}</definedName>
    <definedName name="______________________GGF2" localSheetId="2" hidden="1">{#N/A,#N/A,FALSE,"balance";#N/A,#N/A,FALSE,"PYG"}</definedName>
    <definedName name="______________________GGF2" hidden="1">{#N/A,#N/A,FALSE,"balance";#N/A,#N/A,FALSE,"PYG"}</definedName>
    <definedName name="______________________new1" hidden="1">{#N/A,#N/A,FALSE,"SMT1";#N/A,#N/A,FALSE,"SMT2";#N/A,#N/A,FALSE,"Summary";#N/A,#N/A,FALSE,"Graphs";#N/A,#N/A,FALSE,"4 Panel"}</definedName>
    <definedName name="______________________NEW3" hidden="1">{#N/A,#N/A,FALSE,"SMT1";#N/A,#N/A,FALSE,"SMT2";#N/A,#N/A,FALSE,"Summary";#N/A,#N/A,FALSE,"Graphs";#N/A,#N/A,FALSE,"4 Panel"}</definedName>
    <definedName name="______________________NEW4" hidden="1">{#N/A,#N/A,FALSE,"Full";#N/A,#N/A,FALSE,"Half";#N/A,#N/A,FALSE,"Op Expenses";#N/A,#N/A,FALSE,"Cap Charge";#N/A,#N/A,FALSE,"Cost C";#N/A,#N/A,FALSE,"PP&amp;E";#N/A,#N/A,FALSE,"R&amp;D"}</definedName>
    <definedName name="______________________OCT2" localSheetId="1" hidden="1">{#N/A,#N/A,FALSE,"BL&amp;GPA";#N/A,#N/A,FALSE,"Summary";#N/A,#N/A,FALSE,"hts"}</definedName>
    <definedName name="______________________OCT2" localSheetId="4" hidden="1">{#N/A,#N/A,FALSE,"BL&amp;GPA";#N/A,#N/A,FALSE,"Summary";#N/A,#N/A,FALSE,"hts"}</definedName>
    <definedName name="______________________OCT2" localSheetId="0" hidden="1">{#N/A,#N/A,FALSE,"BL&amp;GPA";#N/A,#N/A,FALSE,"Summary";#N/A,#N/A,FALSE,"hts"}</definedName>
    <definedName name="______________________OCT2" localSheetId="3" hidden="1">{#N/A,#N/A,FALSE,"BL&amp;GPA";#N/A,#N/A,FALSE,"Summary";#N/A,#N/A,FALSE,"hts"}</definedName>
    <definedName name="______________________OCT2" localSheetId="2" hidden="1">{#N/A,#N/A,FALSE,"BL&amp;GPA";#N/A,#N/A,FALSE,"Summary";#N/A,#N/A,FALSE,"hts"}</definedName>
    <definedName name="______________________OCT2" hidden="1">{#N/A,#N/A,FALSE,"BL&amp;GPA";#N/A,#N/A,FALSE,"Summary";#N/A,#N/A,FALSE,"hts"}</definedName>
    <definedName name="______________________ok1" localSheetId="1" hidden="1">{#N/A,#N/A,FALSE,"balance";#N/A,#N/A,FALSE,"PYG"}</definedName>
    <definedName name="______________________ok1" localSheetId="4" hidden="1">{#N/A,#N/A,FALSE,"balance";#N/A,#N/A,FALSE,"PYG"}</definedName>
    <definedName name="______________________ok1" localSheetId="0" hidden="1">{#N/A,#N/A,FALSE,"balance";#N/A,#N/A,FALSE,"PYG"}</definedName>
    <definedName name="______________________ok1" localSheetId="3" hidden="1">{#N/A,#N/A,FALSE,"balance";#N/A,#N/A,FALSE,"PYG"}</definedName>
    <definedName name="______________________ok1" localSheetId="2" hidden="1">{#N/A,#N/A,FALSE,"balance";#N/A,#N/A,FALSE,"PYG"}</definedName>
    <definedName name="______________________ok1" hidden="1">{#N/A,#N/A,FALSE,"balance";#N/A,#N/A,FALSE,"PYG"}</definedName>
    <definedName name="______________________Ok2" localSheetId="1" hidden="1">{#N/A,#N/A,FALSE,"balance";#N/A,#N/A,FALSE,"PYG"}</definedName>
    <definedName name="______________________Ok2" localSheetId="4" hidden="1">{#N/A,#N/A,FALSE,"balance";#N/A,#N/A,FALSE,"PYG"}</definedName>
    <definedName name="______________________Ok2" localSheetId="0" hidden="1">{#N/A,#N/A,FALSE,"balance";#N/A,#N/A,FALSE,"PYG"}</definedName>
    <definedName name="______________________Ok2" localSheetId="3" hidden="1">{#N/A,#N/A,FALSE,"balance";#N/A,#N/A,FALSE,"PYG"}</definedName>
    <definedName name="______________________Ok2" localSheetId="2" hidden="1">{#N/A,#N/A,FALSE,"balance";#N/A,#N/A,FALSE,"PYG"}</definedName>
    <definedName name="______________________Ok2" hidden="1">{#N/A,#N/A,FALSE,"balance";#N/A,#N/A,FALSE,"PYG"}</definedName>
    <definedName name="______________________PyG2" localSheetId="1" hidden="1">{#N/A,#N/A,FALSE,"balance";#N/A,#N/A,FALSE,"PYG"}</definedName>
    <definedName name="______________________PyG2" localSheetId="4" hidden="1">{#N/A,#N/A,FALSE,"balance";#N/A,#N/A,FALSE,"PYG"}</definedName>
    <definedName name="______________________PyG2" localSheetId="0" hidden="1">{#N/A,#N/A,FALSE,"balance";#N/A,#N/A,FALSE,"PYG"}</definedName>
    <definedName name="______________________PyG2" localSheetId="3" hidden="1">{#N/A,#N/A,FALSE,"balance";#N/A,#N/A,FALSE,"PYG"}</definedName>
    <definedName name="______________________PyG2" localSheetId="2" hidden="1">{#N/A,#N/A,FALSE,"balance";#N/A,#N/A,FALSE,"PYG"}</definedName>
    <definedName name="______________________PyG2" hidden="1">{#N/A,#N/A,FALSE,"balance";#N/A,#N/A,FALSE,"PYG"}</definedName>
    <definedName name="______________________PYG3" localSheetId="1" hidden="1">{#N/A,#N/A,FALSE,"balance";#N/A,#N/A,FALSE,"PYG"}</definedName>
    <definedName name="______________________PYG3" localSheetId="4" hidden="1">{#N/A,#N/A,FALSE,"balance";#N/A,#N/A,FALSE,"PYG"}</definedName>
    <definedName name="______________________PYG3" localSheetId="0" hidden="1">{#N/A,#N/A,FALSE,"balance";#N/A,#N/A,FALSE,"PYG"}</definedName>
    <definedName name="______________________PYG3" localSheetId="3" hidden="1">{#N/A,#N/A,FALSE,"balance";#N/A,#N/A,FALSE,"PYG"}</definedName>
    <definedName name="______________________PYG3" localSheetId="2" hidden="1">{#N/A,#N/A,FALSE,"balance";#N/A,#N/A,FALSE,"PYG"}</definedName>
    <definedName name="______________________PYG3" hidden="1">{#N/A,#N/A,FALSE,"balance";#N/A,#N/A,FALSE,"PYG"}</definedName>
    <definedName name="______________________PyG33" localSheetId="1" hidden="1">{#N/A,#N/A,FALSE,"balance";#N/A,#N/A,FALSE,"PYG"}</definedName>
    <definedName name="______________________PyG33" localSheetId="4" hidden="1">{#N/A,#N/A,FALSE,"balance";#N/A,#N/A,FALSE,"PYG"}</definedName>
    <definedName name="______________________PyG33" localSheetId="0" hidden="1">{#N/A,#N/A,FALSE,"balance";#N/A,#N/A,FALSE,"PYG"}</definedName>
    <definedName name="______________________PyG33" localSheetId="3" hidden="1">{#N/A,#N/A,FALSE,"balance";#N/A,#N/A,FALSE,"PYG"}</definedName>
    <definedName name="______________________PyG33" localSheetId="2" hidden="1">{#N/A,#N/A,FALSE,"balance";#N/A,#N/A,FALSE,"PYG"}</definedName>
    <definedName name="______________________PyG33" hidden="1">{#N/A,#N/A,FALSE,"balance";#N/A,#N/A,FALSE,"PYG"}</definedName>
    <definedName name="_____________________GGF2" localSheetId="1" hidden="1">{#N/A,#N/A,FALSE,"balance";#N/A,#N/A,FALSE,"PYG"}</definedName>
    <definedName name="_____________________GGF2" localSheetId="4" hidden="1">{#N/A,#N/A,FALSE,"balance";#N/A,#N/A,FALSE,"PYG"}</definedName>
    <definedName name="_____________________GGF2" localSheetId="0" hidden="1">{#N/A,#N/A,FALSE,"balance";#N/A,#N/A,FALSE,"PYG"}</definedName>
    <definedName name="_____________________GGF2" localSheetId="3" hidden="1">{#N/A,#N/A,FALSE,"balance";#N/A,#N/A,FALSE,"PYG"}</definedName>
    <definedName name="_____________________GGF2" localSheetId="2" hidden="1">{#N/A,#N/A,FALSE,"balance";#N/A,#N/A,FALSE,"PYG"}</definedName>
    <definedName name="_____________________GGF2" hidden="1">{#N/A,#N/A,FALSE,"balance";#N/A,#N/A,FALSE,"PYG"}</definedName>
    <definedName name="_____________________new1" hidden="1">{#N/A,#N/A,FALSE,"SMT1";#N/A,#N/A,FALSE,"SMT2";#N/A,#N/A,FALSE,"Summary";#N/A,#N/A,FALSE,"Graphs";#N/A,#N/A,FALSE,"4 Panel"}</definedName>
    <definedName name="_____________________NEW3" hidden="1">{#N/A,#N/A,FALSE,"SMT1";#N/A,#N/A,FALSE,"SMT2";#N/A,#N/A,FALSE,"Summary";#N/A,#N/A,FALSE,"Graphs";#N/A,#N/A,FALSE,"4 Panel"}</definedName>
    <definedName name="_____________________NEW4" hidden="1">{#N/A,#N/A,FALSE,"Full";#N/A,#N/A,FALSE,"Half";#N/A,#N/A,FALSE,"Op Expenses";#N/A,#N/A,FALSE,"Cap Charge";#N/A,#N/A,FALSE,"Cost C";#N/A,#N/A,FALSE,"PP&amp;E";#N/A,#N/A,FALSE,"R&amp;D"}</definedName>
    <definedName name="_____________________OCT2" localSheetId="1" hidden="1">{#N/A,#N/A,FALSE,"BL&amp;GPA";#N/A,#N/A,FALSE,"Summary";#N/A,#N/A,FALSE,"hts"}</definedName>
    <definedName name="_____________________OCT2" localSheetId="4" hidden="1">{#N/A,#N/A,FALSE,"BL&amp;GPA";#N/A,#N/A,FALSE,"Summary";#N/A,#N/A,FALSE,"hts"}</definedName>
    <definedName name="_____________________OCT2" localSheetId="0" hidden="1">{#N/A,#N/A,FALSE,"BL&amp;GPA";#N/A,#N/A,FALSE,"Summary";#N/A,#N/A,FALSE,"hts"}</definedName>
    <definedName name="_____________________OCT2" localSheetId="3" hidden="1">{#N/A,#N/A,FALSE,"BL&amp;GPA";#N/A,#N/A,FALSE,"Summary";#N/A,#N/A,FALSE,"hts"}</definedName>
    <definedName name="_____________________OCT2" localSheetId="2" hidden="1">{#N/A,#N/A,FALSE,"BL&amp;GPA";#N/A,#N/A,FALSE,"Summary";#N/A,#N/A,FALSE,"hts"}</definedName>
    <definedName name="_____________________OCT2" hidden="1">{#N/A,#N/A,FALSE,"BL&amp;GPA";#N/A,#N/A,FALSE,"Summary";#N/A,#N/A,FALSE,"hts"}</definedName>
    <definedName name="_____________________ok1" localSheetId="1" hidden="1">{#N/A,#N/A,FALSE,"balance";#N/A,#N/A,FALSE,"PYG"}</definedName>
    <definedName name="_____________________ok1" localSheetId="4" hidden="1">{#N/A,#N/A,FALSE,"balance";#N/A,#N/A,FALSE,"PYG"}</definedName>
    <definedName name="_____________________ok1" localSheetId="0" hidden="1">{#N/A,#N/A,FALSE,"balance";#N/A,#N/A,FALSE,"PYG"}</definedName>
    <definedName name="_____________________ok1" localSheetId="3" hidden="1">{#N/A,#N/A,FALSE,"balance";#N/A,#N/A,FALSE,"PYG"}</definedName>
    <definedName name="_____________________ok1" localSheetId="2" hidden="1">{#N/A,#N/A,FALSE,"balance";#N/A,#N/A,FALSE,"PYG"}</definedName>
    <definedName name="_____________________ok1" hidden="1">{#N/A,#N/A,FALSE,"balance";#N/A,#N/A,FALSE,"PYG"}</definedName>
    <definedName name="_____________________Ok2" localSheetId="1" hidden="1">{#N/A,#N/A,FALSE,"balance";#N/A,#N/A,FALSE,"PYG"}</definedName>
    <definedName name="_____________________Ok2" localSheetId="4" hidden="1">{#N/A,#N/A,FALSE,"balance";#N/A,#N/A,FALSE,"PYG"}</definedName>
    <definedName name="_____________________Ok2" localSheetId="0" hidden="1">{#N/A,#N/A,FALSE,"balance";#N/A,#N/A,FALSE,"PYG"}</definedName>
    <definedName name="_____________________Ok2" localSheetId="3" hidden="1">{#N/A,#N/A,FALSE,"balance";#N/A,#N/A,FALSE,"PYG"}</definedName>
    <definedName name="_____________________Ok2" localSheetId="2" hidden="1">{#N/A,#N/A,FALSE,"balance";#N/A,#N/A,FALSE,"PYG"}</definedName>
    <definedName name="_____________________Ok2" hidden="1">{#N/A,#N/A,FALSE,"balance";#N/A,#N/A,FALSE,"PYG"}</definedName>
    <definedName name="_____________________PyG2" localSheetId="1" hidden="1">{#N/A,#N/A,FALSE,"balance";#N/A,#N/A,FALSE,"PYG"}</definedName>
    <definedName name="_____________________PyG2" localSheetId="4" hidden="1">{#N/A,#N/A,FALSE,"balance";#N/A,#N/A,FALSE,"PYG"}</definedName>
    <definedName name="_____________________PyG2" localSheetId="0" hidden="1">{#N/A,#N/A,FALSE,"balance";#N/A,#N/A,FALSE,"PYG"}</definedName>
    <definedName name="_____________________PyG2" localSheetId="3" hidden="1">{#N/A,#N/A,FALSE,"balance";#N/A,#N/A,FALSE,"PYG"}</definedName>
    <definedName name="_____________________PyG2" localSheetId="2" hidden="1">{#N/A,#N/A,FALSE,"balance";#N/A,#N/A,FALSE,"PYG"}</definedName>
    <definedName name="_____________________PyG2" hidden="1">{#N/A,#N/A,FALSE,"balance";#N/A,#N/A,FALSE,"PYG"}</definedName>
    <definedName name="_____________________PYG3" localSheetId="1" hidden="1">{#N/A,#N/A,FALSE,"balance";#N/A,#N/A,FALSE,"PYG"}</definedName>
    <definedName name="_____________________PYG3" localSheetId="4" hidden="1">{#N/A,#N/A,FALSE,"balance";#N/A,#N/A,FALSE,"PYG"}</definedName>
    <definedName name="_____________________PYG3" localSheetId="0" hidden="1">{#N/A,#N/A,FALSE,"balance";#N/A,#N/A,FALSE,"PYG"}</definedName>
    <definedName name="_____________________PYG3" localSheetId="3" hidden="1">{#N/A,#N/A,FALSE,"balance";#N/A,#N/A,FALSE,"PYG"}</definedName>
    <definedName name="_____________________PYG3" localSheetId="2" hidden="1">{#N/A,#N/A,FALSE,"balance";#N/A,#N/A,FALSE,"PYG"}</definedName>
    <definedName name="_____________________PYG3" hidden="1">{#N/A,#N/A,FALSE,"balance";#N/A,#N/A,FALSE,"PYG"}</definedName>
    <definedName name="_____________________PyG33" localSheetId="1" hidden="1">{#N/A,#N/A,FALSE,"balance";#N/A,#N/A,FALSE,"PYG"}</definedName>
    <definedName name="_____________________PyG33" localSheetId="4" hidden="1">{#N/A,#N/A,FALSE,"balance";#N/A,#N/A,FALSE,"PYG"}</definedName>
    <definedName name="_____________________PyG33" localSheetId="0" hidden="1">{#N/A,#N/A,FALSE,"balance";#N/A,#N/A,FALSE,"PYG"}</definedName>
    <definedName name="_____________________PyG33" localSheetId="3" hidden="1">{#N/A,#N/A,FALSE,"balance";#N/A,#N/A,FALSE,"PYG"}</definedName>
    <definedName name="_____________________PyG33" localSheetId="2" hidden="1">{#N/A,#N/A,FALSE,"balance";#N/A,#N/A,FALSE,"PYG"}</definedName>
    <definedName name="_____________________PyG33" hidden="1">{#N/A,#N/A,FALSE,"balance";#N/A,#N/A,FALSE,"PYG"}</definedName>
    <definedName name="____________________GGF2" localSheetId="1" hidden="1">{#N/A,#N/A,FALSE,"balance";#N/A,#N/A,FALSE,"PYG"}</definedName>
    <definedName name="____________________GGF2" localSheetId="4" hidden="1">{#N/A,#N/A,FALSE,"balance";#N/A,#N/A,FALSE,"PYG"}</definedName>
    <definedName name="____________________GGF2" localSheetId="0" hidden="1">{#N/A,#N/A,FALSE,"balance";#N/A,#N/A,FALSE,"PYG"}</definedName>
    <definedName name="____________________GGF2" localSheetId="3" hidden="1">{#N/A,#N/A,FALSE,"balance";#N/A,#N/A,FALSE,"PYG"}</definedName>
    <definedName name="____________________GGF2" localSheetId="2" hidden="1">{#N/A,#N/A,FALSE,"balance";#N/A,#N/A,FALSE,"PYG"}</definedName>
    <definedName name="____________________GGF2" hidden="1">{#N/A,#N/A,FALSE,"balance";#N/A,#N/A,FALSE,"PYG"}</definedName>
    <definedName name="____________________new1" hidden="1">{#N/A,#N/A,FALSE,"SMT1";#N/A,#N/A,FALSE,"SMT2";#N/A,#N/A,FALSE,"Summary";#N/A,#N/A,FALSE,"Graphs";#N/A,#N/A,FALSE,"4 Panel"}</definedName>
    <definedName name="____________________NEW3" hidden="1">{#N/A,#N/A,FALSE,"SMT1";#N/A,#N/A,FALSE,"SMT2";#N/A,#N/A,FALSE,"Summary";#N/A,#N/A,FALSE,"Graphs";#N/A,#N/A,FALSE,"4 Panel"}</definedName>
    <definedName name="____________________NEW4" hidden="1">{#N/A,#N/A,FALSE,"Full";#N/A,#N/A,FALSE,"Half";#N/A,#N/A,FALSE,"Op Expenses";#N/A,#N/A,FALSE,"Cap Charge";#N/A,#N/A,FALSE,"Cost C";#N/A,#N/A,FALSE,"PP&amp;E";#N/A,#N/A,FALSE,"R&amp;D"}</definedName>
    <definedName name="____________________OCT2" localSheetId="1" hidden="1">{#N/A,#N/A,FALSE,"BL&amp;GPA";#N/A,#N/A,FALSE,"Summary";#N/A,#N/A,FALSE,"hts"}</definedName>
    <definedName name="____________________OCT2" localSheetId="4" hidden="1">{#N/A,#N/A,FALSE,"BL&amp;GPA";#N/A,#N/A,FALSE,"Summary";#N/A,#N/A,FALSE,"hts"}</definedName>
    <definedName name="____________________OCT2" localSheetId="0" hidden="1">{#N/A,#N/A,FALSE,"BL&amp;GPA";#N/A,#N/A,FALSE,"Summary";#N/A,#N/A,FALSE,"hts"}</definedName>
    <definedName name="____________________OCT2" localSheetId="3" hidden="1">{#N/A,#N/A,FALSE,"BL&amp;GPA";#N/A,#N/A,FALSE,"Summary";#N/A,#N/A,FALSE,"hts"}</definedName>
    <definedName name="____________________OCT2" localSheetId="2" hidden="1">{#N/A,#N/A,FALSE,"BL&amp;GPA";#N/A,#N/A,FALSE,"Summary";#N/A,#N/A,FALSE,"hts"}</definedName>
    <definedName name="____________________OCT2" hidden="1">{#N/A,#N/A,FALSE,"BL&amp;GPA";#N/A,#N/A,FALSE,"Summary";#N/A,#N/A,FALSE,"hts"}</definedName>
    <definedName name="____________________ok1" localSheetId="1" hidden="1">{#N/A,#N/A,FALSE,"balance";#N/A,#N/A,FALSE,"PYG"}</definedName>
    <definedName name="____________________ok1" localSheetId="4" hidden="1">{#N/A,#N/A,FALSE,"balance";#N/A,#N/A,FALSE,"PYG"}</definedName>
    <definedName name="____________________ok1" localSheetId="0" hidden="1">{#N/A,#N/A,FALSE,"balance";#N/A,#N/A,FALSE,"PYG"}</definedName>
    <definedName name="____________________ok1" localSheetId="3" hidden="1">{#N/A,#N/A,FALSE,"balance";#N/A,#N/A,FALSE,"PYG"}</definedName>
    <definedName name="____________________ok1" localSheetId="2" hidden="1">{#N/A,#N/A,FALSE,"balance";#N/A,#N/A,FALSE,"PYG"}</definedName>
    <definedName name="____________________ok1" hidden="1">{#N/A,#N/A,FALSE,"balance";#N/A,#N/A,FALSE,"PYG"}</definedName>
    <definedName name="____________________Ok2" localSheetId="1" hidden="1">{#N/A,#N/A,FALSE,"balance";#N/A,#N/A,FALSE,"PYG"}</definedName>
    <definedName name="____________________Ok2" localSheetId="4" hidden="1">{#N/A,#N/A,FALSE,"balance";#N/A,#N/A,FALSE,"PYG"}</definedName>
    <definedName name="____________________Ok2" localSheetId="0" hidden="1">{#N/A,#N/A,FALSE,"balance";#N/A,#N/A,FALSE,"PYG"}</definedName>
    <definedName name="____________________Ok2" localSheetId="3" hidden="1">{#N/A,#N/A,FALSE,"balance";#N/A,#N/A,FALSE,"PYG"}</definedName>
    <definedName name="____________________Ok2" localSheetId="2" hidden="1">{#N/A,#N/A,FALSE,"balance";#N/A,#N/A,FALSE,"PYG"}</definedName>
    <definedName name="____________________Ok2" hidden="1">{#N/A,#N/A,FALSE,"balance";#N/A,#N/A,FALSE,"PYG"}</definedName>
    <definedName name="____________________PyG2" localSheetId="1" hidden="1">{#N/A,#N/A,FALSE,"balance";#N/A,#N/A,FALSE,"PYG"}</definedName>
    <definedName name="____________________PyG2" localSheetId="4" hidden="1">{#N/A,#N/A,FALSE,"balance";#N/A,#N/A,FALSE,"PYG"}</definedName>
    <definedName name="____________________PyG2" localSheetId="0" hidden="1">{#N/A,#N/A,FALSE,"balance";#N/A,#N/A,FALSE,"PYG"}</definedName>
    <definedName name="____________________PyG2" localSheetId="3" hidden="1">{#N/A,#N/A,FALSE,"balance";#N/A,#N/A,FALSE,"PYG"}</definedName>
    <definedName name="____________________PyG2" localSheetId="2" hidden="1">{#N/A,#N/A,FALSE,"balance";#N/A,#N/A,FALSE,"PYG"}</definedName>
    <definedName name="____________________PyG2" hidden="1">{#N/A,#N/A,FALSE,"balance";#N/A,#N/A,FALSE,"PYG"}</definedName>
    <definedName name="____________________PYG3" localSheetId="1" hidden="1">{#N/A,#N/A,FALSE,"balance";#N/A,#N/A,FALSE,"PYG"}</definedName>
    <definedName name="____________________PYG3" localSheetId="4" hidden="1">{#N/A,#N/A,FALSE,"balance";#N/A,#N/A,FALSE,"PYG"}</definedName>
    <definedName name="____________________PYG3" localSheetId="0" hidden="1">{#N/A,#N/A,FALSE,"balance";#N/A,#N/A,FALSE,"PYG"}</definedName>
    <definedName name="____________________PYG3" localSheetId="3" hidden="1">{#N/A,#N/A,FALSE,"balance";#N/A,#N/A,FALSE,"PYG"}</definedName>
    <definedName name="____________________PYG3" localSheetId="2" hidden="1">{#N/A,#N/A,FALSE,"balance";#N/A,#N/A,FALSE,"PYG"}</definedName>
    <definedName name="____________________PYG3" hidden="1">{#N/A,#N/A,FALSE,"balance";#N/A,#N/A,FALSE,"PYG"}</definedName>
    <definedName name="____________________PyG33" localSheetId="1" hidden="1">{#N/A,#N/A,FALSE,"balance";#N/A,#N/A,FALSE,"PYG"}</definedName>
    <definedName name="____________________PyG33" localSheetId="4" hidden="1">{#N/A,#N/A,FALSE,"balance";#N/A,#N/A,FALSE,"PYG"}</definedName>
    <definedName name="____________________PyG33" localSheetId="0" hidden="1">{#N/A,#N/A,FALSE,"balance";#N/A,#N/A,FALSE,"PYG"}</definedName>
    <definedName name="____________________PyG33" localSheetId="3" hidden="1">{#N/A,#N/A,FALSE,"balance";#N/A,#N/A,FALSE,"PYG"}</definedName>
    <definedName name="____________________PyG33" localSheetId="2" hidden="1">{#N/A,#N/A,FALSE,"balance";#N/A,#N/A,FALSE,"PYG"}</definedName>
    <definedName name="____________________PyG33" hidden="1">{#N/A,#N/A,FALSE,"balance";#N/A,#N/A,FALSE,"PYG"}</definedName>
    <definedName name="____________________R" hidden="1">{#N/A,#N/A,FALSE,"GRAFICO";#N/A,#N/A,FALSE,"CAJA (2)";#N/A,#N/A,FALSE,"TERCEROS-PROMEDIO";#N/A,#N/A,FALSE,"CAJA";#N/A,#N/A,FALSE,"INGRESOS1995-2003";#N/A,#N/A,FALSE,"GASTOS1995-2003"}</definedName>
    <definedName name="___________________GGF2" localSheetId="1" hidden="1">{#N/A,#N/A,FALSE,"balance";#N/A,#N/A,FALSE,"PYG"}</definedName>
    <definedName name="___________________GGF2" localSheetId="4" hidden="1">{#N/A,#N/A,FALSE,"balance";#N/A,#N/A,FALSE,"PYG"}</definedName>
    <definedName name="___________________GGF2" localSheetId="0" hidden="1">{#N/A,#N/A,FALSE,"balance";#N/A,#N/A,FALSE,"PYG"}</definedName>
    <definedName name="___________________GGF2" localSheetId="3" hidden="1">{#N/A,#N/A,FALSE,"balance";#N/A,#N/A,FALSE,"PYG"}</definedName>
    <definedName name="___________________GGF2" localSheetId="2" hidden="1">{#N/A,#N/A,FALSE,"balance";#N/A,#N/A,FALSE,"PYG"}</definedName>
    <definedName name="___________________GGF2" hidden="1">{#N/A,#N/A,FALSE,"balance";#N/A,#N/A,FALSE,"PYG"}</definedName>
    <definedName name="___________________new1" hidden="1">{#N/A,#N/A,FALSE,"SMT1";#N/A,#N/A,FALSE,"SMT2";#N/A,#N/A,FALSE,"Summary";#N/A,#N/A,FALSE,"Graphs";#N/A,#N/A,FALSE,"4 Panel"}</definedName>
    <definedName name="___________________NEW3" hidden="1">{#N/A,#N/A,FALSE,"SMT1";#N/A,#N/A,FALSE,"SMT2";#N/A,#N/A,FALSE,"Summary";#N/A,#N/A,FALSE,"Graphs";#N/A,#N/A,FALSE,"4 Panel"}</definedName>
    <definedName name="___________________NEW4" hidden="1">{#N/A,#N/A,FALSE,"Full";#N/A,#N/A,FALSE,"Half";#N/A,#N/A,FALSE,"Op Expenses";#N/A,#N/A,FALSE,"Cap Charge";#N/A,#N/A,FALSE,"Cost C";#N/A,#N/A,FALSE,"PP&amp;E";#N/A,#N/A,FALSE,"R&amp;D"}</definedName>
    <definedName name="___________________OCT2" localSheetId="1" hidden="1">{#N/A,#N/A,FALSE,"BL&amp;GPA";#N/A,#N/A,FALSE,"Summary";#N/A,#N/A,FALSE,"hts"}</definedName>
    <definedName name="___________________OCT2" localSheetId="4" hidden="1">{#N/A,#N/A,FALSE,"BL&amp;GPA";#N/A,#N/A,FALSE,"Summary";#N/A,#N/A,FALSE,"hts"}</definedName>
    <definedName name="___________________OCT2" localSheetId="0" hidden="1">{#N/A,#N/A,FALSE,"BL&amp;GPA";#N/A,#N/A,FALSE,"Summary";#N/A,#N/A,FALSE,"hts"}</definedName>
    <definedName name="___________________OCT2" localSheetId="3" hidden="1">{#N/A,#N/A,FALSE,"BL&amp;GPA";#N/A,#N/A,FALSE,"Summary";#N/A,#N/A,FALSE,"hts"}</definedName>
    <definedName name="___________________OCT2" localSheetId="2" hidden="1">{#N/A,#N/A,FALSE,"BL&amp;GPA";#N/A,#N/A,FALSE,"Summary";#N/A,#N/A,FALSE,"hts"}</definedName>
    <definedName name="___________________OCT2" hidden="1">{#N/A,#N/A,FALSE,"BL&amp;GPA";#N/A,#N/A,FALSE,"Summary";#N/A,#N/A,FALSE,"hts"}</definedName>
    <definedName name="___________________ok1" localSheetId="1" hidden="1">{#N/A,#N/A,FALSE,"balance";#N/A,#N/A,FALSE,"PYG"}</definedName>
    <definedName name="___________________ok1" localSheetId="4" hidden="1">{#N/A,#N/A,FALSE,"balance";#N/A,#N/A,FALSE,"PYG"}</definedName>
    <definedName name="___________________ok1" localSheetId="0" hidden="1">{#N/A,#N/A,FALSE,"balance";#N/A,#N/A,FALSE,"PYG"}</definedName>
    <definedName name="___________________ok1" localSheetId="3" hidden="1">{#N/A,#N/A,FALSE,"balance";#N/A,#N/A,FALSE,"PYG"}</definedName>
    <definedName name="___________________ok1" localSheetId="2" hidden="1">{#N/A,#N/A,FALSE,"balance";#N/A,#N/A,FALSE,"PYG"}</definedName>
    <definedName name="___________________ok1" hidden="1">{#N/A,#N/A,FALSE,"balance";#N/A,#N/A,FALSE,"PYG"}</definedName>
    <definedName name="___________________Ok2" localSheetId="1" hidden="1">{#N/A,#N/A,FALSE,"balance";#N/A,#N/A,FALSE,"PYG"}</definedName>
    <definedName name="___________________Ok2" localSheetId="4" hidden="1">{#N/A,#N/A,FALSE,"balance";#N/A,#N/A,FALSE,"PYG"}</definedName>
    <definedName name="___________________Ok2" localSheetId="0" hidden="1">{#N/A,#N/A,FALSE,"balance";#N/A,#N/A,FALSE,"PYG"}</definedName>
    <definedName name="___________________Ok2" localSheetId="3" hidden="1">{#N/A,#N/A,FALSE,"balance";#N/A,#N/A,FALSE,"PYG"}</definedName>
    <definedName name="___________________Ok2" localSheetId="2" hidden="1">{#N/A,#N/A,FALSE,"balance";#N/A,#N/A,FALSE,"PYG"}</definedName>
    <definedName name="___________________Ok2" hidden="1">{#N/A,#N/A,FALSE,"balance";#N/A,#N/A,FALSE,"PYG"}</definedName>
    <definedName name="___________________PyG2" localSheetId="1" hidden="1">{#N/A,#N/A,FALSE,"balance";#N/A,#N/A,FALSE,"PYG"}</definedName>
    <definedName name="___________________PyG2" localSheetId="4" hidden="1">{#N/A,#N/A,FALSE,"balance";#N/A,#N/A,FALSE,"PYG"}</definedName>
    <definedName name="___________________PyG2" localSheetId="0" hidden="1">{#N/A,#N/A,FALSE,"balance";#N/A,#N/A,FALSE,"PYG"}</definedName>
    <definedName name="___________________PyG2" localSheetId="3" hidden="1">{#N/A,#N/A,FALSE,"balance";#N/A,#N/A,FALSE,"PYG"}</definedName>
    <definedName name="___________________PyG2" localSheetId="2" hidden="1">{#N/A,#N/A,FALSE,"balance";#N/A,#N/A,FALSE,"PYG"}</definedName>
    <definedName name="___________________PyG2" hidden="1">{#N/A,#N/A,FALSE,"balance";#N/A,#N/A,FALSE,"PYG"}</definedName>
    <definedName name="___________________PYG3" localSheetId="1" hidden="1">{#N/A,#N/A,FALSE,"balance";#N/A,#N/A,FALSE,"PYG"}</definedName>
    <definedName name="___________________PYG3" localSheetId="4" hidden="1">{#N/A,#N/A,FALSE,"balance";#N/A,#N/A,FALSE,"PYG"}</definedName>
    <definedName name="___________________PYG3" localSheetId="0" hidden="1">{#N/A,#N/A,FALSE,"balance";#N/A,#N/A,FALSE,"PYG"}</definedName>
    <definedName name="___________________PYG3" localSheetId="3" hidden="1">{#N/A,#N/A,FALSE,"balance";#N/A,#N/A,FALSE,"PYG"}</definedName>
    <definedName name="___________________PYG3" localSheetId="2" hidden="1">{#N/A,#N/A,FALSE,"balance";#N/A,#N/A,FALSE,"PYG"}</definedName>
    <definedName name="___________________PYG3" hidden="1">{#N/A,#N/A,FALSE,"balance";#N/A,#N/A,FALSE,"PYG"}</definedName>
    <definedName name="___________________PyG33" localSheetId="1" hidden="1">{#N/A,#N/A,FALSE,"balance";#N/A,#N/A,FALSE,"PYG"}</definedName>
    <definedName name="___________________PyG33" localSheetId="4" hidden="1">{#N/A,#N/A,FALSE,"balance";#N/A,#N/A,FALSE,"PYG"}</definedName>
    <definedName name="___________________PyG33" localSheetId="0" hidden="1">{#N/A,#N/A,FALSE,"balance";#N/A,#N/A,FALSE,"PYG"}</definedName>
    <definedName name="___________________PyG33" localSheetId="3" hidden="1">{#N/A,#N/A,FALSE,"balance";#N/A,#N/A,FALSE,"PYG"}</definedName>
    <definedName name="___________________PyG33" localSheetId="2" hidden="1">{#N/A,#N/A,FALSE,"balance";#N/A,#N/A,FALSE,"PYG"}</definedName>
    <definedName name="___________________PyG33" hidden="1">{#N/A,#N/A,FALSE,"balance";#N/A,#N/A,FALSE,"PYG"}</definedName>
    <definedName name="__________________GGF2" localSheetId="1" hidden="1">{#N/A,#N/A,FALSE,"balance";#N/A,#N/A,FALSE,"PYG"}</definedName>
    <definedName name="__________________GGF2" localSheetId="4" hidden="1">{#N/A,#N/A,FALSE,"balance";#N/A,#N/A,FALSE,"PYG"}</definedName>
    <definedName name="__________________GGF2" localSheetId="0" hidden="1">{#N/A,#N/A,FALSE,"balance";#N/A,#N/A,FALSE,"PYG"}</definedName>
    <definedName name="__________________GGF2" localSheetId="3" hidden="1">{#N/A,#N/A,FALSE,"balance";#N/A,#N/A,FALSE,"PYG"}</definedName>
    <definedName name="__________________GGF2" localSheetId="2" hidden="1">{#N/A,#N/A,FALSE,"balance";#N/A,#N/A,FALSE,"PYG"}</definedName>
    <definedName name="__________________GGF2" hidden="1">{#N/A,#N/A,FALSE,"balance";#N/A,#N/A,FALSE,"PYG"}</definedName>
    <definedName name="__________________new1" hidden="1">{#N/A,#N/A,FALSE,"SMT1";#N/A,#N/A,FALSE,"SMT2";#N/A,#N/A,FALSE,"Summary";#N/A,#N/A,FALSE,"Graphs";#N/A,#N/A,FALSE,"4 Panel"}</definedName>
    <definedName name="__________________NEW3" hidden="1">{#N/A,#N/A,FALSE,"SMT1";#N/A,#N/A,FALSE,"SMT2";#N/A,#N/A,FALSE,"Summary";#N/A,#N/A,FALSE,"Graphs";#N/A,#N/A,FALSE,"4 Panel"}</definedName>
    <definedName name="__________________NEW4" hidden="1">{#N/A,#N/A,FALSE,"Full";#N/A,#N/A,FALSE,"Half";#N/A,#N/A,FALSE,"Op Expenses";#N/A,#N/A,FALSE,"Cap Charge";#N/A,#N/A,FALSE,"Cost C";#N/A,#N/A,FALSE,"PP&amp;E";#N/A,#N/A,FALSE,"R&amp;D"}</definedName>
    <definedName name="__________________OCT2" localSheetId="1" hidden="1">{#N/A,#N/A,FALSE,"BL&amp;GPA";#N/A,#N/A,FALSE,"Summary";#N/A,#N/A,FALSE,"hts"}</definedName>
    <definedName name="__________________OCT2" localSheetId="4" hidden="1">{#N/A,#N/A,FALSE,"BL&amp;GPA";#N/A,#N/A,FALSE,"Summary";#N/A,#N/A,FALSE,"hts"}</definedName>
    <definedName name="__________________OCT2" localSheetId="0" hidden="1">{#N/A,#N/A,FALSE,"BL&amp;GPA";#N/A,#N/A,FALSE,"Summary";#N/A,#N/A,FALSE,"hts"}</definedName>
    <definedName name="__________________OCT2" localSheetId="3" hidden="1">{#N/A,#N/A,FALSE,"BL&amp;GPA";#N/A,#N/A,FALSE,"Summary";#N/A,#N/A,FALSE,"hts"}</definedName>
    <definedName name="__________________OCT2" localSheetId="2" hidden="1">{#N/A,#N/A,FALSE,"BL&amp;GPA";#N/A,#N/A,FALSE,"Summary";#N/A,#N/A,FALSE,"hts"}</definedName>
    <definedName name="__________________OCT2" hidden="1">{#N/A,#N/A,FALSE,"BL&amp;GPA";#N/A,#N/A,FALSE,"Summary";#N/A,#N/A,FALSE,"hts"}</definedName>
    <definedName name="__________________ok1" localSheetId="1" hidden="1">{#N/A,#N/A,FALSE,"balance";#N/A,#N/A,FALSE,"PYG"}</definedName>
    <definedName name="__________________ok1" localSheetId="4" hidden="1">{#N/A,#N/A,FALSE,"balance";#N/A,#N/A,FALSE,"PYG"}</definedName>
    <definedName name="__________________ok1" localSheetId="0" hidden="1">{#N/A,#N/A,FALSE,"balance";#N/A,#N/A,FALSE,"PYG"}</definedName>
    <definedName name="__________________ok1" localSheetId="3" hidden="1">{#N/A,#N/A,FALSE,"balance";#N/A,#N/A,FALSE,"PYG"}</definedName>
    <definedName name="__________________ok1" localSheetId="2" hidden="1">{#N/A,#N/A,FALSE,"balance";#N/A,#N/A,FALSE,"PYG"}</definedName>
    <definedName name="__________________ok1" hidden="1">{#N/A,#N/A,FALSE,"balance";#N/A,#N/A,FALSE,"PYG"}</definedName>
    <definedName name="__________________Ok2" localSheetId="1" hidden="1">{#N/A,#N/A,FALSE,"balance";#N/A,#N/A,FALSE,"PYG"}</definedName>
    <definedName name="__________________Ok2" localSheetId="4" hidden="1">{#N/A,#N/A,FALSE,"balance";#N/A,#N/A,FALSE,"PYG"}</definedName>
    <definedName name="__________________Ok2" localSheetId="0" hidden="1">{#N/A,#N/A,FALSE,"balance";#N/A,#N/A,FALSE,"PYG"}</definedName>
    <definedName name="__________________Ok2" localSheetId="3" hidden="1">{#N/A,#N/A,FALSE,"balance";#N/A,#N/A,FALSE,"PYG"}</definedName>
    <definedName name="__________________Ok2" localSheetId="2" hidden="1">{#N/A,#N/A,FALSE,"balance";#N/A,#N/A,FALSE,"PYG"}</definedName>
    <definedName name="__________________Ok2" hidden="1">{#N/A,#N/A,FALSE,"balance";#N/A,#N/A,FALSE,"PYG"}</definedName>
    <definedName name="__________________PyG2" localSheetId="1" hidden="1">{#N/A,#N/A,FALSE,"balance";#N/A,#N/A,FALSE,"PYG"}</definedName>
    <definedName name="__________________PyG2" localSheetId="4" hidden="1">{#N/A,#N/A,FALSE,"balance";#N/A,#N/A,FALSE,"PYG"}</definedName>
    <definedName name="__________________PyG2" localSheetId="0" hidden="1">{#N/A,#N/A,FALSE,"balance";#N/A,#N/A,FALSE,"PYG"}</definedName>
    <definedName name="__________________PyG2" localSheetId="3" hidden="1">{#N/A,#N/A,FALSE,"balance";#N/A,#N/A,FALSE,"PYG"}</definedName>
    <definedName name="__________________PyG2" localSheetId="2" hidden="1">{#N/A,#N/A,FALSE,"balance";#N/A,#N/A,FALSE,"PYG"}</definedName>
    <definedName name="__________________PyG2" hidden="1">{#N/A,#N/A,FALSE,"balance";#N/A,#N/A,FALSE,"PYG"}</definedName>
    <definedName name="__________________PYG3" localSheetId="1" hidden="1">{#N/A,#N/A,FALSE,"balance";#N/A,#N/A,FALSE,"PYG"}</definedName>
    <definedName name="__________________PYG3" localSheetId="4" hidden="1">{#N/A,#N/A,FALSE,"balance";#N/A,#N/A,FALSE,"PYG"}</definedName>
    <definedName name="__________________PYG3" localSheetId="0" hidden="1">{#N/A,#N/A,FALSE,"balance";#N/A,#N/A,FALSE,"PYG"}</definedName>
    <definedName name="__________________PYG3" localSheetId="3" hidden="1">{#N/A,#N/A,FALSE,"balance";#N/A,#N/A,FALSE,"PYG"}</definedName>
    <definedName name="__________________PYG3" localSheetId="2" hidden="1">{#N/A,#N/A,FALSE,"balance";#N/A,#N/A,FALSE,"PYG"}</definedName>
    <definedName name="__________________PYG3" hidden="1">{#N/A,#N/A,FALSE,"balance";#N/A,#N/A,FALSE,"PYG"}</definedName>
    <definedName name="__________________PyG33" localSheetId="1" hidden="1">{#N/A,#N/A,FALSE,"balance";#N/A,#N/A,FALSE,"PYG"}</definedName>
    <definedName name="__________________PyG33" localSheetId="4" hidden="1">{#N/A,#N/A,FALSE,"balance";#N/A,#N/A,FALSE,"PYG"}</definedName>
    <definedName name="__________________PyG33" localSheetId="0" hidden="1">{#N/A,#N/A,FALSE,"balance";#N/A,#N/A,FALSE,"PYG"}</definedName>
    <definedName name="__________________PyG33" localSheetId="3" hidden="1">{#N/A,#N/A,FALSE,"balance";#N/A,#N/A,FALSE,"PYG"}</definedName>
    <definedName name="__________________PyG33" localSheetId="2" hidden="1">{#N/A,#N/A,FALSE,"balance";#N/A,#N/A,FALSE,"PYG"}</definedName>
    <definedName name="__________________PyG33" hidden="1">{#N/A,#N/A,FALSE,"balance";#N/A,#N/A,FALSE,"PYG"}</definedName>
    <definedName name="__________________R" hidden="1">{#N/A,#N/A,FALSE,"GRAFICO";#N/A,#N/A,FALSE,"CAJA (2)";#N/A,#N/A,FALSE,"TERCEROS-PROMEDIO";#N/A,#N/A,FALSE,"CAJA";#N/A,#N/A,FALSE,"INGRESOS1995-2003";#N/A,#N/A,FALSE,"GASTOS1995-2003"}</definedName>
    <definedName name="_________________GGF2" localSheetId="1" hidden="1">{#N/A,#N/A,FALSE,"balance";#N/A,#N/A,FALSE,"PYG"}</definedName>
    <definedName name="_________________GGF2" localSheetId="4" hidden="1">{#N/A,#N/A,FALSE,"balance";#N/A,#N/A,FALSE,"PYG"}</definedName>
    <definedName name="_________________GGF2" localSheetId="0" hidden="1">{#N/A,#N/A,FALSE,"balance";#N/A,#N/A,FALSE,"PYG"}</definedName>
    <definedName name="_________________GGF2" localSheetId="3" hidden="1">{#N/A,#N/A,FALSE,"balance";#N/A,#N/A,FALSE,"PYG"}</definedName>
    <definedName name="_________________GGF2" localSheetId="2" hidden="1">{#N/A,#N/A,FALSE,"balance";#N/A,#N/A,FALSE,"PYG"}</definedName>
    <definedName name="_________________GGF2" hidden="1">{#N/A,#N/A,FALSE,"balance";#N/A,#N/A,FALSE,"PYG"}</definedName>
    <definedName name="_________________new1" hidden="1">{#N/A,#N/A,FALSE,"SMT1";#N/A,#N/A,FALSE,"SMT2";#N/A,#N/A,FALSE,"Summary";#N/A,#N/A,FALSE,"Graphs";#N/A,#N/A,FALSE,"4 Panel"}</definedName>
    <definedName name="_________________New15" hidden="1">{"EVA",#N/A,FALSE,"SMT2";#N/A,#N/A,FALSE,"Summary";#N/A,#N/A,FALSE,"Graphs";#N/A,#N/A,FALSE,"4 Panel"}</definedName>
    <definedName name="_________________New16" hidden="1">{#N/A,#N/A,FALSE,"SMT1";#N/A,#N/A,FALSE,"SMT2";#N/A,#N/A,FALSE,"Summary";#N/A,#N/A,FALSE,"Graphs";#N/A,#N/A,FALSE,"4 Panel"}</definedName>
    <definedName name="_________________New17" hidden="1">{#N/A,#N/A,FALSE,"SMT1";#N/A,#N/A,FALSE,"SMT2";#N/A,#N/A,FALSE,"Summary";#N/A,#N/A,FALSE,"Graphs";#N/A,#N/A,FALSE,"4 Panel"}</definedName>
    <definedName name="_________________New18" hidden="1">{#N/A,#N/A,FALSE,"Full";#N/A,#N/A,FALSE,"Half";#N/A,#N/A,FALSE,"Op Expenses";#N/A,#N/A,FALSE,"Cap Charge";#N/A,#N/A,FALSE,"Cost C";#N/A,#N/A,FALSE,"PP&amp;E";#N/A,#N/A,FALSE,"R&amp;D"}</definedName>
    <definedName name="_________________New19" hidden="1">{"EVA",#N/A,FALSE,"SMT2";#N/A,#N/A,FALSE,"Summary";#N/A,#N/A,FALSE,"Graphs";#N/A,#N/A,FALSE,"4 Panel"}</definedName>
    <definedName name="_________________New20" hidden="1">{#N/A,#N/A,FALSE,"SMT1";#N/A,#N/A,FALSE,"SMT2";#N/A,#N/A,FALSE,"Summary";#N/A,#N/A,FALSE,"Graphs";#N/A,#N/A,FALSE,"4 Panel"}</definedName>
    <definedName name="_________________New21" hidden="1">{#N/A,#N/A,FALSE,"Full";#N/A,#N/A,FALSE,"Half";#N/A,#N/A,FALSE,"Op Expenses";#N/A,#N/A,FALSE,"Cap Charge";#N/A,#N/A,FALSE,"Cost C";#N/A,#N/A,FALSE,"PP&amp;E";#N/A,#N/A,FALSE,"R&amp;D"}</definedName>
    <definedName name="_________________NEW3" hidden="1">{#N/A,#N/A,FALSE,"SMT1";#N/A,#N/A,FALSE,"SMT2";#N/A,#N/A,FALSE,"Summary";#N/A,#N/A,FALSE,"Graphs";#N/A,#N/A,FALSE,"4 Panel"}</definedName>
    <definedName name="_________________nEW30" hidden="1">{"EVA",#N/A,FALSE,"SMT2";#N/A,#N/A,FALSE,"Summary";#N/A,#N/A,FALSE,"Graphs";#N/A,#N/A,FALSE,"4 Panel"}</definedName>
    <definedName name="_________________New31" hidden="1">{#N/A,#N/A,FALSE,"SMT1";#N/A,#N/A,FALSE,"SMT2";#N/A,#N/A,FALSE,"Summary";#N/A,#N/A,FALSE,"Graphs";#N/A,#N/A,FALSE,"4 Panel"}</definedName>
    <definedName name="_________________New32" hidden="1">{#N/A,#N/A,FALSE,"SMT1";#N/A,#N/A,FALSE,"SMT2";#N/A,#N/A,FALSE,"Summary";#N/A,#N/A,FALSE,"Graphs";#N/A,#N/A,FALSE,"4 Panel"}</definedName>
    <definedName name="_________________New33" hidden="1">{#N/A,#N/A,FALSE,"Full";#N/A,#N/A,FALSE,"Half";#N/A,#N/A,FALSE,"Op Expenses";#N/A,#N/A,FALSE,"Cap Charge";#N/A,#N/A,FALSE,"Cost C";#N/A,#N/A,FALSE,"PP&amp;E";#N/A,#N/A,FALSE,"R&amp;D"}</definedName>
    <definedName name="_________________New34" hidden="1">{"EVA",#N/A,FALSE,"SMT2";#N/A,#N/A,FALSE,"Summary";#N/A,#N/A,FALSE,"Graphs";#N/A,#N/A,FALSE,"4 Panel"}</definedName>
    <definedName name="_________________New35" hidden="1">{#N/A,#N/A,FALSE,"SMT1";#N/A,#N/A,FALSE,"SMT2";#N/A,#N/A,FALSE,"Summary";#N/A,#N/A,FALSE,"Graphs";#N/A,#N/A,FALSE,"4 Panel"}</definedName>
    <definedName name="_________________New36" hidden="1">{#N/A,#N/A,FALSE,"Full";#N/A,#N/A,FALSE,"Half";#N/A,#N/A,FALSE,"Op Expenses";#N/A,#N/A,FALSE,"Cap Charge";#N/A,#N/A,FALSE,"Cost C";#N/A,#N/A,FALSE,"PP&amp;E";#N/A,#N/A,FALSE,"R&amp;D"}</definedName>
    <definedName name="_________________NEW4" hidden="1">{#N/A,#N/A,FALSE,"Full";#N/A,#N/A,FALSE,"Half";#N/A,#N/A,FALSE,"Op Expenses";#N/A,#N/A,FALSE,"Cap Charge";#N/A,#N/A,FALSE,"Cost C";#N/A,#N/A,FALSE,"PP&amp;E";#N/A,#N/A,FALSE,"R&amp;D"}</definedName>
    <definedName name="_________________OCT2" localSheetId="1" hidden="1">{#N/A,#N/A,FALSE,"BL&amp;GPA";#N/A,#N/A,FALSE,"Summary";#N/A,#N/A,FALSE,"hts"}</definedName>
    <definedName name="_________________OCT2" localSheetId="4" hidden="1">{#N/A,#N/A,FALSE,"BL&amp;GPA";#N/A,#N/A,FALSE,"Summary";#N/A,#N/A,FALSE,"hts"}</definedName>
    <definedName name="_________________OCT2" localSheetId="0" hidden="1">{#N/A,#N/A,FALSE,"BL&amp;GPA";#N/A,#N/A,FALSE,"Summary";#N/A,#N/A,FALSE,"hts"}</definedName>
    <definedName name="_________________OCT2" localSheetId="3" hidden="1">{#N/A,#N/A,FALSE,"BL&amp;GPA";#N/A,#N/A,FALSE,"Summary";#N/A,#N/A,FALSE,"hts"}</definedName>
    <definedName name="_________________OCT2" localSheetId="2" hidden="1">{#N/A,#N/A,FALSE,"BL&amp;GPA";#N/A,#N/A,FALSE,"Summary";#N/A,#N/A,FALSE,"hts"}</definedName>
    <definedName name="_________________OCT2" hidden="1">{#N/A,#N/A,FALSE,"BL&amp;GPA";#N/A,#N/A,FALSE,"Summary";#N/A,#N/A,FALSE,"hts"}</definedName>
    <definedName name="_________________ok1" localSheetId="1" hidden="1">{#N/A,#N/A,FALSE,"balance";#N/A,#N/A,FALSE,"PYG"}</definedName>
    <definedName name="_________________ok1" localSheetId="4" hidden="1">{#N/A,#N/A,FALSE,"balance";#N/A,#N/A,FALSE,"PYG"}</definedName>
    <definedName name="_________________ok1" localSheetId="0" hidden="1">{#N/A,#N/A,FALSE,"balance";#N/A,#N/A,FALSE,"PYG"}</definedName>
    <definedName name="_________________ok1" localSheetId="3" hidden="1">{#N/A,#N/A,FALSE,"balance";#N/A,#N/A,FALSE,"PYG"}</definedName>
    <definedName name="_________________ok1" localSheetId="2" hidden="1">{#N/A,#N/A,FALSE,"balance";#N/A,#N/A,FALSE,"PYG"}</definedName>
    <definedName name="_________________ok1" hidden="1">{#N/A,#N/A,FALSE,"balance";#N/A,#N/A,FALSE,"PYG"}</definedName>
    <definedName name="_________________Ok2" localSheetId="1" hidden="1">{#N/A,#N/A,FALSE,"balance";#N/A,#N/A,FALSE,"PYG"}</definedName>
    <definedName name="_________________Ok2" localSheetId="4" hidden="1">{#N/A,#N/A,FALSE,"balance";#N/A,#N/A,FALSE,"PYG"}</definedName>
    <definedName name="_________________Ok2" localSheetId="0" hidden="1">{#N/A,#N/A,FALSE,"balance";#N/A,#N/A,FALSE,"PYG"}</definedName>
    <definedName name="_________________Ok2" localSheetId="3" hidden="1">{#N/A,#N/A,FALSE,"balance";#N/A,#N/A,FALSE,"PYG"}</definedName>
    <definedName name="_________________Ok2" localSheetId="2" hidden="1">{#N/A,#N/A,FALSE,"balance";#N/A,#N/A,FALSE,"PYG"}</definedName>
    <definedName name="_________________Ok2" hidden="1">{#N/A,#N/A,FALSE,"balance";#N/A,#N/A,FALSE,"PYG"}</definedName>
    <definedName name="_________________PyG2" localSheetId="1" hidden="1">{#N/A,#N/A,FALSE,"balance";#N/A,#N/A,FALSE,"PYG"}</definedName>
    <definedName name="_________________PyG2" localSheetId="4" hidden="1">{#N/A,#N/A,FALSE,"balance";#N/A,#N/A,FALSE,"PYG"}</definedName>
    <definedName name="_________________PyG2" localSheetId="0" hidden="1">{#N/A,#N/A,FALSE,"balance";#N/A,#N/A,FALSE,"PYG"}</definedName>
    <definedName name="_________________PyG2" localSheetId="3" hidden="1">{#N/A,#N/A,FALSE,"balance";#N/A,#N/A,FALSE,"PYG"}</definedName>
    <definedName name="_________________PyG2" localSheetId="2" hidden="1">{#N/A,#N/A,FALSE,"balance";#N/A,#N/A,FALSE,"PYG"}</definedName>
    <definedName name="_________________PyG2" hidden="1">{#N/A,#N/A,FALSE,"balance";#N/A,#N/A,FALSE,"PYG"}</definedName>
    <definedName name="_________________PYG3" localSheetId="1" hidden="1">{#N/A,#N/A,FALSE,"balance";#N/A,#N/A,FALSE,"PYG"}</definedName>
    <definedName name="_________________PYG3" localSheetId="4" hidden="1">{#N/A,#N/A,FALSE,"balance";#N/A,#N/A,FALSE,"PYG"}</definedName>
    <definedName name="_________________PYG3" localSheetId="0" hidden="1">{#N/A,#N/A,FALSE,"balance";#N/A,#N/A,FALSE,"PYG"}</definedName>
    <definedName name="_________________PYG3" localSheetId="3" hidden="1">{#N/A,#N/A,FALSE,"balance";#N/A,#N/A,FALSE,"PYG"}</definedName>
    <definedName name="_________________PYG3" localSheetId="2" hidden="1">{#N/A,#N/A,FALSE,"balance";#N/A,#N/A,FALSE,"PYG"}</definedName>
    <definedName name="_________________PYG3" hidden="1">{#N/A,#N/A,FALSE,"balance";#N/A,#N/A,FALSE,"PYG"}</definedName>
    <definedName name="_________________PyG33" localSheetId="1" hidden="1">{#N/A,#N/A,FALSE,"balance";#N/A,#N/A,FALSE,"PYG"}</definedName>
    <definedName name="_________________PyG33" localSheetId="4" hidden="1">{#N/A,#N/A,FALSE,"balance";#N/A,#N/A,FALSE,"PYG"}</definedName>
    <definedName name="_________________PyG33" localSheetId="0" hidden="1">{#N/A,#N/A,FALSE,"balance";#N/A,#N/A,FALSE,"PYG"}</definedName>
    <definedName name="_________________PyG33" localSheetId="3" hidden="1">{#N/A,#N/A,FALSE,"balance";#N/A,#N/A,FALSE,"PYG"}</definedName>
    <definedName name="_________________PyG33" localSheetId="2" hidden="1">{#N/A,#N/A,FALSE,"balance";#N/A,#N/A,FALSE,"PYG"}</definedName>
    <definedName name="_________________PyG33" hidden="1">{#N/A,#N/A,FALSE,"balance";#N/A,#N/A,FALSE,"PYG"}</definedName>
    <definedName name="_________________R" hidden="1">{#N/A,#N/A,FALSE,"GRAFICO";#N/A,#N/A,FALSE,"CAJA (2)";#N/A,#N/A,FALSE,"TERCEROS-PROMEDIO";#N/A,#N/A,FALSE,"CAJA";#N/A,#N/A,FALSE,"INGRESOS1995-2003";#N/A,#N/A,FALSE,"GASTOS1995-2003"}</definedName>
    <definedName name="________________GGF2" localSheetId="1" hidden="1">{#N/A,#N/A,FALSE,"balance";#N/A,#N/A,FALSE,"PYG"}</definedName>
    <definedName name="________________GGF2" localSheetId="4" hidden="1">{#N/A,#N/A,FALSE,"balance";#N/A,#N/A,FALSE,"PYG"}</definedName>
    <definedName name="________________GGF2" localSheetId="0" hidden="1">{#N/A,#N/A,FALSE,"balance";#N/A,#N/A,FALSE,"PYG"}</definedName>
    <definedName name="________________GGF2" localSheetId="3" hidden="1">{#N/A,#N/A,FALSE,"balance";#N/A,#N/A,FALSE,"PYG"}</definedName>
    <definedName name="________________GGF2" localSheetId="2" hidden="1">{#N/A,#N/A,FALSE,"balance";#N/A,#N/A,FALSE,"PYG"}</definedName>
    <definedName name="________________GGF2" hidden="1">{#N/A,#N/A,FALSE,"balance";#N/A,#N/A,FALSE,"PYG"}</definedName>
    <definedName name="________________new1" hidden="1">{#N/A,#N/A,FALSE,"SMT1";#N/A,#N/A,FALSE,"SMT2";#N/A,#N/A,FALSE,"Summary";#N/A,#N/A,FALSE,"Graphs";#N/A,#N/A,FALSE,"4 Panel"}</definedName>
    <definedName name="________________New15" hidden="1">{"EVA",#N/A,FALSE,"SMT2";#N/A,#N/A,FALSE,"Summary";#N/A,#N/A,FALSE,"Graphs";#N/A,#N/A,FALSE,"4 Panel"}</definedName>
    <definedName name="________________New16" hidden="1">{#N/A,#N/A,FALSE,"SMT1";#N/A,#N/A,FALSE,"SMT2";#N/A,#N/A,FALSE,"Summary";#N/A,#N/A,FALSE,"Graphs";#N/A,#N/A,FALSE,"4 Panel"}</definedName>
    <definedName name="________________New17" hidden="1">{#N/A,#N/A,FALSE,"SMT1";#N/A,#N/A,FALSE,"SMT2";#N/A,#N/A,FALSE,"Summary";#N/A,#N/A,FALSE,"Graphs";#N/A,#N/A,FALSE,"4 Panel"}</definedName>
    <definedName name="________________New18" hidden="1">{#N/A,#N/A,FALSE,"Full";#N/A,#N/A,FALSE,"Half";#N/A,#N/A,FALSE,"Op Expenses";#N/A,#N/A,FALSE,"Cap Charge";#N/A,#N/A,FALSE,"Cost C";#N/A,#N/A,FALSE,"PP&amp;E";#N/A,#N/A,FALSE,"R&amp;D"}</definedName>
    <definedName name="________________New19" hidden="1">{"EVA",#N/A,FALSE,"SMT2";#N/A,#N/A,FALSE,"Summary";#N/A,#N/A,FALSE,"Graphs";#N/A,#N/A,FALSE,"4 Panel"}</definedName>
    <definedName name="________________New20" hidden="1">{#N/A,#N/A,FALSE,"SMT1";#N/A,#N/A,FALSE,"SMT2";#N/A,#N/A,FALSE,"Summary";#N/A,#N/A,FALSE,"Graphs";#N/A,#N/A,FALSE,"4 Panel"}</definedName>
    <definedName name="________________New21" hidden="1">{#N/A,#N/A,FALSE,"Full";#N/A,#N/A,FALSE,"Half";#N/A,#N/A,FALSE,"Op Expenses";#N/A,#N/A,FALSE,"Cap Charge";#N/A,#N/A,FALSE,"Cost C";#N/A,#N/A,FALSE,"PP&amp;E";#N/A,#N/A,FALSE,"R&amp;D"}</definedName>
    <definedName name="________________NEW3" hidden="1">{#N/A,#N/A,FALSE,"SMT1";#N/A,#N/A,FALSE,"SMT2";#N/A,#N/A,FALSE,"Summary";#N/A,#N/A,FALSE,"Graphs";#N/A,#N/A,FALSE,"4 Panel"}</definedName>
    <definedName name="________________nEW30" hidden="1">{"EVA",#N/A,FALSE,"SMT2";#N/A,#N/A,FALSE,"Summary";#N/A,#N/A,FALSE,"Graphs";#N/A,#N/A,FALSE,"4 Panel"}</definedName>
    <definedName name="________________New31" hidden="1">{#N/A,#N/A,FALSE,"SMT1";#N/A,#N/A,FALSE,"SMT2";#N/A,#N/A,FALSE,"Summary";#N/A,#N/A,FALSE,"Graphs";#N/A,#N/A,FALSE,"4 Panel"}</definedName>
    <definedName name="________________New32" hidden="1">{#N/A,#N/A,FALSE,"SMT1";#N/A,#N/A,FALSE,"SMT2";#N/A,#N/A,FALSE,"Summary";#N/A,#N/A,FALSE,"Graphs";#N/A,#N/A,FALSE,"4 Panel"}</definedName>
    <definedName name="________________New33" hidden="1">{#N/A,#N/A,FALSE,"Full";#N/A,#N/A,FALSE,"Half";#N/A,#N/A,FALSE,"Op Expenses";#N/A,#N/A,FALSE,"Cap Charge";#N/A,#N/A,FALSE,"Cost C";#N/A,#N/A,FALSE,"PP&amp;E";#N/A,#N/A,FALSE,"R&amp;D"}</definedName>
    <definedName name="________________New34" hidden="1">{"EVA",#N/A,FALSE,"SMT2";#N/A,#N/A,FALSE,"Summary";#N/A,#N/A,FALSE,"Graphs";#N/A,#N/A,FALSE,"4 Panel"}</definedName>
    <definedName name="________________New35" hidden="1">{#N/A,#N/A,FALSE,"SMT1";#N/A,#N/A,FALSE,"SMT2";#N/A,#N/A,FALSE,"Summary";#N/A,#N/A,FALSE,"Graphs";#N/A,#N/A,FALSE,"4 Panel"}</definedName>
    <definedName name="________________New36" hidden="1">{#N/A,#N/A,FALSE,"Full";#N/A,#N/A,FALSE,"Half";#N/A,#N/A,FALSE,"Op Expenses";#N/A,#N/A,FALSE,"Cap Charge";#N/A,#N/A,FALSE,"Cost C";#N/A,#N/A,FALSE,"PP&amp;E";#N/A,#N/A,FALSE,"R&amp;D"}</definedName>
    <definedName name="________________NEW4" hidden="1">{#N/A,#N/A,FALSE,"Full";#N/A,#N/A,FALSE,"Half";#N/A,#N/A,FALSE,"Op Expenses";#N/A,#N/A,FALSE,"Cap Charge";#N/A,#N/A,FALSE,"Cost C";#N/A,#N/A,FALSE,"PP&amp;E";#N/A,#N/A,FALSE,"R&amp;D"}</definedName>
    <definedName name="________________OCT2" localSheetId="1" hidden="1">{#N/A,#N/A,FALSE,"BL&amp;GPA";#N/A,#N/A,FALSE,"Summary";#N/A,#N/A,FALSE,"hts"}</definedName>
    <definedName name="________________OCT2" localSheetId="4" hidden="1">{#N/A,#N/A,FALSE,"BL&amp;GPA";#N/A,#N/A,FALSE,"Summary";#N/A,#N/A,FALSE,"hts"}</definedName>
    <definedName name="________________OCT2" localSheetId="0" hidden="1">{#N/A,#N/A,FALSE,"BL&amp;GPA";#N/A,#N/A,FALSE,"Summary";#N/A,#N/A,FALSE,"hts"}</definedName>
    <definedName name="________________OCT2" localSheetId="3" hidden="1">{#N/A,#N/A,FALSE,"BL&amp;GPA";#N/A,#N/A,FALSE,"Summary";#N/A,#N/A,FALSE,"hts"}</definedName>
    <definedName name="________________OCT2" localSheetId="2" hidden="1">{#N/A,#N/A,FALSE,"BL&amp;GPA";#N/A,#N/A,FALSE,"Summary";#N/A,#N/A,FALSE,"hts"}</definedName>
    <definedName name="________________OCT2" hidden="1">{#N/A,#N/A,FALSE,"BL&amp;GPA";#N/A,#N/A,FALSE,"Summary";#N/A,#N/A,FALSE,"hts"}</definedName>
    <definedName name="________________ok1" localSheetId="1" hidden="1">{#N/A,#N/A,FALSE,"balance";#N/A,#N/A,FALSE,"PYG"}</definedName>
    <definedName name="________________ok1" localSheetId="4" hidden="1">{#N/A,#N/A,FALSE,"balance";#N/A,#N/A,FALSE,"PYG"}</definedName>
    <definedName name="________________ok1" localSheetId="0" hidden="1">{#N/A,#N/A,FALSE,"balance";#N/A,#N/A,FALSE,"PYG"}</definedName>
    <definedName name="________________ok1" localSheetId="3" hidden="1">{#N/A,#N/A,FALSE,"balance";#N/A,#N/A,FALSE,"PYG"}</definedName>
    <definedName name="________________ok1" localSheetId="2" hidden="1">{#N/A,#N/A,FALSE,"balance";#N/A,#N/A,FALSE,"PYG"}</definedName>
    <definedName name="________________ok1" hidden="1">{#N/A,#N/A,FALSE,"balance";#N/A,#N/A,FALSE,"PYG"}</definedName>
    <definedName name="________________Ok2" localSheetId="1" hidden="1">{#N/A,#N/A,FALSE,"balance";#N/A,#N/A,FALSE,"PYG"}</definedName>
    <definedName name="________________Ok2" localSheetId="4" hidden="1">{#N/A,#N/A,FALSE,"balance";#N/A,#N/A,FALSE,"PYG"}</definedName>
    <definedName name="________________Ok2" localSheetId="0" hidden="1">{#N/A,#N/A,FALSE,"balance";#N/A,#N/A,FALSE,"PYG"}</definedName>
    <definedName name="________________Ok2" localSheetId="3" hidden="1">{#N/A,#N/A,FALSE,"balance";#N/A,#N/A,FALSE,"PYG"}</definedName>
    <definedName name="________________Ok2" localSheetId="2" hidden="1">{#N/A,#N/A,FALSE,"balance";#N/A,#N/A,FALSE,"PYG"}</definedName>
    <definedName name="________________Ok2" hidden="1">{#N/A,#N/A,FALSE,"balance";#N/A,#N/A,FALSE,"PYG"}</definedName>
    <definedName name="________________PyG2" localSheetId="1" hidden="1">{#N/A,#N/A,FALSE,"balance";#N/A,#N/A,FALSE,"PYG"}</definedName>
    <definedName name="________________PyG2" localSheetId="4" hidden="1">{#N/A,#N/A,FALSE,"balance";#N/A,#N/A,FALSE,"PYG"}</definedName>
    <definedName name="________________PyG2" localSheetId="0" hidden="1">{#N/A,#N/A,FALSE,"balance";#N/A,#N/A,FALSE,"PYG"}</definedName>
    <definedName name="________________PyG2" localSheetId="3" hidden="1">{#N/A,#N/A,FALSE,"balance";#N/A,#N/A,FALSE,"PYG"}</definedName>
    <definedName name="________________PyG2" localSheetId="2" hidden="1">{#N/A,#N/A,FALSE,"balance";#N/A,#N/A,FALSE,"PYG"}</definedName>
    <definedName name="________________PyG2" hidden="1">{#N/A,#N/A,FALSE,"balance";#N/A,#N/A,FALSE,"PYG"}</definedName>
    <definedName name="________________PYG3" localSheetId="1" hidden="1">{#N/A,#N/A,FALSE,"balance";#N/A,#N/A,FALSE,"PYG"}</definedName>
    <definedName name="________________PYG3" localSheetId="4" hidden="1">{#N/A,#N/A,FALSE,"balance";#N/A,#N/A,FALSE,"PYG"}</definedName>
    <definedName name="________________PYG3" localSheetId="0" hidden="1">{#N/A,#N/A,FALSE,"balance";#N/A,#N/A,FALSE,"PYG"}</definedName>
    <definedName name="________________PYG3" localSheetId="3" hidden="1">{#N/A,#N/A,FALSE,"balance";#N/A,#N/A,FALSE,"PYG"}</definedName>
    <definedName name="________________PYG3" localSheetId="2" hidden="1">{#N/A,#N/A,FALSE,"balance";#N/A,#N/A,FALSE,"PYG"}</definedName>
    <definedName name="________________PYG3" hidden="1">{#N/A,#N/A,FALSE,"balance";#N/A,#N/A,FALSE,"PYG"}</definedName>
    <definedName name="________________PyG33" localSheetId="1" hidden="1">{#N/A,#N/A,FALSE,"balance";#N/A,#N/A,FALSE,"PYG"}</definedName>
    <definedName name="________________PyG33" localSheetId="4" hidden="1">{#N/A,#N/A,FALSE,"balance";#N/A,#N/A,FALSE,"PYG"}</definedName>
    <definedName name="________________PyG33" localSheetId="0" hidden="1">{#N/A,#N/A,FALSE,"balance";#N/A,#N/A,FALSE,"PYG"}</definedName>
    <definedName name="________________PyG33" localSheetId="3" hidden="1">{#N/A,#N/A,FALSE,"balance";#N/A,#N/A,FALSE,"PYG"}</definedName>
    <definedName name="________________PyG33" localSheetId="2" hidden="1">{#N/A,#N/A,FALSE,"balance";#N/A,#N/A,FALSE,"PYG"}</definedName>
    <definedName name="________________PyG33" hidden="1">{#N/A,#N/A,FALSE,"balance";#N/A,#N/A,FALSE,"PYG"}</definedName>
    <definedName name="________________R" hidden="1">{#N/A,#N/A,FALSE,"GRAFICO";#N/A,#N/A,FALSE,"CAJA (2)";#N/A,#N/A,FALSE,"TERCEROS-PROMEDIO";#N/A,#N/A,FALSE,"CAJA";#N/A,#N/A,FALSE,"INGRESOS1995-2003";#N/A,#N/A,FALSE,"GASTOS1995-2003"}</definedName>
    <definedName name="_______________GGF2" localSheetId="1" hidden="1">{#N/A,#N/A,FALSE,"balance";#N/A,#N/A,FALSE,"PYG"}</definedName>
    <definedName name="_______________GGF2" localSheetId="4" hidden="1">{#N/A,#N/A,FALSE,"balance";#N/A,#N/A,FALSE,"PYG"}</definedName>
    <definedName name="_______________GGF2" localSheetId="0" hidden="1">{#N/A,#N/A,FALSE,"balance";#N/A,#N/A,FALSE,"PYG"}</definedName>
    <definedName name="_______________GGF2" localSheetId="3" hidden="1">{#N/A,#N/A,FALSE,"balance";#N/A,#N/A,FALSE,"PYG"}</definedName>
    <definedName name="_______________GGF2" localSheetId="2" hidden="1">{#N/A,#N/A,FALSE,"balance";#N/A,#N/A,FALSE,"PYG"}</definedName>
    <definedName name="_______________GGF2" hidden="1">{#N/A,#N/A,FALSE,"balance";#N/A,#N/A,FALSE,"PYG"}</definedName>
    <definedName name="_______________new1" hidden="1">{#N/A,#N/A,FALSE,"SMT1";#N/A,#N/A,FALSE,"SMT2";#N/A,#N/A,FALSE,"Summary";#N/A,#N/A,FALSE,"Graphs";#N/A,#N/A,FALSE,"4 Panel"}</definedName>
    <definedName name="_______________New15" hidden="1">{"EVA",#N/A,FALSE,"SMT2";#N/A,#N/A,FALSE,"Summary";#N/A,#N/A,FALSE,"Graphs";#N/A,#N/A,FALSE,"4 Panel"}</definedName>
    <definedName name="_______________New16" hidden="1">{#N/A,#N/A,FALSE,"SMT1";#N/A,#N/A,FALSE,"SMT2";#N/A,#N/A,FALSE,"Summary";#N/A,#N/A,FALSE,"Graphs";#N/A,#N/A,FALSE,"4 Panel"}</definedName>
    <definedName name="_______________New17" hidden="1">{#N/A,#N/A,FALSE,"SMT1";#N/A,#N/A,FALSE,"SMT2";#N/A,#N/A,FALSE,"Summary";#N/A,#N/A,FALSE,"Graphs";#N/A,#N/A,FALSE,"4 Panel"}</definedName>
    <definedName name="_______________New18" hidden="1">{#N/A,#N/A,FALSE,"Full";#N/A,#N/A,FALSE,"Half";#N/A,#N/A,FALSE,"Op Expenses";#N/A,#N/A,FALSE,"Cap Charge";#N/A,#N/A,FALSE,"Cost C";#N/A,#N/A,FALSE,"PP&amp;E";#N/A,#N/A,FALSE,"R&amp;D"}</definedName>
    <definedName name="_______________New19" hidden="1">{"EVA",#N/A,FALSE,"SMT2";#N/A,#N/A,FALSE,"Summary";#N/A,#N/A,FALSE,"Graphs";#N/A,#N/A,FALSE,"4 Panel"}</definedName>
    <definedName name="_______________New20" hidden="1">{#N/A,#N/A,FALSE,"SMT1";#N/A,#N/A,FALSE,"SMT2";#N/A,#N/A,FALSE,"Summary";#N/A,#N/A,FALSE,"Graphs";#N/A,#N/A,FALSE,"4 Panel"}</definedName>
    <definedName name="_______________New21" hidden="1">{#N/A,#N/A,FALSE,"Full";#N/A,#N/A,FALSE,"Half";#N/A,#N/A,FALSE,"Op Expenses";#N/A,#N/A,FALSE,"Cap Charge";#N/A,#N/A,FALSE,"Cost C";#N/A,#N/A,FALSE,"PP&amp;E";#N/A,#N/A,FALSE,"R&amp;D"}</definedName>
    <definedName name="_______________NEW3" hidden="1">{#N/A,#N/A,FALSE,"SMT1";#N/A,#N/A,FALSE,"SMT2";#N/A,#N/A,FALSE,"Summary";#N/A,#N/A,FALSE,"Graphs";#N/A,#N/A,FALSE,"4 Panel"}</definedName>
    <definedName name="_______________nEW30" hidden="1">{"EVA",#N/A,FALSE,"SMT2";#N/A,#N/A,FALSE,"Summary";#N/A,#N/A,FALSE,"Graphs";#N/A,#N/A,FALSE,"4 Panel"}</definedName>
    <definedName name="_______________New31" hidden="1">{#N/A,#N/A,FALSE,"SMT1";#N/A,#N/A,FALSE,"SMT2";#N/A,#N/A,FALSE,"Summary";#N/A,#N/A,FALSE,"Graphs";#N/A,#N/A,FALSE,"4 Panel"}</definedName>
    <definedName name="_______________New32" hidden="1">{#N/A,#N/A,FALSE,"SMT1";#N/A,#N/A,FALSE,"SMT2";#N/A,#N/A,FALSE,"Summary";#N/A,#N/A,FALSE,"Graphs";#N/A,#N/A,FALSE,"4 Panel"}</definedName>
    <definedName name="_______________New33" hidden="1">{#N/A,#N/A,FALSE,"Full";#N/A,#N/A,FALSE,"Half";#N/A,#N/A,FALSE,"Op Expenses";#N/A,#N/A,FALSE,"Cap Charge";#N/A,#N/A,FALSE,"Cost C";#N/A,#N/A,FALSE,"PP&amp;E";#N/A,#N/A,FALSE,"R&amp;D"}</definedName>
    <definedName name="_______________New34" hidden="1">{"EVA",#N/A,FALSE,"SMT2";#N/A,#N/A,FALSE,"Summary";#N/A,#N/A,FALSE,"Graphs";#N/A,#N/A,FALSE,"4 Panel"}</definedName>
    <definedName name="_______________New35" hidden="1">{#N/A,#N/A,FALSE,"SMT1";#N/A,#N/A,FALSE,"SMT2";#N/A,#N/A,FALSE,"Summary";#N/A,#N/A,FALSE,"Graphs";#N/A,#N/A,FALSE,"4 Panel"}</definedName>
    <definedName name="_______________New36" hidden="1">{#N/A,#N/A,FALSE,"Full";#N/A,#N/A,FALSE,"Half";#N/A,#N/A,FALSE,"Op Expenses";#N/A,#N/A,FALSE,"Cap Charge";#N/A,#N/A,FALSE,"Cost C";#N/A,#N/A,FALSE,"PP&amp;E";#N/A,#N/A,FALSE,"R&amp;D"}</definedName>
    <definedName name="_______________NEW4" hidden="1">{#N/A,#N/A,FALSE,"Full";#N/A,#N/A,FALSE,"Half";#N/A,#N/A,FALSE,"Op Expenses";#N/A,#N/A,FALSE,"Cap Charge";#N/A,#N/A,FALSE,"Cost C";#N/A,#N/A,FALSE,"PP&amp;E";#N/A,#N/A,FALSE,"R&amp;D"}</definedName>
    <definedName name="_______________OCT2" localSheetId="1" hidden="1">{#N/A,#N/A,FALSE,"BL&amp;GPA";#N/A,#N/A,FALSE,"Summary";#N/A,#N/A,FALSE,"hts"}</definedName>
    <definedName name="_______________OCT2" localSheetId="4" hidden="1">{#N/A,#N/A,FALSE,"BL&amp;GPA";#N/A,#N/A,FALSE,"Summary";#N/A,#N/A,FALSE,"hts"}</definedName>
    <definedName name="_______________OCT2" localSheetId="0" hidden="1">{#N/A,#N/A,FALSE,"BL&amp;GPA";#N/A,#N/A,FALSE,"Summary";#N/A,#N/A,FALSE,"hts"}</definedName>
    <definedName name="_______________OCT2" localSheetId="3" hidden="1">{#N/A,#N/A,FALSE,"BL&amp;GPA";#N/A,#N/A,FALSE,"Summary";#N/A,#N/A,FALSE,"hts"}</definedName>
    <definedName name="_______________OCT2" localSheetId="2" hidden="1">{#N/A,#N/A,FALSE,"BL&amp;GPA";#N/A,#N/A,FALSE,"Summary";#N/A,#N/A,FALSE,"hts"}</definedName>
    <definedName name="_______________OCT2" hidden="1">{#N/A,#N/A,FALSE,"BL&amp;GPA";#N/A,#N/A,FALSE,"Summary";#N/A,#N/A,FALSE,"hts"}</definedName>
    <definedName name="_______________ok1" localSheetId="1" hidden="1">{#N/A,#N/A,FALSE,"balance";#N/A,#N/A,FALSE,"PYG"}</definedName>
    <definedName name="_______________ok1" localSheetId="4" hidden="1">{#N/A,#N/A,FALSE,"balance";#N/A,#N/A,FALSE,"PYG"}</definedName>
    <definedName name="_______________ok1" localSheetId="0" hidden="1">{#N/A,#N/A,FALSE,"balance";#N/A,#N/A,FALSE,"PYG"}</definedName>
    <definedName name="_______________ok1" localSheetId="3" hidden="1">{#N/A,#N/A,FALSE,"balance";#N/A,#N/A,FALSE,"PYG"}</definedName>
    <definedName name="_______________ok1" localSheetId="2" hidden="1">{#N/A,#N/A,FALSE,"balance";#N/A,#N/A,FALSE,"PYG"}</definedName>
    <definedName name="_______________ok1" hidden="1">{#N/A,#N/A,FALSE,"balance";#N/A,#N/A,FALSE,"PYG"}</definedName>
    <definedName name="_______________Ok2" localSheetId="1" hidden="1">{#N/A,#N/A,FALSE,"balance";#N/A,#N/A,FALSE,"PYG"}</definedName>
    <definedName name="_______________Ok2" localSheetId="4" hidden="1">{#N/A,#N/A,FALSE,"balance";#N/A,#N/A,FALSE,"PYG"}</definedName>
    <definedName name="_______________Ok2" localSheetId="0" hidden="1">{#N/A,#N/A,FALSE,"balance";#N/A,#N/A,FALSE,"PYG"}</definedName>
    <definedName name="_______________Ok2" localSheetId="3" hidden="1">{#N/A,#N/A,FALSE,"balance";#N/A,#N/A,FALSE,"PYG"}</definedName>
    <definedName name="_______________Ok2" localSheetId="2" hidden="1">{#N/A,#N/A,FALSE,"balance";#N/A,#N/A,FALSE,"PYG"}</definedName>
    <definedName name="_______________Ok2" hidden="1">{#N/A,#N/A,FALSE,"balance";#N/A,#N/A,FALSE,"PYG"}</definedName>
    <definedName name="_______________PyG2" localSheetId="1" hidden="1">{#N/A,#N/A,FALSE,"balance";#N/A,#N/A,FALSE,"PYG"}</definedName>
    <definedName name="_______________PyG2" localSheetId="4" hidden="1">{#N/A,#N/A,FALSE,"balance";#N/A,#N/A,FALSE,"PYG"}</definedName>
    <definedName name="_______________PyG2" localSheetId="0" hidden="1">{#N/A,#N/A,FALSE,"balance";#N/A,#N/A,FALSE,"PYG"}</definedName>
    <definedName name="_______________PyG2" localSheetId="3" hidden="1">{#N/A,#N/A,FALSE,"balance";#N/A,#N/A,FALSE,"PYG"}</definedName>
    <definedName name="_______________PyG2" localSheetId="2" hidden="1">{#N/A,#N/A,FALSE,"balance";#N/A,#N/A,FALSE,"PYG"}</definedName>
    <definedName name="_______________PyG2" hidden="1">{#N/A,#N/A,FALSE,"balance";#N/A,#N/A,FALSE,"PYG"}</definedName>
    <definedName name="_______________PYG3" localSheetId="1" hidden="1">{#N/A,#N/A,FALSE,"balance";#N/A,#N/A,FALSE,"PYG"}</definedName>
    <definedName name="_______________PYG3" localSheetId="4" hidden="1">{#N/A,#N/A,FALSE,"balance";#N/A,#N/A,FALSE,"PYG"}</definedName>
    <definedName name="_______________PYG3" localSheetId="0" hidden="1">{#N/A,#N/A,FALSE,"balance";#N/A,#N/A,FALSE,"PYG"}</definedName>
    <definedName name="_______________PYG3" localSheetId="3" hidden="1">{#N/A,#N/A,FALSE,"balance";#N/A,#N/A,FALSE,"PYG"}</definedName>
    <definedName name="_______________PYG3" localSheetId="2" hidden="1">{#N/A,#N/A,FALSE,"balance";#N/A,#N/A,FALSE,"PYG"}</definedName>
    <definedName name="_______________PYG3" hidden="1">{#N/A,#N/A,FALSE,"balance";#N/A,#N/A,FALSE,"PYG"}</definedName>
    <definedName name="_______________PyG33" localSheetId="1" hidden="1">{#N/A,#N/A,FALSE,"balance";#N/A,#N/A,FALSE,"PYG"}</definedName>
    <definedName name="_______________PyG33" localSheetId="4" hidden="1">{#N/A,#N/A,FALSE,"balance";#N/A,#N/A,FALSE,"PYG"}</definedName>
    <definedName name="_______________PyG33" localSheetId="0" hidden="1">{#N/A,#N/A,FALSE,"balance";#N/A,#N/A,FALSE,"PYG"}</definedName>
    <definedName name="_______________PyG33" localSheetId="3" hidden="1">{#N/A,#N/A,FALSE,"balance";#N/A,#N/A,FALSE,"PYG"}</definedName>
    <definedName name="_______________PyG33" localSheetId="2" hidden="1">{#N/A,#N/A,FALSE,"balance";#N/A,#N/A,FALSE,"PYG"}</definedName>
    <definedName name="_______________PyG33" hidden="1">{#N/A,#N/A,FALSE,"balance";#N/A,#N/A,FALSE,"PYG"}</definedName>
    <definedName name="_______________R" hidden="1">{#N/A,#N/A,FALSE,"GRAFICO";#N/A,#N/A,FALSE,"CAJA (2)";#N/A,#N/A,FALSE,"TERCEROS-PROMEDIO";#N/A,#N/A,FALSE,"CAJA";#N/A,#N/A,FALSE,"INGRESOS1995-2003";#N/A,#N/A,FALSE,"GASTOS1995-2003"}</definedName>
    <definedName name="______________GGF2" localSheetId="1" hidden="1">{#N/A,#N/A,FALSE,"balance";#N/A,#N/A,FALSE,"PYG"}</definedName>
    <definedName name="______________GGF2" localSheetId="4" hidden="1">{#N/A,#N/A,FALSE,"balance";#N/A,#N/A,FALSE,"PYG"}</definedName>
    <definedName name="______________GGF2" localSheetId="0" hidden="1">{#N/A,#N/A,FALSE,"balance";#N/A,#N/A,FALSE,"PYG"}</definedName>
    <definedName name="______________GGF2" localSheetId="3" hidden="1">{#N/A,#N/A,FALSE,"balance";#N/A,#N/A,FALSE,"PYG"}</definedName>
    <definedName name="______________GGF2" localSheetId="2" hidden="1">{#N/A,#N/A,FALSE,"balance";#N/A,#N/A,FALSE,"PYG"}</definedName>
    <definedName name="______________GGF2" hidden="1">{#N/A,#N/A,FALSE,"balance";#N/A,#N/A,FALSE,"PYG"}</definedName>
    <definedName name="______________new1" hidden="1">{#N/A,#N/A,FALSE,"SMT1";#N/A,#N/A,FALSE,"SMT2";#N/A,#N/A,FALSE,"Summary";#N/A,#N/A,FALSE,"Graphs";#N/A,#N/A,FALSE,"4 Panel"}</definedName>
    <definedName name="______________New15" hidden="1">{"EVA",#N/A,FALSE,"SMT2";#N/A,#N/A,FALSE,"Summary";#N/A,#N/A,FALSE,"Graphs";#N/A,#N/A,FALSE,"4 Panel"}</definedName>
    <definedName name="______________New16" hidden="1">{#N/A,#N/A,FALSE,"SMT1";#N/A,#N/A,FALSE,"SMT2";#N/A,#N/A,FALSE,"Summary";#N/A,#N/A,FALSE,"Graphs";#N/A,#N/A,FALSE,"4 Panel"}</definedName>
    <definedName name="______________New17" hidden="1">{#N/A,#N/A,FALSE,"SMT1";#N/A,#N/A,FALSE,"SMT2";#N/A,#N/A,FALSE,"Summary";#N/A,#N/A,FALSE,"Graphs";#N/A,#N/A,FALSE,"4 Panel"}</definedName>
    <definedName name="______________New18" hidden="1">{#N/A,#N/A,FALSE,"Full";#N/A,#N/A,FALSE,"Half";#N/A,#N/A,FALSE,"Op Expenses";#N/A,#N/A,FALSE,"Cap Charge";#N/A,#N/A,FALSE,"Cost C";#N/A,#N/A,FALSE,"PP&amp;E";#N/A,#N/A,FALSE,"R&amp;D"}</definedName>
    <definedName name="______________New19" hidden="1">{"EVA",#N/A,FALSE,"SMT2";#N/A,#N/A,FALSE,"Summary";#N/A,#N/A,FALSE,"Graphs";#N/A,#N/A,FALSE,"4 Panel"}</definedName>
    <definedName name="______________New20" hidden="1">{#N/A,#N/A,FALSE,"SMT1";#N/A,#N/A,FALSE,"SMT2";#N/A,#N/A,FALSE,"Summary";#N/A,#N/A,FALSE,"Graphs";#N/A,#N/A,FALSE,"4 Panel"}</definedName>
    <definedName name="______________New21" hidden="1">{#N/A,#N/A,FALSE,"Full";#N/A,#N/A,FALSE,"Half";#N/A,#N/A,FALSE,"Op Expenses";#N/A,#N/A,FALSE,"Cap Charge";#N/A,#N/A,FALSE,"Cost C";#N/A,#N/A,FALSE,"PP&amp;E";#N/A,#N/A,FALSE,"R&amp;D"}</definedName>
    <definedName name="______________NEW3" hidden="1">{#N/A,#N/A,FALSE,"SMT1";#N/A,#N/A,FALSE,"SMT2";#N/A,#N/A,FALSE,"Summary";#N/A,#N/A,FALSE,"Graphs";#N/A,#N/A,FALSE,"4 Panel"}</definedName>
    <definedName name="______________nEW30" hidden="1">{"EVA",#N/A,FALSE,"SMT2";#N/A,#N/A,FALSE,"Summary";#N/A,#N/A,FALSE,"Graphs";#N/A,#N/A,FALSE,"4 Panel"}</definedName>
    <definedName name="______________New31" hidden="1">{#N/A,#N/A,FALSE,"SMT1";#N/A,#N/A,FALSE,"SMT2";#N/A,#N/A,FALSE,"Summary";#N/A,#N/A,FALSE,"Graphs";#N/A,#N/A,FALSE,"4 Panel"}</definedName>
    <definedName name="______________New32" hidden="1">{#N/A,#N/A,FALSE,"SMT1";#N/A,#N/A,FALSE,"SMT2";#N/A,#N/A,FALSE,"Summary";#N/A,#N/A,FALSE,"Graphs";#N/A,#N/A,FALSE,"4 Panel"}</definedName>
    <definedName name="______________New33" hidden="1">{#N/A,#N/A,FALSE,"Full";#N/A,#N/A,FALSE,"Half";#N/A,#N/A,FALSE,"Op Expenses";#N/A,#N/A,FALSE,"Cap Charge";#N/A,#N/A,FALSE,"Cost C";#N/A,#N/A,FALSE,"PP&amp;E";#N/A,#N/A,FALSE,"R&amp;D"}</definedName>
    <definedName name="______________New34" hidden="1">{"EVA",#N/A,FALSE,"SMT2";#N/A,#N/A,FALSE,"Summary";#N/A,#N/A,FALSE,"Graphs";#N/A,#N/A,FALSE,"4 Panel"}</definedName>
    <definedName name="______________New35" hidden="1">{#N/A,#N/A,FALSE,"SMT1";#N/A,#N/A,FALSE,"SMT2";#N/A,#N/A,FALSE,"Summary";#N/A,#N/A,FALSE,"Graphs";#N/A,#N/A,FALSE,"4 Panel"}</definedName>
    <definedName name="______________New36" hidden="1">{#N/A,#N/A,FALSE,"Full";#N/A,#N/A,FALSE,"Half";#N/A,#N/A,FALSE,"Op Expenses";#N/A,#N/A,FALSE,"Cap Charge";#N/A,#N/A,FALSE,"Cost C";#N/A,#N/A,FALSE,"PP&amp;E";#N/A,#N/A,FALSE,"R&amp;D"}</definedName>
    <definedName name="______________NEW4" hidden="1">{#N/A,#N/A,FALSE,"Full";#N/A,#N/A,FALSE,"Half";#N/A,#N/A,FALSE,"Op Expenses";#N/A,#N/A,FALSE,"Cap Charge";#N/A,#N/A,FALSE,"Cost C";#N/A,#N/A,FALSE,"PP&amp;E";#N/A,#N/A,FALSE,"R&amp;D"}</definedName>
    <definedName name="______________OCT2" localSheetId="1" hidden="1">{#N/A,#N/A,FALSE,"BL&amp;GPA";#N/A,#N/A,FALSE,"Summary";#N/A,#N/A,FALSE,"hts"}</definedName>
    <definedName name="______________OCT2" localSheetId="4" hidden="1">{#N/A,#N/A,FALSE,"BL&amp;GPA";#N/A,#N/A,FALSE,"Summary";#N/A,#N/A,FALSE,"hts"}</definedName>
    <definedName name="______________OCT2" localSheetId="0" hidden="1">{#N/A,#N/A,FALSE,"BL&amp;GPA";#N/A,#N/A,FALSE,"Summary";#N/A,#N/A,FALSE,"hts"}</definedName>
    <definedName name="______________OCT2" localSheetId="3" hidden="1">{#N/A,#N/A,FALSE,"BL&amp;GPA";#N/A,#N/A,FALSE,"Summary";#N/A,#N/A,FALSE,"hts"}</definedName>
    <definedName name="______________OCT2" localSheetId="2" hidden="1">{#N/A,#N/A,FALSE,"BL&amp;GPA";#N/A,#N/A,FALSE,"Summary";#N/A,#N/A,FALSE,"hts"}</definedName>
    <definedName name="______________OCT2" hidden="1">{#N/A,#N/A,FALSE,"BL&amp;GPA";#N/A,#N/A,FALSE,"Summary";#N/A,#N/A,FALSE,"hts"}</definedName>
    <definedName name="______________ok1" localSheetId="1" hidden="1">{#N/A,#N/A,FALSE,"balance";#N/A,#N/A,FALSE,"PYG"}</definedName>
    <definedName name="______________ok1" localSheetId="4" hidden="1">{#N/A,#N/A,FALSE,"balance";#N/A,#N/A,FALSE,"PYG"}</definedName>
    <definedName name="______________ok1" localSheetId="0" hidden="1">{#N/A,#N/A,FALSE,"balance";#N/A,#N/A,FALSE,"PYG"}</definedName>
    <definedName name="______________ok1" localSheetId="3" hidden="1">{#N/A,#N/A,FALSE,"balance";#N/A,#N/A,FALSE,"PYG"}</definedName>
    <definedName name="______________ok1" localSheetId="2" hidden="1">{#N/A,#N/A,FALSE,"balance";#N/A,#N/A,FALSE,"PYG"}</definedName>
    <definedName name="______________ok1" hidden="1">{#N/A,#N/A,FALSE,"balance";#N/A,#N/A,FALSE,"PYG"}</definedName>
    <definedName name="______________Ok2" localSheetId="1" hidden="1">{#N/A,#N/A,FALSE,"balance";#N/A,#N/A,FALSE,"PYG"}</definedName>
    <definedName name="______________Ok2" localSheetId="4" hidden="1">{#N/A,#N/A,FALSE,"balance";#N/A,#N/A,FALSE,"PYG"}</definedName>
    <definedName name="______________Ok2" localSheetId="0" hidden="1">{#N/A,#N/A,FALSE,"balance";#N/A,#N/A,FALSE,"PYG"}</definedName>
    <definedName name="______________Ok2" localSheetId="3" hidden="1">{#N/A,#N/A,FALSE,"balance";#N/A,#N/A,FALSE,"PYG"}</definedName>
    <definedName name="______________Ok2" localSheetId="2" hidden="1">{#N/A,#N/A,FALSE,"balance";#N/A,#N/A,FALSE,"PYG"}</definedName>
    <definedName name="______________Ok2" hidden="1">{#N/A,#N/A,FALSE,"balance";#N/A,#N/A,FALSE,"PYG"}</definedName>
    <definedName name="______________PyG2" localSheetId="1" hidden="1">{#N/A,#N/A,FALSE,"balance";#N/A,#N/A,FALSE,"PYG"}</definedName>
    <definedName name="______________PyG2" localSheetId="4" hidden="1">{#N/A,#N/A,FALSE,"balance";#N/A,#N/A,FALSE,"PYG"}</definedName>
    <definedName name="______________PyG2" localSheetId="0" hidden="1">{#N/A,#N/A,FALSE,"balance";#N/A,#N/A,FALSE,"PYG"}</definedName>
    <definedName name="______________PyG2" localSheetId="3" hidden="1">{#N/A,#N/A,FALSE,"balance";#N/A,#N/A,FALSE,"PYG"}</definedName>
    <definedName name="______________PyG2" localSheetId="2" hidden="1">{#N/A,#N/A,FALSE,"balance";#N/A,#N/A,FALSE,"PYG"}</definedName>
    <definedName name="______________PyG2" hidden="1">{#N/A,#N/A,FALSE,"balance";#N/A,#N/A,FALSE,"PYG"}</definedName>
    <definedName name="______________PYG3" localSheetId="1" hidden="1">{#N/A,#N/A,FALSE,"balance";#N/A,#N/A,FALSE,"PYG"}</definedName>
    <definedName name="______________PYG3" localSheetId="4" hidden="1">{#N/A,#N/A,FALSE,"balance";#N/A,#N/A,FALSE,"PYG"}</definedName>
    <definedName name="______________PYG3" localSheetId="0" hidden="1">{#N/A,#N/A,FALSE,"balance";#N/A,#N/A,FALSE,"PYG"}</definedName>
    <definedName name="______________PYG3" localSheetId="3" hidden="1">{#N/A,#N/A,FALSE,"balance";#N/A,#N/A,FALSE,"PYG"}</definedName>
    <definedName name="______________PYG3" localSheetId="2" hidden="1">{#N/A,#N/A,FALSE,"balance";#N/A,#N/A,FALSE,"PYG"}</definedName>
    <definedName name="______________PYG3" hidden="1">{#N/A,#N/A,FALSE,"balance";#N/A,#N/A,FALSE,"PYG"}</definedName>
    <definedName name="______________PyG33" localSheetId="1" hidden="1">{#N/A,#N/A,FALSE,"balance";#N/A,#N/A,FALSE,"PYG"}</definedName>
    <definedName name="______________PyG33" localSheetId="4" hidden="1">{#N/A,#N/A,FALSE,"balance";#N/A,#N/A,FALSE,"PYG"}</definedName>
    <definedName name="______________PyG33" localSheetId="0" hidden="1">{#N/A,#N/A,FALSE,"balance";#N/A,#N/A,FALSE,"PYG"}</definedName>
    <definedName name="______________PyG33" localSheetId="3" hidden="1">{#N/A,#N/A,FALSE,"balance";#N/A,#N/A,FALSE,"PYG"}</definedName>
    <definedName name="______________PyG33" localSheetId="2" hidden="1">{#N/A,#N/A,FALSE,"balance";#N/A,#N/A,FALSE,"PYG"}</definedName>
    <definedName name="______________PyG33" hidden="1">{#N/A,#N/A,FALSE,"balance";#N/A,#N/A,FALSE,"PYG"}</definedName>
    <definedName name="_____________GGF2" localSheetId="4" hidden="1">{#N/A,#N/A,FALSE,"balance";#N/A,#N/A,FALSE,"PYG"}</definedName>
    <definedName name="_____________GGF2" localSheetId="3" hidden="1">{#N/A,#N/A,FALSE,"balance";#N/A,#N/A,FALSE,"PYG"}</definedName>
    <definedName name="_____________GGF2" localSheetId="2" hidden="1">{#N/A,#N/A,FALSE,"balance";#N/A,#N/A,FALSE,"PYG"}</definedName>
    <definedName name="_____________GGF2" hidden="1">{#N/A,#N/A,FALSE,"balance";#N/A,#N/A,FALSE,"PYG"}</definedName>
    <definedName name="_____________new1" hidden="1">{#N/A,#N/A,FALSE,"SMT1";#N/A,#N/A,FALSE,"SMT2";#N/A,#N/A,FALSE,"Summary";#N/A,#N/A,FALSE,"Graphs";#N/A,#N/A,FALSE,"4 Panel"}</definedName>
    <definedName name="_____________New15" hidden="1">{"EVA",#N/A,FALSE,"SMT2";#N/A,#N/A,FALSE,"Summary";#N/A,#N/A,FALSE,"Graphs";#N/A,#N/A,FALSE,"4 Panel"}</definedName>
    <definedName name="_____________New16" hidden="1">{#N/A,#N/A,FALSE,"SMT1";#N/A,#N/A,FALSE,"SMT2";#N/A,#N/A,FALSE,"Summary";#N/A,#N/A,FALSE,"Graphs";#N/A,#N/A,FALSE,"4 Panel"}</definedName>
    <definedName name="_____________New17" hidden="1">{#N/A,#N/A,FALSE,"SMT1";#N/A,#N/A,FALSE,"SMT2";#N/A,#N/A,FALSE,"Summary";#N/A,#N/A,FALSE,"Graphs";#N/A,#N/A,FALSE,"4 Panel"}</definedName>
    <definedName name="_____________New18" hidden="1">{#N/A,#N/A,FALSE,"Full";#N/A,#N/A,FALSE,"Half";#N/A,#N/A,FALSE,"Op Expenses";#N/A,#N/A,FALSE,"Cap Charge";#N/A,#N/A,FALSE,"Cost C";#N/A,#N/A,FALSE,"PP&amp;E";#N/A,#N/A,FALSE,"R&amp;D"}</definedName>
    <definedName name="_____________New19" hidden="1">{"EVA",#N/A,FALSE,"SMT2";#N/A,#N/A,FALSE,"Summary";#N/A,#N/A,FALSE,"Graphs";#N/A,#N/A,FALSE,"4 Panel"}</definedName>
    <definedName name="_____________New20" hidden="1">{#N/A,#N/A,FALSE,"SMT1";#N/A,#N/A,FALSE,"SMT2";#N/A,#N/A,FALSE,"Summary";#N/A,#N/A,FALSE,"Graphs";#N/A,#N/A,FALSE,"4 Panel"}</definedName>
    <definedName name="_____________New21" hidden="1">{#N/A,#N/A,FALSE,"Full";#N/A,#N/A,FALSE,"Half";#N/A,#N/A,FALSE,"Op Expenses";#N/A,#N/A,FALSE,"Cap Charge";#N/A,#N/A,FALSE,"Cost C";#N/A,#N/A,FALSE,"PP&amp;E";#N/A,#N/A,FALSE,"R&amp;D"}</definedName>
    <definedName name="_____________NEW3" hidden="1">{#N/A,#N/A,FALSE,"SMT1";#N/A,#N/A,FALSE,"SMT2";#N/A,#N/A,FALSE,"Summary";#N/A,#N/A,FALSE,"Graphs";#N/A,#N/A,FALSE,"4 Panel"}</definedName>
    <definedName name="_____________nEW30" hidden="1">{"EVA",#N/A,FALSE,"SMT2";#N/A,#N/A,FALSE,"Summary";#N/A,#N/A,FALSE,"Graphs";#N/A,#N/A,FALSE,"4 Panel"}</definedName>
    <definedName name="_____________New31" hidden="1">{#N/A,#N/A,FALSE,"SMT1";#N/A,#N/A,FALSE,"SMT2";#N/A,#N/A,FALSE,"Summary";#N/A,#N/A,FALSE,"Graphs";#N/A,#N/A,FALSE,"4 Panel"}</definedName>
    <definedName name="_____________New32" hidden="1">{#N/A,#N/A,FALSE,"SMT1";#N/A,#N/A,FALSE,"SMT2";#N/A,#N/A,FALSE,"Summary";#N/A,#N/A,FALSE,"Graphs";#N/A,#N/A,FALSE,"4 Panel"}</definedName>
    <definedName name="_____________New33" hidden="1">{#N/A,#N/A,FALSE,"Full";#N/A,#N/A,FALSE,"Half";#N/A,#N/A,FALSE,"Op Expenses";#N/A,#N/A,FALSE,"Cap Charge";#N/A,#N/A,FALSE,"Cost C";#N/A,#N/A,FALSE,"PP&amp;E";#N/A,#N/A,FALSE,"R&amp;D"}</definedName>
    <definedName name="_____________New34" hidden="1">{"EVA",#N/A,FALSE,"SMT2";#N/A,#N/A,FALSE,"Summary";#N/A,#N/A,FALSE,"Graphs";#N/A,#N/A,FALSE,"4 Panel"}</definedName>
    <definedName name="_____________New35" hidden="1">{#N/A,#N/A,FALSE,"SMT1";#N/A,#N/A,FALSE,"SMT2";#N/A,#N/A,FALSE,"Summary";#N/A,#N/A,FALSE,"Graphs";#N/A,#N/A,FALSE,"4 Panel"}</definedName>
    <definedName name="_____________New36" hidden="1">{#N/A,#N/A,FALSE,"Full";#N/A,#N/A,FALSE,"Half";#N/A,#N/A,FALSE,"Op Expenses";#N/A,#N/A,FALSE,"Cap Charge";#N/A,#N/A,FALSE,"Cost C";#N/A,#N/A,FALSE,"PP&amp;E";#N/A,#N/A,FALSE,"R&amp;D"}</definedName>
    <definedName name="_____________NEW4" hidden="1">{#N/A,#N/A,FALSE,"Full";#N/A,#N/A,FALSE,"Half";#N/A,#N/A,FALSE,"Op Expenses";#N/A,#N/A,FALSE,"Cap Charge";#N/A,#N/A,FALSE,"Cost C";#N/A,#N/A,FALSE,"PP&amp;E";#N/A,#N/A,FALSE,"R&amp;D"}</definedName>
    <definedName name="_____________OCT2" localSheetId="4" hidden="1">{#N/A,#N/A,FALSE,"BL&amp;GPA";#N/A,#N/A,FALSE,"Summary";#N/A,#N/A,FALSE,"hts"}</definedName>
    <definedName name="_____________OCT2" localSheetId="3" hidden="1">{#N/A,#N/A,FALSE,"BL&amp;GPA";#N/A,#N/A,FALSE,"Summary";#N/A,#N/A,FALSE,"hts"}</definedName>
    <definedName name="_____________OCT2" localSheetId="2" hidden="1">{#N/A,#N/A,FALSE,"BL&amp;GPA";#N/A,#N/A,FALSE,"Summary";#N/A,#N/A,FALSE,"hts"}</definedName>
    <definedName name="_____________OCT2" hidden="1">{#N/A,#N/A,FALSE,"BL&amp;GPA";#N/A,#N/A,FALSE,"Summary";#N/A,#N/A,FALSE,"hts"}</definedName>
    <definedName name="_____________ok1" localSheetId="4" hidden="1">{#N/A,#N/A,FALSE,"balance";#N/A,#N/A,FALSE,"PYG"}</definedName>
    <definedName name="_____________ok1" localSheetId="3" hidden="1">{#N/A,#N/A,FALSE,"balance";#N/A,#N/A,FALSE,"PYG"}</definedName>
    <definedName name="_____________ok1" localSheetId="2" hidden="1">{#N/A,#N/A,FALSE,"balance";#N/A,#N/A,FALSE,"PYG"}</definedName>
    <definedName name="_____________ok1" hidden="1">{#N/A,#N/A,FALSE,"balance";#N/A,#N/A,FALSE,"PYG"}</definedName>
    <definedName name="_____________Ok2" localSheetId="4" hidden="1">{#N/A,#N/A,FALSE,"balance";#N/A,#N/A,FALSE,"PYG"}</definedName>
    <definedName name="_____________Ok2" localSheetId="3" hidden="1">{#N/A,#N/A,FALSE,"balance";#N/A,#N/A,FALSE,"PYG"}</definedName>
    <definedName name="_____________Ok2" localSheetId="2" hidden="1">{#N/A,#N/A,FALSE,"balance";#N/A,#N/A,FALSE,"PYG"}</definedName>
    <definedName name="_____________Ok2" hidden="1">{#N/A,#N/A,FALSE,"balance";#N/A,#N/A,FALSE,"PYG"}</definedName>
    <definedName name="_____________PyG2" localSheetId="4" hidden="1">{#N/A,#N/A,FALSE,"balance";#N/A,#N/A,FALSE,"PYG"}</definedName>
    <definedName name="_____________PyG2" localSheetId="3" hidden="1">{#N/A,#N/A,FALSE,"balance";#N/A,#N/A,FALSE,"PYG"}</definedName>
    <definedName name="_____________PyG2" localSheetId="2" hidden="1">{#N/A,#N/A,FALSE,"balance";#N/A,#N/A,FALSE,"PYG"}</definedName>
    <definedName name="_____________PyG2" hidden="1">{#N/A,#N/A,FALSE,"balance";#N/A,#N/A,FALSE,"PYG"}</definedName>
    <definedName name="_____________PYG3" localSheetId="4" hidden="1">{#N/A,#N/A,FALSE,"balance";#N/A,#N/A,FALSE,"PYG"}</definedName>
    <definedName name="_____________PYG3" localSheetId="3" hidden="1">{#N/A,#N/A,FALSE,"balance";#N/A,#N/A,FALSE,"PYG"}</definedName>
    <definedName name="_____________PYG3" localSheetId="2" hidden="1">{#N/A,#N/A,FALSE,"balance";#N/A,#N/A,FALSE,"PYG"}</definedName>
    <definedName name="_____________PYG3" hidden="1">{#N/A,#N/A,FALSE,"balance";#N/A,#N/A,FALSE,"PYG"}</definedName>
    <definedName name="_____________PyG33" localSheetId="4" hidden="1">{#N/A,#N/A,FALSE,"balance";#N/A,#N/A,FALSE,"PYG"}</definedName>
    <definedName name="_____________PyG33" localSheetId="3" hidden="1">{#N/A,#N/A,FALSE,"balance";#N/A,#N/A,FALSE,"PYG"}</definedName>
    <definedName name="_____________PyG33" localSheetId="2" hidden="1">{#N/A,#N/A,FALSE,"balance";#N/A,#N/A,FALSE,"PYG"}</definedName>
    <definedName name="_____________PyG33" hidden="1">{#N/A,#N/A,FALSE,"balance";#N/A,#N/A,FALSE,"PYG"}</definedName>
    <definedName name="_____________R" hidden="1">{#N/A,#N/A,FALSE,"GRAFICO";#N/A,#N/A,FALSE,"CAJA (2)";#N/A,#N/A,FALSE,"TERCEROS-PROMEDIO";#N/A,#N/A,FALSE,"CAJA";#N/A,#N/A,FALSE,"INGRESOS1995-2003";#N/A,#N/A,FALSE,"GASTOS1995-2003"}</definedName>
    <definedName name="____________GGF2" localSheetId="1" hidden="1">{#N/A,#N/A,FALSE,"balance";#N/A,#N/A,FALSE,"PYG"}</definedName>
    <definedName name="____________GGF2" localSheetId="4" hidden="1">{#N/A,#N/A,FALSE,"balance";#N/A,#N/A,FALSE,"PYG"}</definedName>
    <definedName name="____________GGF2" localSheetId="0" hidden="1">{#N/A,#N/A,FALSE,"balance";#N/A,#N/A,FALSE,"PYG"}</definedName>
    <definedName name="____________GGF2" localSheetId="3" hidden="1">{#N/A,#N/A,FALSE,"balance";#N/A,#N/A,FALSE,"PYG"}</definedName>
    <definedName name="____________GGF2" localSheetId="2" hidden="1">{#N/A,#N/A,FALSE,"balance";#N/A,#N/A,FALSE,"PYG"}</definedName>
    <definedName name="____________GGF2" hidden="1">{#N/A,#N/A,FALSE,"balance";#N/A,#N/A,FALSE,"PYG"}</definedName>
    <definedName name="____________new1" hidden="1">{#N/A,#N/A,FALSE,"SMT1";#N/A,#N/A,FALSE,"SMT2";#N/A,#N/A,FALSE,"Summary";#N/A,#N/A,FALSE,"Graphs";#N/A,#N/A,FALSE,"4 Panel"}</definedName>
    <definedName name="____________New15" hidden="1">{"EVA",#N/A,FALSE,"SMT2";#N/A,#N/A,FALSE,"Summary";#N/A,#N/A,FALSE,"Graphs";#N/A,#N/A,FALSE,"4 Panel"}</definedName>
    <definedName name="____________New16" hidden="1">{#N/A,#N/A,FALSE,"SMT1";#N/A,#N/A,FALSE,"SMT2";#N/A,#N/A,FALSE,"Summary";#N/A,#N/A,FALSE,"Graphs";#N/A,#N/A,FALSE,"4 Panel"}</definedName>
    <definedName name="____________New17" hidden="1">{#N/A,#N/A,FALSE,"SMT1";#N/A,#N/A,FALSE,"SMT2";#N/A,#N/A,FALSE,"Summary";#N/A,#N/A,FALSE,"Graphs";#N/A,#N/A,FALSE,"4 Panel"}</definedName>
    <definedName name="____________New18" hidden="1">{#N/A,#N/A,FALSE,"Full";#N/A,#N/A,FALSE,"Half";#N/A,#N/A,FALSE,"Op Expenses";#N/A,#N/A,FALSE,"Cap Charge";#N/A,#N/A,FALSE,"Cost C";#N/A,#N/A,FALSE,"PP&amp;E";#N/A,#N/A,FALSE,"R&amp;D"}</definedName>
    <definedName name="____________New19" hidden="1">{"EVA",#N/A,FALSE,"SMT2";#N/A,#N/A,FALSE,"Summary";#N/A,#N/A,FALSE,"Graphs";#N/A,#N/A,FALSE,"4 Panel"}</definedName>
    <definedName name="____________New20" hidden="1">{#N/A,#N/A,FALSE,"SMT1";#N/A,#N/A,FALSE,"SMT2";#N/A,#N/A,FALSE,"Summary";#N/A,#N/A,FALSE,"Graphs";#N/A,#N/A,FALSE,"4 Panel"}</definedName>
    <definedName name="____________New21" hidden="1">{#N/A,#N/A,FALSE,"Full";#N/A,#N/A,FALSE,"Half";#N/A,#N/A,FALSE,"Op Expenses";#N/A,#N/A,FALSE,"Cap Charge";#N/A,#N/A,FALSE,"Cost C";#N/A,#N/A,FALSE,"PP&amp;E";#N/A,#N/A,FALSE,"R&amp;D"}</definedName>
    <definedName name="____________NEW3" hidden="1">{#N/A,#N/A,FALSE,"SMT1";#N/A,#N/A,FALSE,"SMT2";#N/A,#N/A,FALSE,"Summary";#N/A,#N/A,FALSE,"Graphs";#N/A,#N/A,FALSE,"4 Panel"}</definedName>
    <definedName name="____________nEW30" hidden="1">{"EVA",#N/A,FALSE,"SMT2";#N/A,#N/A,FALSE,"Summary";#N/A,#N/A,FALSE,"Graphs";#N/A,#N/A,FALSE,"4 Panel"}</definedName>
    <definedName name="____________New31" hidden="1">{#N/A,#N/A,FALSE,"SMT1";#N/A,#N/A,FALSE,"SMT2";#N/A,#N/A,FALSE,"Summary";#N/A,#N/A,FALSE,"Graphs";#N/A,#N/A,FALSE,"4 Panel"}</definedName>
    <definedName name="____________New32" hidden="1">{#N/A,#N/A,FALSE,"SMT1";#N/A,#N/A,FALSE,"SMT2";#N/A,#N/A,FALSE,"Summary";#N/A,#N/A,FALSE,"Graphs";#N/A,#N/A,FALSE,"4 Panel"}</definedName>
    <definedName name="____________New33" hidden="1">{#N/A,#N/A,FALSE,"Full";#N/A,#N/A,FALSE,"Half";#N/A,#N/A,FALSE,"Op Expenses";#N/A,#N/A,FALSE,"Cap Charge";#N/A,#N/A,FALSE,"Cost C";#N/A,#N/A,FALSE,"PP&amp;E";#N/A,#N/A,FALSE,"R&amp;D"}</definedName>
    <definedName name="____________New34" hidden="1">{"EVA",#N/A,FALSE,"SMT2";#N/A,#N/A,FALSE,"Summary";#N/A,#N/A,FALSE,"Graphs";#N/A,#N/A,FALSE,"4 Panel"}</definedName>
    <definedName name="____________New35" hidden="1">{#N/A,#N/A,FALSE,"SMT1";#N/A,#N/A,FALSE,"SMT2";#N/A,#N/A,FALSE,"Summary";#N/A,#N/A,FALSE,"Graphs";#N/A,#N/A,FALSE,"4 Panel"}</definedName>
    <definedName name="____________New36" hidden="1">{#N/A,#N/A,FALSE,"Full";#N/A,#N/A,FALSE,"Half";#N/A,#N/A,FALSE,"Op Expenses";#N/A,#N/A,FALSE,"Cap Charge";#N/A,#N/A,FALSE,"Cost C";#N/A,#N/A,FALSE,"PP&amp;E";#N/A,#N/A,FALSE,"R&amp;D"}</definedName>
    <definedName name="____________NEW4" hidden="1">{#N/A,#N/A,FALSE,"Full";#N/A,#N/A,FALSE,"Half";#N/A,#N/A,FALSE,"Op Expenses";#N/A,#N/A,FALSE,"Cap Charge";#N/A,#N/A,FALSE,"Cost C";#N/A,#N/A,FALSE,"PP&amp;E";#N/A,#N/A,FALSE,"R&amp;D"}</definedName>
    <definedName name="____________OCT2" localSheetId="1" hidden="1">{#N/A,#N/A,FALSE,"BL&amp;GPA";#N/A,#N/A,FALSE,"Summary";#N/A,#N/A,FALSE,"hts"}</definedName>
    <definedName name="____________OCT2" localSheetId="4" hidden="1">{#N/A,#N/A,FALSE,"BL&amp;GPA";#N/A,#N/A,FALSE,"Summary";#N/A,#N/A,FALSE,"hts"}</definedName>
    <definedName name="____________OCT2" localSheetId="0" hidden="1">{#N/A,#N/A,FALSE,"BL&amp;GPA";#N/A,#N/A,FALSE,"Summary";#N/A,#N/A,FALSE,"hts"}</definedName>
    <definedName name="____________OCT2" localSheetId="3" hidden="1">{#N/A,#N/A,FALSE,"BL&amp;GPA";#N/A,#N/A,FALSE,"Summary";#N/A,#N/A,FALSE,"hts"}</definedName>
    <definedName name="____________OCT2" localSheetId="2" hidden="1">{#N/A,#N/A,FALSE,"BL&amp;GPA";#N/A,#N/A,FALSE,"Summary";#N/A,#N/A,FALSE,"hts"}</definedName>
    <definedName name="____________OCT2" hidden="1">{#N/A,#N/A,FALSE,"BL&amp;GPA";#N/A,#N/A,FALSE,"Summary";#N/A,#N/A,FALSE,"hts"}</definedName>
    <definedName name="____________ok1" localSheetId="1" hidden="1">{#N/A,#N/A,FALSE,"balance";#N/A,#N/A,FALSE,"PYG"}</definedName>
    <definedName name="____________ok1" localSheetId="4" hidden="1">{#N/A,#N/A,FALSE,"balance";#N/A,#N/A,FALSE,"PYG"}</definedName>
    <definedName name="____________ok1" localSheetId="0" hidden="1">{#N/A,#N/A,FALSE,"balance";#N/A,#N/A,FALSE,"PYG"}</definedName>
    <definedName name="____________ok1" localSheetId="3" hidden="1">{#N/A,#N/A,FALSE,"balance";#N/A,#N/A,FALSE,"PYG"}</definedName>
    <definedName name="____________ok1" localSheetId="2" hidden="1">{#N/A,#N/A,FALSE,"balance";#N/A,#N/A,FALSE,"PYG"}</definedName>
    <definedName name="____________ok1" hidden="1">{#N/A,#N/A,FALSE,"balance";#N/A,#N/A,FALSE,"PYG"}</definedName>
    <definedName name="____________Ok2" localSheetId="1" hidden="1">{#N/A,#N/A,FALSE,"balance";#N/A,#N/A,FALSE,"PYG"}</definedName>
    <definedName name="____________Ok2" localSheetId="4" hidden="1">{#N/A,#N/A,FALSE,"balance";#N/A,#N/A,FALSE,"PYG"}</definedName>
    <definedName name="____________Ok2" localSheetId="0" hidden="1">{#N/A,#N/A,FALSE,"balance";#N/A,#N/A,FALSE,"PYG"}</definedName>
    <definedName name="____________Ok2" localSheetId="3" hidden="1">{#N/A,#N/A,FALSE,"balance";#N/A,#N/A,FALSE,"PYG"}</definedName>
    <definedName name="____________Ok2" localSheetId="2" hidden="1">{#N/A,#N/A,FALSE,"balance";#N/A,#N/A,FALSE,"PYG"}</definedName>
    <definedName name="____________Ok2" hidden="1">{#N/A,#N/A,FALSE,"balance";#N/A,#N/A,FALSE,"PYG"}</definedName>
    <definedName name="____________PyG2" localSheetId="1" hidden="1">{#N/A,#N/A,FALSE,"balance";#N/A,#N/A,FALSE,"PYG"}</definedName>
    <definedName name="____________PyG2" localSheetId="4" hidden="1">{#N/A,#N/A,FALSE,"balance";#N/A,#N/A,FALSE,"PYG"}</definedName>
    <definedName name="____________PyG2" localSheetId="0" hidden="1">{#N/A,#N/A,FALSE,"balance";#N/A,#N/A,FALSE,"PYG"}</definedName>
    <definedName name="____________PyG2" localSheetId="3" hidden="1">{#N/A,#N/A,FALSE,"balance";#N/A,#N/A,FALSE,"PYG"}</definedName>
    <definedName name="____________PyG2" localSheetId="2" hidden="1">{#N/A,#N/A,FALSE,"balance";#N/A,#N/A,FALSE,"PYG"}</definedName>
    <definedName name="____________PyG2" hidden="1">{#N/A,#N/A,FALSE,"balance";#N/A,#N/A,FALSE,"PYG"}</definedName>
    <definedName name="____________PYG3" localSheetId="1" hidden="1">{#N/A,#N/A,FALSE,"balance";#N/A,#N/A,FALSE,"PYG"}</definedName>
    <definedName name="____________PYG3" localSheetId="4" hidden="1">{#N/A,#N/A,FALSE,"balance";#N/A,#N/A,FALSE,"PYG"}</definedName>
    <definedName name="____________PYG3" localSheetId="0" hidden="1">{#N/A,#N/A,FALSE,"balance";#N/A,#N/A,FALSE,"PYG"}</definedName>
    <definedName name="____________PYG3" localSheetId="3" hidden="1">{#N/A,#N/A,FALSE,"balance";#N/A,#N/A,FALSE,"PYG"}</definedName>
    <definedName name="____________PYG3" localSheetId="2" hidden="1">{#N/A,#N/A,FALSE,"balance";#N/A,#N/A,FALSE,"PYG"}</definedName>
    <definedName name="____________PYG3" hidden="1">{#N/A,#N/A,FALSE,"balance";#N/A,#N/A,FALSE,"PYG"}</definedName>
    <definedName name="____________PyG33" localSheetId="1" hidden="1">{#N/A,#N/A,FALSE,"balance";#N/A,#N/A,FALSE,"PYG"}</definedName>
    <definedName name="____________PyG33" localSheetId="4" hidden="1">{#N/A,#N/A,FALSE,"balance";#N/A,#N/A,FALSE,"PYG"}</definedName>
    <definedName name="____________PyG33" localSheetId="0" hidden="1">{#N/A,#N/A,FALSE,"balance";#N/A,#N/A,FALSE,"PYG"}</definedName>
    <definedName name="____________PyG33" localSheetId="3" hidden="1">{#N/A,#N/A,FALSE,"balance";#N/A,#N/A,FALSE,"PYG"}</definedName>
    <definedName name="____________PyG33" localSheetId="2" hidden="1">{#N/A,#N/A,FALSE,"balance";#N/A,#N/A,FALSE,"PYG"}</definedName>
    <definedName name="____________PyG33" hidden="1">{#N/A,#N/A,FALSE,"balance";#N/A,#N/A,FALSE,"PYG"}</definedName>
    <definedName name="____________R" hidden="1">{#N/A,#N/A,FALSE,"GRAFICO";#N/A,#N/A,FALSE,"CAJA (2)";#N/A,#N/A,FALSE,"TERCEROS-PROMEDIO";#N/A,#N/A,FALSE,"CAJA";#N/A,#N/A,FALSE,"INGRESOS1995-2003";#N/A,#N/A,FALSE,"GASTOS1995-2003"}</definedName>
    <definedName name="___________GGF2" localSheetId="1" hidden="1">{#N/A,#N/A,FALSE,"balance";#N/A,#N/A,FALSE,"PYG"}</definedName>
    <definedName name="___________GGF2" localSheetId="4" hidden="1">{#N/A,#N/A,FALSE,"balance";#N/A,#N/A,FALSE,"PYG"}</definedName>
    <definedName name="___________GGF2" localSheetId="0" hidden="1">{#N/A,#N/A,FALSE,"balance";#N/A,#N/A,FALSE,"PYG"}</definedName>
    <definedName name="___________GGF2" localSheetId="3" hidden="1">{#N/A,#N/A,FALSE,"balance";#N/A,#N/A,FALSE,"PYG"}</definedName>
    <definedName name="___________GGF2" localSheetId="2" hidden="1">{#N/A,#N/A,FALSE,"balance";#N/A,#N/A,FALSE,"PYG"}</definedName>
    <definedName name="___________GGF2" hidden="1">{#N/A,#N/A,FALSE,"balance";#N/A,#N/A,FALSE,"PYG"}</definedName>
    <definedName name="___________new1" hidden="1">{#N/A,#N/A,FALSE,"SMT1";#N/A,#N/A,FALSE,"SMT2";#N/A,#N/A,FALSE,"Summary";#N/A,#N/A,FALSE,"Graphs";#N/A,#N/A,FALSE,"4 Panel"}</definedName>
    <definedName name="___________New15" hidden="1">{"EVA",#N/A,FALSE,"SMT2";#N/A,#N/A,FALSE,"Summary";#N/A,#N/A,FALSE,"Graphs";#N/A,#N/A,FALSE,"4 Panel"}</definedName>
    <definedName name="___________New16" hidden="1">{#N/A,#N/A,FALSE,"SMT1";#N/A,#N/A,FALSE,"SMT2";#N/A,#N/A,FALSE,"Summary";#N/A,#N/A,FALSE,"Graphs";#N/A,#N/A,FALSE,"4 Panel"}</definedName>
    <definedName name="___________New17" hidden="1">{#N/A,#N/A,FALSE,"SMT1";#N/A,#N/A,FALSE,"SMT2";#N/A,#N/A,FALSE,"Summary";#N/A,#N/A,FALSE,"Graphs";#N/A,#N/A,FALSE,"4 Panel"}</definedName>
    <definedName name="___________New18" hidden="1">{#N/A,#N/A,FALSE,"Full";#N/A,#N/A,FALSE,"Half";#N/A,#N/A,FALSE,"Op Expenses";#N/A,#N/A,FALSE,"Cap Charge";#N/A,#N/A,FALSE,"Cost C";#N/A,#N/A,FALSE,"PP&amp;E";#N/A,#N/A,FALSE,"R&amp;D"}</definedName>
    <definedName name="___________New19" hidden="1">{"EVA",#N/A,FALSE,"SMT2";#N/A,#N/A,FALSE,"Summary";#N/A,#N/A,FALSE,"Graphs";#N/A,#N/A,FALSE,"4 Panel"}</definedName>
    <definedName name="___________New20" hidden="1">{#N/A,#N/A,FALSE,"SMT1";#N/A,#N/A,FALSE,"SMT2";#N/A,#N/A,FALSE,"Summary";#N/A,#N/A,FALSE,"Graphs";#N/A,#N/A,FALSE,"4 Panel"}</definedName>
    <definedName name="___________New21" hidden="1">{#N/A,#N/A,FALSE,"Full";#N/A,#N/A,FALSE,"Half";#N/A,#N/A,FALSE,"Op Expenses";#N/A,#N/A,FALSE,"Cap Charge";#N/A,#N/A,FALSE,"Cost C";#N/A,#N/A,FALSE,"PP&amp;E";#N/A,#N/A,FALSE,"R&amp;D"}</definedName>
    <definedName name="___________NEW3" hidden="1">{#N/A,#N/A,FALSE,"SMT1";#N/A,#N/A,FALSE,"SMT2";#N/A,#N/A,FALSE,"Summary";#N/A,#N/A,FALSE,"Graphs";#N/A,#N/A,FALSE,"4 Panel"}</definedName>
    <definedName name="___________nEW30" hidden="1">{"EVA",#N/A,FALSE,"SMT2";#N/A,#N/A,FALSE,"Summary";#N/A,#N/A,FALSE,"Graphs";#N/A,#N/A,FALSE,"4 Panel"}</definedName>
    <definedName name="___________New31" hidden="1">{#N/A,#N/A,FALSE,"SMT1";#N/A,#N/A,FALSE,"SMT2";#N/A,#N/A,FALSE,"Summary";#N/A,#N/A,FALSE,"Graphs";#N/A,#N/A,FALSE,"4 Panel"}</definedName>
    <definedName name="___________New32" hidden="1">{#N/A,#N/A,FALSE,"SMT1";#N/A,#N/A,FALSE,"SMT2";#N/A,#N/A,FALSE,"Summary";#N/A,#N/A,FALSE,"Graphs";#N/A,#N/A,FALSE,"4 Panel"}</definedName>
    <definedName name="___________New33" hidden="1">{#N/A,#N/A,FALSE,"Full";#N/A,#N/A,FALSE,"Half";#N/A,#N/A,FALSE,"Op Expenses";#N/A,#N/A,FALSE,"Cap Charge";#N/A,#N/A,FALSE,"Cost C";#N/A,#N/A,FALSE,"PP&amp;E";#N/A,#N/A,FALSE,"R&amp;D"}</definedName>
    <definedName name="___________New34" hidden="1">{"EVA",#N/A,FALSE,"SMT2";#N/A,#N/A,FALSE,"Summary";#N/A,#N/A,FALSE,"Graphs";#N/A,#N/A,FALSE,"4 Panel"}</definedName>
    <definedName name="___________New35" hidden="1">{#N/A,#N/A,FALSE,"SMT1";#N/A,#N/A,FALSE,"SMT2";#N/A,#N/A,FALSE,"Summary";#N/A,#N/A,FALSE,"Graphs";#N/A,#N/A,FALSE,"4 Panel"}</definedName>
    <definedName name="___________New36" hidden="1">{#N/A,#N/A,FALSE,"Full";#N/A,#N/A,FALSE,"Half";#N/A,#N/A,FALSE,"Op Expenses";#N/A,#N/A,FALSE,"Cap Charge";#N/A,#N/A,FALSE,"Cost C";#N/A,#N/A,FALSE,"PP&amp;E";#N/A,#N/A,FALSE,"R&amp;D"}</definedName>
    <definedName name="___________NEW4" hidden="1">{#N/A,#N/A,FALSE,"Full";#N/A,#N/A,FALSE,"Half";#N/A,#N/A,FALSE,"Op Expenses";#N/A,#N/A,FALSE,"Cap Charge";#N/A,#N/A,FALSE,"Cost C";#N/A,#N/A,FALSE,"PP&amp;E";#N/A,#N/A,FALSE,"R&amp;D"}</definedName>
    <definedName name="___________OCT2" localSheetId="1" hidden="1">{#N/A,#N/A,FALSE,"BL&amp;GPA";#N/A,#N/A,FALSE,"Summary";#N/A,#N/A,FALSE,"hts"}</definedName>
    <definedName name="___________OCT2" localSheetId="4" hidden="1">{#N/A,#N/A,FALSE,"BL&amp;GPA";#N/A,#N/A,FALSE,"Summary";#N/A,#N/A,FALSE,"hts"}</definedName>
    <definedName name="___________OCT2" localSheetId="0" hidden="1">{#N/A,#N/A,FALSE,"BL&amp;GPA";#N/A,#N/A,FALSE,"Summary";#N/A,#N/A,FALSE,"hts"}</definedName>
    <definedName name="___________OCT2" localSheetId="3" hidden="1">{#N/A,#N/A,FALSE,"BL&amp;GPA";#N/A,#N/A,FALSE,"Summary";#N/A,#N/A,FALSE,"hts"}</definedName>
    <definedName name="___________OCT2" localSheetId="2" hidden="1">{#N/A,#N/A,FALSE,"BL&amp;GPA";#N/A,#N/A,FALSE,"Summary";#N/A,#N/A,FALSE,"hts"}</definedName>
    <definedName name="___________OCT2" hidden="1">{#N/A,#N/A,FALSE,"BL&amp;GPA";#N/A,#N/A,FALSE,"Summary";#N/A,#N/A,FALSE,"hts"}</definedName>
    <definedName name="___________ok1" localSheetId="1" hidden="1">{#N/A,#N/A,FALSE,"balance";#N/A,#N/A,FALSE,"PYG"}</definedName>
    <definedName name="___________ok1" localSheetId="4" hidden="1">{#N/A,#N/A,FALSE,"balance";#N/A,#N/A,FALSE,"PYG"}</definedName>
    <definedName name="___________ok1" localSheetId="0" hidden="1">{#N/A,#N/A,FALSE,"balance";#N/A,#N/A,FALSE,"PYG"}</definedName>
    <definedName name="___________ok1" localSheetId="3" hidden="1">{#N/A,#N/A,FALSE,"balance";#N/A,#N/A,FALSE,"PYG"}</definedName>
    <definedName name="___________ok1" localSheetId="2" hidden="1">{#N/A,#N/A,FALSE,"balance";#N/A,#N/A,FALSE,"PYG"}</definedName>
    <definedName name="___________ok1" hidden="1">{#N/A,#N/A,FALSE,"balance";#N/A,#N/A,FALSE,"PYG"}</definedName>
    <definedName name="___________Ok2" localSheetId="1" hidden="1">{#N/A,#N/A,FALSE,"balance";#N/A,#N/A,FALSE,"PYG"}</definedName>
    <definedName name="___________Ok2" localSheetId="4" hidden="1">{#N/A,#N/A,FALSE,"balance";#N/A,#N/A,FALSE,"PYG"}</definedName>
    <definedName name="___________Ok2" localSheetId="0" hidden="1">{#N/A,#N/A,FALSE,"balance";#N/A,#N/A,FALSE,"PYG"}</definedName>
    <definedName name="___________Ok2" localSheetId="3" hidden="1">{#N/A,#N/A,FALSE,"balance";#N/A,#N/A,FALSE,"PYG"}</definedName>
    <definedName name="___________Ok2" localSheetId="2" hidden="1">{#N/A,#N/A,FALSE,"balance";#N/A,#N/A,FALSE,"PYG"}</definedName>
    <definedName name="___________Ok2" hidden="1">{#N/A,#N/A,FALSE,"balance";#N/A,#N/A,FALSE,"PYG"}</definedName>
    <definedName name="___________PyG2" localSheetId="1" hidden="1">{#N/A,#N/A,FALSE,"balance";#N/A,#N/A,FALSE,"PYG"}</definedName>
    <definedName name="___________PyG2" localSheetId="4" hidden="1">{#N/A,#N/A,FALSE,"balance";#N/A,#N/A,FALSE,"PYG"}</definedName>
    <definedName name="___________PyG2" localSheetId="0" hidden="1">{#N/A,#N/A,FALSE,"balance";#N/A,#N/A,FALSE,"PYG"}</definedName>
    <definedName name="___________PyG2" localSheetId="3" hidden="1">{#N/A,#N/A,FALSE,"balance";#N/A,#N/A,FALSE,"PYG"}</definedName>
    <definedName name="___________PyG2" localSheetId="2" hidden="1">{#N/A,#N/A,FALSE,"balance";#N/A,#N/A,FALSE,"PYG"}</definedName>
    <definedName name="___________PyG2" hidden="1">{#N/A,#N/A,FALSE,"balance";#N/A,#N/A,FALSE,"PYG"}</definedName>
    <definedName name="___________PYG3" localSheetId="1" hidden="1">{#N/A,#N/A,FALSE,"balance";#N/A,#N/A,FALSE,"PYG"}</definedName>
    <definedName name="___________PYG3" localSheetId="4" hidden="1">{#N/A,#N/A,FALSE,"balance";#N/A,#N/A,FALSE,"PYG"}</definedName>
    <definedName name="___________PYG3" localSheetId="0" hidden="1">{#N/A,#N/A,FALSE,"balance";#N/A,#N/A,FALSE,"PYG"}</definedName>
    <definedName name="___________PYG3" localSheetId="3" hidden="1">{#N/A,#N/A,FALSE,"balance";#N/A,#N/A,FALSE,"PYG"}</definedName>
    <definedName name="___________PYG3" localSheetId="2" hidden="1">{#N/A,#N/A,FALSE,"balance";#N/A,#N/A,FALSE,"PYG"}</definedName>
    <definedName name="___________PYG3" hidden="1">{#N/A,#N/A,FALSE,"balance";#N/A,#N/A,FALSE,"PYG"}</definedName>
    <definedName name="___________PyG33" localSheetId="1" hidden="1">{#N/A,#N/A,FALSE,"balance";#N/A,#N/A,FALSE,"PYG"}</definedName>
    <definedName name="___________PyG33" localSheetId="4" hidden="1">{#N/A,#N/A,FALSE,"balance";#N/A,#N/A,FALSE,"PYG"}</definedName>
    <definedName name="___________PyG33" localSheetId="0" hidden="1">{#N/A,#N/A,FALSE,"balance";#N/A,#N/A,FALSE,"PYG"}</definedName>
    <definedName name="___________PyG33" localSheetId="3" hidden="1">{#N/A,#N/A,FALSE,"balance";#N/A,#N/A,FALSE,"PYG"}</definedName>
    <definedName name="___________PyG33" localSheetId="2" hidden="1">{#N/A,#N/A,FALSE,"balance";#N/A,#N/A,FALSE,"PYG"}</definedName>
    <definedName name="___________PyG33" hidden="1">{#N/A,#N/A,FALSE,"balance";#N/A,#N/A,FALSE,"PYG"}</definedName>
    <definedName name="___________R" hidden="1">{#N/A,#N/A,FALSE,"GRAFICO";#N/A,#N/A,FALSE,"CAJA (2)";#N/A,#N/A,FALSE,"TERCEROS-PROMEDIO";#N/A,#N/A,FALSE,"CAJA";#N/A,#N/A,FALSE,"INGRESOS1995-2003";#N/A,#N/A,FALSE,"GASTOS1995-2003"}</definedName>
    <definedName name="__________GGF2" localSheetId="1" hidden="1">{#N/A,#N/A,FALSE,"balance";#N/A,#N/A,FALSE,"PYG"}</definedName>
    <definedName name="__________GGF2" localSheetId="4" hidden="1">{#N/A,#N/A,FALSE,"balance";#N/A,#N/A,FALSE,"PYG"}</definedName>
    <definedName name="__________GGF2" localSheetId="0" hidden="1">{#N/A,#N/A,FALSE,"balance";#N/A,#N/A,FALSE,"PYG"}</definedName>
    <definedName name="__________GGF2" localSheetId="3" hidden="1">{#N/A,#N/A,FALSE,"balance";#N/A,#N/A,FALSE,"PYG"}</definedName>
    <definedName name="__________GGF2" localSheetId="2" hidden="1">{#N/A,#N/A,FALSE,"balance";#N/A,#N/A,FALSE,"PYG"}</definedName>
    <definedName name="__________GGF2" hidden="1">{#N/A,#N/A,FALSE,"balance";#N/A,#N/A,FALSE,"PYG"}</definedName>
    <definedName name="__________new1" hidden="1">{#N/A,#N/A,FALSE,"SMT1";#N/A,#N/A,FALSE,"SMT2";#N/A,#N/A,FALSE,"Summary";#N/A,#N/A,FALSE,"Graphs";#N/A,#N/A,FALSE,"4 Panel"}</definedName>
    <definedName name="__________New15" hidden="1">{"EVA",#N/A,FALSE,"SMT2";#N/A,#N/A,FALSE,"Summary";#N/A,#N/A,FALSE,"Graphs";#N/A,#N/A,FALSE,"4 Panel"}</definedName>
    <definedName name="__________New16" hidden="1">{#N/A,#N/A,FALSE,"SMT1";#N/A,#N/A,FALSE,"SMT2";#N/A,#N/A,FALSE,"Summary";#N/A,#N/A,FALSE,"Graphs";#N/A,#N/A,FALSE,"4 Panel"}</definedName>
    <definedName name="__________New17" hidden="1">{#N/A,#N/A,FALSE,"SMT1";#N/A,#N/A,FALSE,"SMT2";#N/A,#N/A,FALSE,"Summary";#N/A,#N/A,FALSE,"Graphs";#N/A,#N/A,FALSE,"4 Panel"}</definedName>
    <definedName name="__________New18" hidden="1">{#N/A,#N/A,FALSE,"Full";#N/A,#N/A,FALSE,"Half";#N/A,#N/A,FALSE,"Op Expenses";#N/A,#N/A,FALSE,"Cap Charge";#N/A,#N/A,FALSE,"Cost C";#N/A,#N/A,FALSE,"PP&amp;E";#N/A,#N/A,FALSE,"R&amp;D"}</definedName>
    <definedName name="__________New19" hidden="1">{"EVA",#N/A,FALSE,"SMT2";#N/A,#N/A,FALSE,"Summary";#N/A,#N/A,FALSE,"Graphs";#N/A,#N/A,FALSE,"4 Panel"}</definedName>
    <definedName name="__________New20" hidden="1">{#N/A,#N/A,FALSE,"SMT1";#N/A,#N/A,FALSE,"SMT2";#N/A,#N/A,FALSE,"Summary";#N/A,#N/A,FALSE,"Graphs";#N/A,#N/A,FALSE,"4 Panel"}</definedName>
    <definedName name="__________New21" hidden="1">{#N/A,#N/A,FALSE,"Full";#N/A,#N/A,FALSE,"Half";#N/A,#N/A,FALSE,"Op Expenses";#N/A,#N/A,FALSE,"Cap Charge";#N/A,#N/A,FALSE,"Cost C";#N/A,#N/A,FALSE,"PP&amp;E";#N/A,#N/A,FALSE,"R&amp;D"}</definedName>
    <definedName name="__________NEW3" hidden="1">{#N/A,#N/A,FALSE,"SMT1";#N/A,#N/A,FALSE,"SMT2";#N/A,#N/A,FALSE,"Summary";#N/A,#N/A,FALSE,"Graphs";#N/A,#N/A,FALSE,"4 Panel"}</definedName>
    <definedName name="__________nEW30" hidden="1">{"EVA",#N/A,FALSE,"SMT2";#N/A,#N/A,FALSE,"Summary";#N/A,#N/A,FALSE,"Graphs";#N/A,#N/A,FALSE,"4 Panel"}</definedName>
    <definedName name="__________New31" hidden="1">{#N/A,#N/A,FALSE,"SMT1";#N/A,#N/A,FALSE,"SMT2";#N/A,#N/A,FALSE,"Summary";#N/A,#N/A,FALSE,"Graphs";#N/A,#N/A,FALSE,"4 Panel"}</definedName>
    <definedName name="__________New32" hidden="1">{#N/A,#N/A,FALSE,"SMT1";#N/A,#N/A,FALSE,"SMT2";#N/A,#N/A,FALSE,"Summary";#N/A,#N/A,FALSE,"Graphs";#N/A,#N/A,FALSE,"4 Panel"}</definedName>
    <definedName name="__________New33" hidden="1">{#N/A,#N/A,FALSE,"Full";#N/A,#N/A,FALSE,"Half";#N/A,#N/A,FALSE,"Op Expenses";#N/A,#N/A,FALSE,"Cap Charge";#N/A,#N/A,FALSE,"Cost C";#N/A,#N/A,FALSE,"PP&amp;E";#N/A,#N/A,FALSE,"R&amp;D"}</definedName>
    <definedName name="__________New34" hidden="1">{"EVA",#N/A,FALSE,"SMT2";#N/A,#N/A,FALSE,"Summary";#N/A,#N/A,FALSE,"Graphs";#N/A,#N/A,FALSE,"4 Panel"}</definedName>
    <definedName name="__________New35" hidden="1">{#N/A,#N/A,FALSE,"SMT1";#N/A,#N/A,FALSE,"SMT2";#N/A,#N/A,FALSE,"Summary";#N/A,#N/A,FALSE,"Graphs";#N/A,#N/A,FALSE,"4 Panel"}</definedName>
    <definedName name="__________New36" hidden="1">{#N/A,#N/A,FALSE,"Full";#N/A,#N/A,FALSE,"Half";#N/A,#N/A,FALSE,"Op Expenses";#N/A,#N/A,FALSE,"Cap Charge";#N/A,#N/A,FALSE,"Cost C";#N/A,#N/A,FALSE,"PP&amp;E";#N/A,#N/A,FALSE,"R&amp;D"}</definedName>
    <definedName name="__________NEW4" hidden="1">{#N/A,#N/A,FALSE,"Full";#N/A,#N/A,FALSE,"Half";#N/A,#N/A,FALSE,"Op Expenses";#N/A,#N/A,FALSE,"Cap Charge";#N/A,#N/A,FALSE,"Cost C";#N/A,#N/A,FALSE,"PP&amp;E";#N/A,#N/A,FALSE,"R&amp;D"}</definedName>
    <definedName name="__________OCT2" localSheetId="1" hidden="1">{#N/A,#N/A,FALSE,"BL&amp;GPA";#N/A,#N/A,FALSE,"Summary";#N/A,#N/A,FALSE,"hts"}</definedName>
    <definedName name="__________OCT2" localSheetId="4" hidden="1">{#N/A,#N/A,FALSE,"BL&amp;GPA";#N/A,#N/A,FALSE,"Summary";#N/A,#N/A,FALSE,"hts"}</definedName>
    <definedName name="__________OCT2" localSheetId="0" hidden="1">{#N/A,#N/A,FALSE,"BL&amp;GPA";#N/A,#N/A,FALSE,"Summary";#N/A,#N/A,FALSE,"hts"}</definedName>
    <definedName name="__________OCT2" localSheetId="3" hidden="1">{#N/A,#N/A,FALSE,"BL&amp;GPA";#N/A,#N/A,FALSE,"Summary";#N/A,#N/A,FALSE,"hts"}</definedName>
    <definedName name="__________OCT2" localSheetId="2" hidden="1">{#N/A,#N/A,FALSE,"BL&amp;GPA";#N/A,#N/A,FALSE,"Summary";#N/A,#N/A,FALSE,"hts"}</definedName>
    <definedName name="__________OCT2" hidden="1">{#N/A,#N/A,FALSE,"BL&amp;GPA";#N/A,#N/A,FALSE,"Summary";#N/A,#N/A,FALSE,"hts"}</definedName>
    <definedName name="__________ok1" localSheetId="1" hidden="1">{#N/A,#N/A,FALSE,"balance";#N/A,#N/A,FALSE,"PYG"}</definedName>
    <definedName name="__________ok1" localSheetId="4" hidden="1">{#N/A,#N/A,FALSE,"balance";#N/A,#N/A,FALSE,"PYG"}</definedName>
    <definedName name="__________ok1" localSheetId="0" hidden="1">{#N/A,#N/A,FALSE,"balance";#N/A,#N/A,FALSE,"PYG"}</definedName>
    <definedName name="__________ok1" localSheetId="3" hidden="1">{#N/A,#N/A,FALSE,"balance";#N/A,#N/A,FALSE,"PYG"}</definedName>
    <definedName name="__________ok1" localSheetId="2" hidden="1">{#N/A,#N/A,FALSE,"balance";#N/A,#N/A,FALSE,"PYG"}</definedName>
    <definedName name="__________ok1" hidden="1">{#N/A,#N/A,FALSE,"balance";#N/A,#N/A,FALSE,"PYG"}</definedName>
    <definedName name="__________Ok2" localSheetId="1" hidden="1">{#N/A,#N/A,FALSE,"balance";#N/A,#N/A,FALSE,"PYG"}</definedName>
    <definedName name="__________Ok2" localSheetId="4" hidden="1">{#N/A,#N/A,FALSE,"balance";#N/A,#N/A,FALSE,"PYG"}</definedName>
    <definedName name="__________Ok2" localSheetId="0" hidden="1">{#N/A,#N/A,FALSE,"balance";#N/A,#N/A,FALSE,"PYG"}</definedName>
    <definedName name="__________Ok2" localSheetId="3" hidden="1">{#N/A,#N/A,FALSE,"balance";#N/A,#N/A,FALSE,"PYG"}</definedName>
    <definedName name="__________Ok2" localSheetId="2" hidden="1">{#N/A,#N/A,FALSE,"balance";#N/A,#N/A,FALSE,"PYG"}</definedName>
    <definedName name="__________Ok2" hidden="1">{#N/A,#N/A,FALSE,"balance";#N/A,#N/A,FALSE,"PYG"}</definedName>
    <definedName name="__________PyG2" localSheetId="1" hidden="1">{#N/A,#N/A,FALSE,"balance";#N/A,#N/A,FALSE,"PYG"}</definedName>
    <definedName name="__________PyG2" localSheetId="4" hidden="1">{#N/A,#N/A,FALSE,"balance";#N/A,#N/A,FALSE,"PYG"}</definedName>
    <definedName name="__________PyG2" localSheetId="0" hidden="1">{#N/A,#N/A,FALSE,"balance";#N/A,#N/A,FALSE,"PYG"}</definedName>
    <definedName name="__________PyG2" localSheetId="3" hidden="1">{#N/A,#N/A,FALSE,"balance";#N/A,#N/A,FALSE,"PYG"}</definedName>
    <definedName name="__________PyG2" localSheetId="2" hidden="1">{#N/A,#N/A,FALSE,"balance";#N/A,#N/A,FALSE,"PYG"}</definedName>
    <definedName name="__________PyG2" hidden="1">{#N/A,#N/A,FALSE,"balance";#N/A,#N/A,FALSE,"PYG"}</definedName>
    <definedName name="__________PYG3" localSheetId="1" hidden="1">{#N/A,#N/A,FALSE,"balance";#N/A,#N/A,FALSE,"PYG"}</definedName>
    <definedName name="__________PYG3" localSheetId="4" hidden="1">{#N/A,#N/A,FALSE,"balance";#N/A,#N/A,FALSE,"PYG"}</definedName>
    <definedName name="__________PYG3" localSheetId="0" hidden="1">{#N/A,#N/A,FALSE,"balance";#N/A,#N/A,FALSE,"PYG"}</definedName>
    <definedName name="__________PYG3" localSheetId="3" hidden="1">{#N/A,#N/A,FALSE,"balance";#N/A,#N/A,FALSE,"PYG"}</definedName>
    <definedName name="__________PYG3" localSheetId="2" hidden="1">{#N/A,#N/A,FALSE,"balance";#N/A,#N/A,FALSE,"PYG"}</definedName>
    <definedName name="__________PYG3" hidden="1">{#N/A,#N/A,FALSE,"balance";#N/A,#N/A,FALSE,"PYG"}</definedName>
    <definedName name="__________PyG33" localSheetId="1" hidden="1">{#N/A,#N/A,FALSE,"balance";#N/A,#N/A,FALSE,"PYG"}</definedName>
    <definedName name="__________PyG33" localSheetId="4" hidden="1">{#N/A,#N/A,FALSE,"balance";#N/A,#N/A,FALSE,"PYG"}</definedName>
    <definedName name="__________PyG33" localSheetId="0" hidden="1">{#N/A,#N/A,FALSE,"balance";#N/A,#N/A,FALSE,"PYG"}</definedName>
    <definedName name="__________PyG33" localSheetId="3" hidden="1">{#N/A,#N/A,FALSE,"balance";#N/A,#N/A,FALSE,"PYG"}</definedName>
    <definedName name="__________PyG33" localSheetId="2" hidden="1">{#N/A,#N/A,FALSE,"balance";#N/A,#N/A,FALSE,"PYG"}</definedName>
    <definedName name="__________PyG33" hidden="1">{#N/A,#N/A,FALSE,"balance";#N/A,#N/A,FALSE,"PYG"}</definedName>
    <definedName name="__________R" hidden="1">{#N/A,#N/A,FALSE,"GRAFICO";#N/A,#N/A,FALSE,"CAJA (2)";#N/A,#N/A,FALSE,"TERCEROS-PROMEDIO";#N/A,#N/A,FALSE,"CAJA";#N/A,#N/A,FALSE,"INGRESOS1995-2003";#N/A,#N/A,FALSE,"GASTOS1995-2003"}</definedName>
    <definedName name="_________GGF2" localSheetId="1" hidden="1">{#N/A,#N/A,FALSE,"balance";#N/A,#N/A,FALSE,"PYG"}</definedName>
    <definedName name="_________GGF2" localSheetId="4" hidden="1">{#N/A,#N/A,FALSE,"balance";#N/A,#N/A,FALSE,"PYG"}</definedName>
    <definedName name="_________GGF2" localSheetId="0" hidden="1">{#N/A,#N/A,FALSE,"balance";#N/A,#N/A,FALSE,"PYG"}</definedName>
    <definedName name="_________GGF2" localSheetId="3" hidden="1">{#N/A,#N/A,FALSE,"balance";#N/A,#N/A,FALSE,"PYG"}</definedName>
    <definedName name="_________GGF2" localSheetId="2" hidden="1">{#N/A,#N/A,FALSE,"balance";#N/A,#N/A,FALSE,"PYG"}</definedName>
    <definedName name="_________GGF2" hidden="1">{#N/A,#N/A,FALSE,"balance";#N/A,#N/A,FALSE,"PYG"}</definedName>
    <definedName name="_________new1" hidden="1">{#N/A,#N/A,FALSE,"SMT1";#N/A,#N/A,FALSE,"SMT2";#N/A,#N/A,FALSE,"Summary";#N/A,#N/A,FALSE,"Graphs";#N/A,#N/A,FALSE,"4 Panel"}</definedName>
    <definedName name="_________New15" hidden="1">{"EVA",#N/A,FALSE,"SMT2";#N/A,#N/A,FALSE,"Summary";#N/A,#N/A,FALSE,"Graphs";#N/A,#N/A,FALSE,"4 Panel"}</definedName>
    <definedName name="_________New16" hidden="1">{#N/A,#N/A,FALSE,"SMT1";#N/A,#N/A,FALSE,"SMT2";#N/A,#N/A,FALSE,"Summary";#N/A,#N/A,FALSE,"Graphs";#N/A,#N/A,FALSE,"4 Panel"}</definedName>
    <definedName name="_________New17" hidden="1">{#N/A,#N/A,FALSE,"SMT1";#N/A,#N/A,FALSE,"SMT2";#N/A,#N/A,FALSE,"Summary";#N/A,#N/A,FALSE,"Graphs";#N/A,#N/A,FALSE,"4 Panel"}</definedName>
    <definedName name="_________New18" hidden="1">{#N/A,#N/A,FALSE,"Full";#N/A,#N/A,FALSE,"Half";#N/A,#N/A,FALSE,"Op Expenses";#N/A,#N/A,FALSE,"Cap Charge";#N/A,#N/A,FALSE,"Cost C";#N/A,#N/A,FALSE,"PP&amp;E";#N/A,#N/A,FALSE,"R&amp;D"}</definedName>
    <definedName name="_________New19" hidden="1">{"EVA",#N/A,FALSE,"SMT2";#N/A,#N/A,FALSE,"Summary";#N/A,#N/A,FALSE,"Graphs";#N/A,#N/A,FALSE,"4 Panel"}</definedName>
    <definedName name="_________New20" hidden="1">{#N/A,#N/A,FALSE,"SMT1";#N/A,#N/A,FALSE,"SMT2";#N/A,#N/A,FALSE,"Summary";#N/A,#N/A,FALSE,"Graphs";#N/A,#N/A,FALSE,"4 Panel"}</definedName>
    <definedName name="_________New21" hidden="1">{#N/A,#N/A,FALSE,"Full";#N/A,#N/A,FALSE,"Half";#N/A,#N/A,FALSE,"Op Expenses";#N/A,#N/A,FALSE,"Cap Charge";#N/A,#N/A,FALSE,"Cost C";#N/A,#N/A,FALSE,"PP&amp;E";#N/A,#N/A,FALSE,"R&amp;D"}</definedName>
    <definedName name="_________NEW3" hidden="1">{#N/A,#N/A,FALSE,"SMT1";#N/A,#N/A,FALSE,"SMT2";#N/A,#N/A,FALSE,"Summary";#N/A,#N/A,FALSE,"Graphs";#N/A,#N/A,FALSE,"4 Panel"}</definedName>
    <definedName name="_________nEW30" hidden="1">{"EVA",#N/A,FALSE,"SMT2";#N/A,#N/A,FALSE,"Summary";#N/A,#N/A,FALSE,"Graphs";#N/A,#N/A,FALSE,"4 Panel"}</definedName>
    <definedName name="_________New31" hidden="1">{#N/A,#N/A,FALSE,"SMT1";#N/A,#N/A,FALSE,"SMT2";#N/A,#N/A,FALSE,"Summary";#N/A,#N/A,FALSE,"Graphs";#N/A,#N/A,FALSE,"4 Panel"}</definedName>
    <definedName name="_________New32" hidden="1">{#N/A,#N/A,FALSE,"SMT1";#N/A,#N/A,FALSE,"SMT2";#N/A,#N/A,FALSE,"Summary";#N/A,#N/A,FALSE,"Graphs";#N/A,#N/A,FALSE,"4 Panel"}</definedName>
    <definedName name="_________New33" hidden="1">{#N/A,#N/A,FALSE,"Full";#N/A,#N/A,FALSE,"Half";#N/A,#N/A,FALSE,"Op Expenses";#N/A,#N/A,FALSE,"Cap Charge";#N/A,#N/A,FALSE,"Cost C";#N/A,#N/A,FALSE,"PP&amp;E";#N/A,#N/A,FALSE,"R&amp;D"}</definedName>
    <definedName name="_________New34" hidden="1">{"EVA",#N/A,FALSE,"SMT2";#N/A,#N/A,FALSE,"Summary";#N/A,#N/A,FALSE,"Graphs";#N/A,#N/A,FALSE,"4 Panel"}</definedName>
    <definedName name="_________New35" hidden="1">{#N/A,#N/A,FALSE,"SMT1";#N/A,#N/A,FALSE,"SMT2";#N/A,#N/A,FALSE,"Summary";#N/A,#N/A,FALSE,"Graphs";#N/A,#N/A,FALSE,"4 Panel"}</definedName>
    <definedName name="_________New36" hidden="1">{#N/A,#N/A,FALSE,"Full";#N/A,#N/A,FALSE,"Half";#N/A,#N/A,FALSE,"Op Expenses";#N/A,#N/A,FALSE,"Cap Charge";#N/A,#N/A,FALSE,"Cost C";#N/A,#N/A,FALSE,"PP&amp;E";#N/A,#N/A,FALSE,"R&amp;D"}</definedName>
    <definedName name="_________NEW4" hidden="1">{#N/A,#N/A,FALSE,"Full";#N/A,#N/A,FALSE,"Half";#N/A,#N/A,FALSE,"Op Expenses";#N/A,#N/A,FALSE,"Cap Charge";#N/A,#N/A,FALSE,"Cost C";#N/A,#N/A,FALSE,"PP&amp;E";#N/A,#N/A,FALSE,"R&amp;D"}</definedName>
    <definedName name="_________OCT2" localSheetId="1" hidden="1">{#N/A,#N/A,FALSE,"BL&amp;GPA";#N/A,#N/A,FALSE,"Summary";#N/A,#N/A,FALSE,"hts"}</definedName>
    <definedName name="_________OCT2" localSheetId="4" hidden="1">{#N/A,#N/A,FALSE,"BL&amp;GPA";#N/A,#N/A,FALSE,"Summary";#N/A,#N/A,FALSE,"hts"}</definedName>
    <definedName name="_________OCT2" localSheetId="0" hidden="1">{#N/A,#N/A,FALSE,"BL&amp;GPA";#N/A,#N/A,FALSE,"Summary";#N/A,#N/A,FALSE,"hts"}</definedName>
    <definedName name="_________OCT2" localSheetId="3" hidden="1">{#N/A,#N/A,FALSE,"BL&amp;GPA";#N/A,#N/A,FALSE,"Summary";#N/A,#N/A,FALSE,"hts"}</definedName>
    <definedName name="_________OCT2" localSheetId="2" hidden="1">{#N/A,#N/A,FALSE,"BL&amp;GPA";#N/A,#N/A,FALSE,"Summary";#N/A,#N/A,FALSE,"hts"}</definedName>
    <definedName name="_________OCT2" hidden="1">{#N/A,#N/A,FALSE,"BL&amp;GPA";#N/A,#N/A,FALSE,"Summary";#N/A,#N/A,FALSE,"hts"}</definedName>
    <definedName name="_________ok1" localSheetId="1" hidden="1">{#N/A,#N/A,FALSE,"balance";#N/A,#N/A,FALSE,"PYG"}</definedName>
    <definedName name="_________ok1" localSheetId="4" hidden="1">{#N/A,#N/A,FALSE,"balance";#N/A,#N/A,FALSE,"PYG"}</definedName>
    <definedName name="_________ok1" localSheetId="0" hidden="1">{#N/A,#N/A,FALSE,"balance";#N/A,#N/A,FALSE,"PYG"}</definedName>
    <definedName name="_________ok1" localSheetId="3" hidden="1">{#N/A,#N/A,FALSE,"balance";#N/A,#N/A,FALSE,"PYG"}</definedName>
    <definedName name="_________ok1" localSheetId="2" hidden="1">{#N/A,#N/A,FALSE,"balance";#N/A,#N/A,FALSE,"PYG"}</definedName>
    <definedName name="_________ok1" hidden="1">{#N/A,#N/A,FALSE,"balance";#N/A,#N/A,FALSE,"PYG"}</definedName>
    <definedName name="_________Ok2" localSheetId="1" hidden="1">{#N/A,#N/A,FALSE,"balance";#N/A,#N/A,FALSE,"PYG"}</definedName>
    <definedName name="_________Ok2" localSheetId="4" hidden="1">{#N/A,#N/A,FALSE,"balance";#N/A,#N/A,FALSE,"PYG"}</definedName>
    <definedName name="_________Ok2" localSheetId="0" hidden="1">{#N/A,#N/A,FALSE,"balance";#N/A,#N/A,FALSE,"PYG"}</definedName>
    <definedName name="_________Ok2" localSheetId="3" hidden="1">{#N/A,#N/A,FALSE,"balance";#N/A,#N/A,FALSE,"PYG"}</definedName>
    <definedName name="_________Ok2" localSheetId="2" hidden="1">{#N/A,#N/A,FALSE,"balance";#N/A,#N/A,FALSE,"PYG"}</definedName>
    <definedName name="_________Ok2" hidden="1">{#N/A,#N/A,FALSE,"balance";#N/A,#N/A,FALSE,"PYG"}</definedName>
    <definedName name="_________PyG2" localSheetId="1" hidden="1">{#N/A,#N/A,FALSE,"balance";#N/A,#N/A,FALSE,"PYG"}</definedName>
    <definedName name="_________PyG2" localSheetId="4" hidden="1">{#N/A,#N/A,FALSE,"balance";#N/A,#N/A,FALSE,"PYG"}</definedName>
    <definedName name="_________PyG2" localSheetId="0" hidden="1">{#N/A,#N/A,FALSE,"balance";#N/A,#N/A,FALSE,"PYG"}</definedName>
    <definedName name="_________PyG2" localSheetId="3" hidden="1">{#N/A,#N/A,FALSE,"balance";#N/A,#N/A,FALSE,"PYG"}</definedName>
    <definedName name="_________PyG2" localSheetId="2" hidden="1">{#N/A,#N/A,FALSE,"balance";#N/A,#N/A,FALSE,"PYG"}</definedName>
    <definedName name="_________PyG2" hidden="1">{#N/A,#N/A,FALSE,"balance";#N/A,#N/A,FALSE,"PYG"}</definedName>
    <definedName name="_________PYG3" localSheetId="1" hidden="1">{#N/A,#N/A,FALSE,"balance";#N/A,#N/A,FALSE,"PYG"}</definedName>
    <definedName name="_________PYG3" localSheetId="4" hidden="1">{#N/A,#N/A,FALSE,"balance";#N/A,#N/A,FALSE,"PYG"}</definedName>
    <definedName name="_________PYG3" localSheetId="0" hidden="1">{#N/A,#N/A,FALSE,"balance";#N/A,#N/A,FALSE,"PYG"}</definedName>
    <definedName name="_________PYG3" localSheetId="3" hidden="1">{#N/A,#N/A,FALSE,"balance";#N/A,#N/A,FALSE,"PYG"}</definedName>
    <definedName name="_________PYG3" localSheetId="2" hidden="1">{#N/A,#N/A,FALSE,"balance";#N/A,#N/A,FALSE,"PYG"}</definedName>
    <definedName name="_________PYG3" hidden="1">{#N/A,#N/A,FALSE,"balance";#N/A,#N/A,FALSE,"PYG"}</definedName>
    <definedName name="_________PyG33" localSheetId="1" hidden="1">{#N/A,#N/A,FALSE,"balance";#N/A,#N/A,FALSE,"PYG"}</definedName>
    <definedName name="_________PyG33" localSheetId="4" hidden="1">{#N/A,#N/A,FALSE,"balance";#N/A,#N/A,FALSE,"PYG"}</definedName>
    <definedName name="_________PyG33" localSheetId="0" hidden="1">{#N/A,#N/A,FALSE,"balance";#N/A,#N/A,FALSE,"PYG"}</definedName>
    <definedName name="_________PyG33" localSheetId="3" hidden="1">{#N/A,#N/A,FALSE,"balance";#N/A,#N/A,FALSE,"PYG"}</definedName>
    <definedName name="_________PyG33" localSheetId="2" hidden="1">{#N/A,#N/A,FALSE,"balance";#N/A,#N/A,FALSE,"PYG"}</definedName>
    <definedName name="_________PyG33" hidden="1">{#N/A,#N/A,FALSE,"balance";#N/A,#N/A,FALSE,"PYG"}</definedName>
    <definedName name="_________R" hidden="1">{#N/A,#N/A,FALSE,"GRAFICO";#N/A,#N/A,FALSE,"CAJA (2)";#N/A,#N/A,FALSE,"TERCEROS-PROMEDIO";#N/A,#N/A,FALSE,"CAJA";#N/A,#N/A,FALSE,"INGRESOS1995-2003";#N/A,#N/A,FALSE,"GASTOS1995-2003"}</definedName>
    <definedName name="________GGF2" localSheetId="1" hidden="1">{#N/A,#N/A,FALSE,"balance";#N/A,#N/A,FALSE,"PYG"}</definedName>
    <definedName name="________GGF2" localSheetId="4" hidden="1">{#N/A,#N/A,FALSE,"balance";#N/A,#N/A,FALSE,"PYG"}</definedName>
    <definedName name="________GGF2" localSheetId="0" hidden="1">{#N/A,#N/A,FALSE,"balance";#N/A,#N/A,FALSE,"PYG"}</definedName>
    <definedName name="________GGF2" localSheetId="3" hidden="1">{#N/A,#N/A,FALSE,"balance";#N/A,#N/A,FALSE,"PYG"}</definedName>
    <definedName name="________GGF2" localSheetId="2" hidden="1">{#N/A,#N/A,FALSE,"balance";#N/A,#N/A,FALSE,"PYG"}</definedName>
    <definedName name="________GGF2" hidden="1">{#N/A,#N/A,FALSE,"balance";#N/A,#N/A,FALSE,"PYG"}</definedName>
    <definedName name="________new1" hidden="1">{#N/A,#N/A,FALSE,"SMT1";#N/A,#N/A,FALSE,"SMT2";#N/A,#N/A,FALSE,"Summary";#N/A,#N/A,FALSE,"Graphs";#N/A,#N/A,FALSE,"4 Panel"}</definedName>
    <definedName name="________New15" hidden="1">{"EVA",#N/A,FALSE,"SMT2";#N/A,#N/A,FALSE,"Summary";#N/A,#N/A,FALSE,"Graphs";#N/A,#N/A,FALSE,"4 Panel"}</definedName>
    <definedName name="________New16" hidden="1">{#N/A,#N/A,FALSE,"SMT1";#N/A,#N/A,FALSE,"SMT2";#N/A,#N/A,FALSE,"Summary";#N/A,#N/A,FALSE,"Graphs";#N/A,#N/A,FALSE,"4 Panel"}</definedName>
    <definedName name="________New17" hidden="1">{#N/A,#N/A,FALSE,"SMT1";#N/A,#N/A,FALSE,"SMT2";#N/A,#N/A,FALSE,"Summary";#N/A,#N/A,FALSE,"Graphs";#N/A,#N/A,FALSE,"4 Panel"}</definedName>
    <definedName name="________New18" hidden="1">{#N/A,#N/A,FALSE,"Full";#N/A,#N/A,FALSE,"Half";#N/A,#N/A,FALSE,"Op Expenses";#N/A,#N/A,FALSE,"Cap Charge";#N/A,#N/A,FALSE,"Cost C";#N/A,#N/A,FALSE,"PP&amp;E";#N/A,#N/A,FALSE,"R&amp;D"}</definedName>
    <definedName name="________New19" hidden="1">{"EVA",#N/A,FALSE,"SMT2";#N/A,#N/A,FALSE,"Summary";#N/A,#N/A,FALSE,"Graphs";#N/A,#N/A,FALSE,"4 Panel"}</definedName>
    <definedName name="________New20" hidden="1">{#N/A,#N/A,FALSE,"SMT1";#N/A,#N/A,FALSE,"SMT2";#N/A,#N/A,FALSE,"Summary";#N/A,#N/A,FALSE,"Graphs";#N/A,#N/A,FALSE,"4 Panel"}</definedName>
    <definedName name="________New21" hidden="1">{#N/A,#N/A,FALSE,"Full";#N/A,#N/A,FALSE,"Half";#N/A,#N/A,FALSE,"Op Expenses";#N/A,#N/A,FALSE,"Cap Charge";#N/A,#N/A,FALSE,"Cost C";#N/A,#N/A,FALSE,"PP&amp;E";#N/A,#N/A,FALSE,"R&amp;D"}</definedName>
    <definedName name="________NEW3" hidden="1">{#N/A,#N/A,FALSE,"SMT1";#N/A,#N/A,FALSE,"SMT2";#N/A,#N/A,FALSE,"Summary";#N/A,#N/A,FALSE,"Graphs";#N/A,#N/A,FALSE,"4 Panel"}</definedName>
    <definedName name="________nEW30" hidden="1">{"EVA",#N/A,FALSE,"SMT2";#N/A,#N/A,FALSE,"Summary";#N/A,#N/A,FALSE,"Graphs";#N/A,#N/A,FALSE,"4 Panel"}</definedName>
    <definedName name="________New31" hidden="1">{#N/A,#N/A,FALSE,"SMT1";#N/A,#N/A,FALSE,"SMT2";#N/A,#N/A,FALSE,"Summary";#N/A,#N/A,FALSE,"Graphs";#N/A,#N/A,FALSE,"4 Panel"}</definedName>
    <definedName name="________New32" hidden="1">{#N/A,#N/A,FALSE,"SMT1";#N/A,#N/A,FALSE,"SMT2";#N/A,#N/A,FALSE,"Summary";#N/A,#N/A,FALSE,"Graphs";#N/A,#N/A,FALSE,"4 Panel"}</definedName>
    <definedName name="________New33" hidden="1">{#N/A,#N/A,FALSE,"Full";#N/A,#N/A,FALSE,"Half";#N/A,#N/A,FALSE,"Op Expenses";#N/A,#N/A,FALSE,"Cap Charge";#N/A,#N/A,FALSE,"Cost C";#N/A,#N/A,FALSE,"PP&amp;E";#N/A,#N/A,FALSE,"R&amp;D"}</definedName>
    <definedName name="________New34" hidden="1">{"EVA",#N/A,FALSE,"SMT2";#N/A,#N/A,FALSE,"Summary";#N/A,#N/A,FALSE,"Graphs";#N/A,#N/A,FALSE,"4 Panel"}</definedName>
    <definedName name="________New35" hidden="1">{#N/A,#N/A,FALSE,"SMT1";#N/A,#N/A,FALSE,"SMT2";#N/A,#N/A,FALSE,"Summary";#N/A,#N/A,FALSE,"Graphs";#N/A,#N/A,FALSE,"4 Panel"}</definedName>
    <definedName name="________New36" hidden="1">{#N/A,#N/A,FALSE,"Full";#N/A,#N/A,FALSE,"Half";#N/A,#N/A,FALSE,"Op Expenses";#N/A,#N/A,FALSE,"Cap Charge";#N/A,#N/A,FALSE,"Cost C";#N/A,#N/A,FALSE,"PP&amp;E";#N/A,#N/A,FALSE,"R&amp;D"}</definedName>
    <definedName name="________NEW4" hidden="1">{#N/A,#N/A,FALSE,"Full";#N/A,#N/A,FALSE,"Half";#N/A,#N/A,FALSE,"Op Expenses";#N/A,#N/A,FALSE,"Cap Charge";#N/A,#N/A,FALSE,"Cost C";#N/A,#N/A,FALSE,"PP&amp;E";#N/A,#N/A,FALSE,"R&amp;D"}</definedName>
    <definedName name="________OCT2" localSheetId="1" hidden="1">{#N/A,#N/A,FALSE,"BL&amp;GPA";#N/A,#N/A,FALSE,"Summary";#N/A,#N/A,FALSE,"hts"}</definedName>
    <definedName name="________OCT2" localSheetId="4" hidden="1">{#N/A,#N/A,FALSE,"BL&amp;GPA";#N/A,#N/A,FALSE,"Summary";#N/A,#N/A,FALSE,"hts"}</definedName>
    <definedName name="________OCT2" localSheetId="0" hidden="1">{#N/A,#N/A,FALSE,"BL&amp;GPA";#N/A,#N/A,FALSE,"Summary";#N/A,#N/A,FALSE,"hts"}</definedName>
    <definedName name="________OCT2" localSheetId="3" hidden="1">{#N/A,#N/A,FALSE,"BL&amp;GPA";#N/A,#N/A,FALSE,"Summary";#N/A,#N/A,FALSE,"hts"}</definedName>
    <definedName name="________OCT2" localSheetId="2" hidden="1">{#N/A,#N/A,FALSE,"BL&amp;GPA";#N/A,#N/A,FALSE,"Summary";#N/A,#N/A,FALSE,"hts"}</definedName>
    <definedName name="________OCT2" hidden="1">{#N/A,#N/A,FALSE,"BL&amp;GPA";#N/A,#N/A,FALSE,"Summary";#N/A,#N/A,FALSE,"hts"}</definedName>
    <definedName name="________ok1" localSheetId="1" hidden="1">{#N/A,#N/A,FALSE,"balance";#N/A,#N/A,FALSE,"PYG"}</definedName>
    <definedName name="________ok1" localSheetId="4" hidden="1">{#N/A,#N/A,FALSE,"balance";#N/A,#N/A,FALSE,"PYG"}</definedName>
    <definedName name="________ok1" localSheetId="0" hidden="1">{#N/A,#N/A,FALSE,"balance";#N/A,#N/A,FALSE,"PYG"}</definedName>
    <definedName name="________ok1" localSheetId="3" hidden="1">{#N/A,#N/A,FALSE,"balance";#N/A,#N/A,FALSE,"PYG"}</definedName>
    <definedName name="________ok1" localSheetId="2" hidden="1">{#N/A,#N/A,FALSE,"balance";#N/A,#N/A,FALSE,"PYG"}</definedName>
    <definedName name="________ok1" hidden="1">{#N/A,#N/A,FALSE,"balance";#N/A,#N/A,FALSE,"PYG"}</definedName>
    <definedName name="________Ok2" localSheetId="1" hidden="1">{#N/A,#N/A,FALSE,"balance";#N/A,#N/A,FALSE,"PYG"}</definedName>
    <definedName name="________Ok2" localSheetId="4" hidden="1">{#N/A,#N/A,FALSE,"balance";#N/A,#N/A,FALSE,"PYG"}</definedName>
    <definedName name="________Ok2" localSheetId="0" hidden="1">{#N/A,#N/A,FALSE,"balance";#N/A,#N/A,FALSE,"PYG"}</definedName>
    <definedName name="________Ok2" localSheetId="3" hidden="1">{#N/A,#N/A,FALSE,"balance";#N/A,#N/A,FALSE,"PYG"}</definedName>
    <definedName name="________Ok2" localSheetId="2" hidden="1">{#N/A,#N/A,FALSE,"balance";#N/A,#N/A,FALSE,"PYG"}</definedName>
    <definedName name="________Ok2" hidden="1">{#N/A,#N/A,FALSE,"balance";#N/A,#N/A,FALSE,"PYG"}</definedName>
    <definedName name="________PyG2" localSheetId="1" hidden="1">{#N/A,#N/A,FALSE,"balance";#N/A,#N/A,FALSE,"PYG"}</definedName>
    <definedName name="________PyG2" localSheetId="4" hidden="1">{#N/A,#N/A,FALSE,"balance";#N/A,#N/A,FALSE,"PYG"}</definedName>
    <definedName name="________PyG2" localSheetId="0" hidden="1">{#N/A,#N/A,FALSE,"balance";#N/A,#N/A,FALSE,"PYG"}</definedName>
    <definedName name="________PyG2" localSheetId="3" hidden="1">{#N/A,#N/A,FALSE,"balance";#N/A,#N/A,FALSE,"PYG"}</definedName>
    <definedName name="________PyG2" localSheetId="2" hidden="1">{#N/A,#N/A,FALSE,"balance";#N/A,#N/A,FALSE,"PYG"}</definedName>
    <definedName name="________PyG2" hidden="1">{#N/A,#N/A,FALSE,"balance";#N/A,#N/A,FALSE,"PYG"}</definedName>
    <definedName name="________PYG3" localSheetId="1" hidden="1">{#N/A,#N/A,FALSE,"balance";#N/A,#N/A,FALSE,"PYG"}</definedName>
    <definedName name="________PYG3" localSheetId="4" hidden="1">{#N/A,#N/A,FALSE,"balance";#N/A,#N/A,FALSE,"PYG"}</definedName>
    <definedName name="________PYG3" localSheetId="0" hidden="1">{#N/A,#N/A,FALSE,"balance";#N/A,#N/A,FALSE,"PYG"}</definedName>
    <definedName name="________PYG3" localSheetId="3" hidden="1">{#N/A,#N/A,FALSE,"balance";#N/A,#N/A,FALSE,"PYG"}</definedName>
    <definedName name="________PYG3" localSheetId="2" hidden="1">{#N/A,#N/A,FALSE,"balance";#N/A,#N/A,FALSE,"PYG"}</definedName>
    <definedName name="________PYG3" hidden="1">{#N/A,#N/A,FALSE,"balance";#N/A,#N/A,FALSE,"PYG"}</definedName>
    <definedName name="________PyG33" localSheetId="1" hidden="1">{#N/A,#N/A,FALSE,"balance";#N/A,#N/A,FALSE,"PYG"}</definedName>
    <definedName name="________PyG33" localSheetId="4" hidden="1">{#N/A,#N/A,FALSE,"balance";#N/A,#N/A,FALSE,"PYG"}</definedName>
    <definedName name="________PyG33" localSheetId="0" hidden="1">{#N/A,#N/A,FALSE,"balance";#N/A,#N/A,FALSE,"PYG"}</definedName>
    <definedName name="________PyG33" localSheetId="3" hidden="1">{#N/A,#N/A,FALSE,"balance";#N/A,#N/A,FALSE,"PYG"}</definedName>
    <definedName name="________PyG33" localSheetId="2" hidden="1">{#N/A,#N/A,FALSE,"balance";#N/A,#N/A,FALSE,"PYG"}</definedName>
    <definedName name="________PyG33" hidden="1">{#N/A,#N/A,FALSE,"balance";#N/A,#N/A,FALSE,"PYG"}</definedName>
    <definedName name="________R" hidden="1">{#N/A,#N/A,FALSE,"GRAFICO";#N/A,#N/A,FALSE,"CAJA (2)";#N/A,#N/A,FALSE,"TERCEROS-PROMEDIO";#N/A,#N/A,FALSE,"CAJA";#N/A,#N/A,FALSE,"INGRESOS1995-2003";#N/A,#N/A,FALSE,"GASTOS1995-2003"}</definedName>
    <definedName name="_______GGF2" localSheetId="1" hidden="1">{#N/A,#N/A,FALSE,"balance";#N/A,#N/A,FALSE,"PYG"}</definedName>
    <definedName name="_______GGF2" localSheetId="4" hidden="1">{#N/A,#N/A,FALSE,"balance";#N/A,#N/A,FALSE,"PYG"}</definedName>
    <definedName name="_______GGF2" localSheetId="0" hidden="1">{#N/A,#N/A,FALSE,"balance";#N/A,#N/A,FALSE,"PYG"}</definedName>
    <definedName name="_______GGF2" localSheetId="3" hidden="1">{#N/A,#N/A,FALSE,"balance";#N/A,#N/A,FALSE,"PYG"}</definedName>
    <definedName name="_______GGF2" localSheetId="2" hidden="1">{#N/A,#N/A,FALSE,"balance";#N/A,#N/A,FALSE,"PYG"}</definedName>
    <definedName name="_______GGF2" hidden="1">{#N/A,#N/A,FALSE,"balance";#N/A,#N/A,FALSE,"PYG"}</definedName>
    <definedName name="_______new1" hidden="1">{#N/A,#N/A,FALSE,"SMT1";#N/A,#N/A,FALSE,"SMT2";#N/A,#N/A,FALSE,"Summary";#N/A,#N/A,FALSE,"Graphs";#N/A,#N/A,FALSE,"4 Panel"}</definedName>
    <definedName name="_______New15" hidden="1">{"EVA",#N/A,FALSE,"SMT2";#N/A,#N/A,FALSE,"Summary";#N/A,#N/A,FALSE,"Graphs";#N/A,#N/A,FALSE,"4 Panel"}</definedName>
    <definedName name="_______New16" hidden="1">{#N/A,#N/A,FALSE,"SMT1";#N/A,#N/A,FALSE,"SMT2";#N/A,#N/A,FALSE,"Summary";#N/A,#N/A,FALSE,"Graphs";#N/A,#N/A,FALSE,"4 Panel"}</definedName>
    <definedName name="_______New17" hidden="1">{#N/A,#N/A,FALSE,"SMT1";#N/A,#N/A,FALSE,"SMT2";#N/A,#N/A,FALSE,"Summary";#N/A,#N/A,FALSE,"Graphs";#N/A,#N/A,FALSE,"4 Panel"}</definedName>
    <definedName name="_______New18" hidden="1">{#N/A,#N/A,FALSE,"Full";#N/A,#N/A,FALSE,"Half";#N/A,#N/A,FALSE,"Op Expenses";#N/A,#N/A,FALSE,"Cap Charge";#N/A,#N/A,FALSE,"Cost C";#N/A,#N/A,FALSE,"PP&amp;E";#N/A,#N/A,FALSE,"R&amp;D"}</definedName>
    <definedName name="_______New19" hidden="1">{"EVA",#N/A,FALSE,"SMT2";#N/A,#N/A,FALSE,"Summary";#N/A,#N/A,FALSE,"Graphs";#N/A,#N/A,FALSE,"4 Panel"}</definedName>
    <definedName name="_______New20" hidden="1">{#N/A,#N/A,FALSE,"SMT1";#N/A,#N/A,FALSE,"SMT2";#N/A,#N/A,FALSE,"Summary";#N/A,#N/A,FALSE,"Graphs";#N/A,#N/A,FALSE,"4 Panel"}</definedName>
    <definedName name="_______New21" hidden="1">{#N/A,#N/A,FALSE,"Full";#N/A,#N/A,FALSE,"Half";#N/A,#N/A,FALSE,"Op Expenses";#N/A,#N/A,FALSE,"Cap Charge";#N/A,#N/A,FALSE,"Cost C";#N/A,#N/A,FALSE,"PP&amp;E";#N/A,#N/A,FALSE,"R&amp;D"}</definedName>
    <definedName name="_______NEW3" hidden="1">{#N/A,#N/A,FALSE,"SMT1";#N/A,#N/A,FALSE,"SMT2";#N/A,#N/A,FALSE,"Summary";#N/A,#N/A,FALSE,"Graphs";#N/A,#N/A,FALSE,"4 Panel"}</definedName>
    <definedName name="_______nEW30" hidden="1">{"EVA",#N/A,FALSE,"SMT2";#N/A,#N/A,FALSE,"Summary";#N/A,#N/A,FALSE,"Graphs";#N/A,#N/A,FALSE,"4 Panel"}</definedName>
    <definedName name="_______New31" hidden="1">{#N/A,#N/A,FALSE,"SMT1";#N/A,#N/A,FALSE,"SMT2";#N/A,#N/A,FALSE,"Summary";#N/A,#N/A,FALSE,"Graphs";#N/A,#N/A,FALSE,"4 Panel"}</definedName>
    <definedName name="_______New32" hidden="1">{#N/A,#N/A,FALSE,"SMT1";#N/A,#N/A,FALSE,"SMT2";#N/A,#N/A,FALSE,"Summary";#N/A,#N/A,FALSE,"Graphs";#N/A,#N/A,FALSE,"4 Panel"}</definedName>
    <definedName name="_______New33" hidden="1">{#N/A,#N/A,FALSE,"Full";#N/A,#N/A,FALSE,"Half";#N/A,#N/A,FALSE,"Op Expenses";#N/A,#N/A,FALSE,"Cap Charge";#N/A,#N/A,FALSE,"Cost C";#N/A,#N/A,FALSE,"PP&amp;E";#N/A,#N/A,FALSE,"R&amp;D"}</definedName>
    <definedName name="_______New34" hidden="1">{"EVA",#N/A,FALSE,"SMT2";#N/A,#N/A,FALSE,"Summary";#N/A,#N/A,FALSE,"Graphs";#N/A,#N/A,FALSE,"4 Panel"}</definedName>
    <definedName name="_______New35" hidden="1">{#N/A,#N/A,FALSE,"SMT1";#N/A,#N/A,FALSE,"SMT2";#N/A,#N/A,FALSE,"Summary";#N/A,#N/A,FALSE,"Graphs";#N/A,#N/A,FALSE,"4 Panel"}</definedName>
    <definedName name="_______New36" hidden="1">{#N/A,#N/A,FALSE,"Full";#N/A,#N/A,FALSE,"Half";#N/A,#N/A,FALSE,"Op Expenses";#N/A,#N/A,FALSE,"Cap Charge";#N/A,#N/A,FALSE,"Cost C";#N/A,#N/A,FALSE,"PP&amp;E";#N/A,#N/A,FALSE,"R&amp;D"}</definedName>
    <definedName name="_______NEW4" hidden="1">{#N/A,#N/A,FALSE,"Full";#N/A,#N/A,FALSE,"Half";#N/A,#N/A,FALSE,"Op Expenses";#N/A,#N/A,FALSE,"Cap Charge";#N/A,#N/A,FALSE,"Cost C";#N/A,#N/A,FALSE,"PP&amp;E";#N/A,#N/A,FALSE,"R&amp;D"}</definedName>
    <definedName name="_______OCT2" localSheetId="1" hidden="1">{#N/A,#N/A,FALSE,"BL&amp;GPA";#N/A,#N/A,FALSE,"Summary";#N/A,#N/A,FALSE,"hts"}</definedName>
    <definedName name="_______OCT2" localSheetId="4" hidden="1">{#N/A,#N/A,FALSE,"BL&amp;GPA";#N/A,#N/A,FALSE,"Summary";#N/A,#N/A,FALSE,"hts"}</definedName>
    <definedName name="_______OCT2" localSheetId="0" hidden="1">{#N/A,#N/A,FALSE,"BL&amp;GPA";#N/A,#N/A,FALSE,"Summary";#N/A,#N/A,FALSE,"hts"}</definedName>
    <definedName name="_______OCT2" localSheetId="3" hidden="1">{#N/A,#N/A,FALSE,"BL&amp;GPA";#N/A,#N/A,FALSE,"Summary";#N/A,#N/A,FALSE,"hts"}</definedName>
    <definedName name="_______OCT2" localSheetId="2" hidden="1">{#N/A,#N/A,FALSE,"BL&amp;GPA";#N/A,#N/A,FALSE,"Summary";#N/A,#N/A,FALSE,"hts"}</definedName>
    <definedName name="_______OCT2" hidden="1">{#N/A,#N/A,FALSE,"BL&amp;GPA";#N/A,#N/A,FALSE,"Summary";#N/A,#N/A,FALSE,"hts"}</definedName>
    <definedName name="_______ok1" localSheetId="1" hidden="1">{#N/A,#N/A,FALSE,"balance";#N/A,#N/A,FALSE,"PYG"}</definedName>
    <definedName name="_______ok1" localSheetId="4" hidden="1">{#N/A,#N/A,FALSE,"balance";#N/A,#N/A,FALSE,"PYG"}</definedName>
    <definedName name="_______ok1" localSheetId="0" hidden="1">{#N/A,#N/A,FALSE,"balance";#N/A,#N/A,FALSE,"PYG"}</definedName>
    <definedName name="_______ok1" localSheetId="3" hidden="1">{#N/A,#N/A,FALSE,"balance";#N/A,#N/A,FALSE,"PYG"}</definedName>
    <definedName name="_______ok1" localSheetId="2" hidden="1">{#N/A,#N/A,FALSE,"balance";#N/A,#N/A,FALSE,"PYG"}</definedName>
    <definedName name="_______ok1" hidden="1">{#N/A,#N/A,FALSE,"balance";#N/A,#N/A,FALSE,"PYG"}</definedName>
    <definedName name="_______Ok2" localSheetId="1" hidden="1">{#N/A,#N/A,FALSE,"balance";#N/A,#N/A,FALSE,"PYG"}</definedName>
    <definedName name="_______Ok2" localSheetId="4" hidden="1">{#N/A,#N/A,FALSE,"balance";#N/A,#N/A,FALSE,"PYG"}</definedName>
    <definedName name="_______Ok2" localSheetId="0" hidden="1">{#N/A,#N/A,FALSE,"balance";#N/A,#N/A,FALSE,"PYG"}</definedName>
    <definedName name="_______Ok2" localSheetId="3" hidden="1">{#N/A,#N/A,FALSE,"balance";#N/A,#N/A,FALSE,"PYG"}</definedName>
    <definedName name="_______Ok2" localSheetId="2" hidden="1">{#N/A,#N/A,FALSE,"balance";#N/A,#N/A,FALSE,"PYG"}</definedName>
    <definedName name="_______Ok2" hidden="1">{#N/A,#N/A,FALSE,"balance";#N/A,#N/A,FALSE,"PYG"}</definedName>
    <definedName name="_______PyG2" localSheetId="1" hidden="1">{#N/A,#N/A,FALSE,"balance";#N/A,#N/A,FALSE,"PYG"}</definedName>
    <definedName name="_______PyG2" localSheetId="4" hidden="1">{#N/A,#N/A,FALSE,"balance";#N/A,#N/A,FALSE,"PYG"}</definedName>
    <definedName name="_______PyG2" localSheetId="0" hidden="1">{#N/A,#N/A,FALSE,"balance";#N/A,#N/A,FALSE,"PYG"}</definedName>
    <definedName name="_______PyG2" localSheetId="3" hidden="1">{#N/A,#N/A,FALSE,"balance";#N/A,#N/A,FALSE,"PYG"}</definedName>
    <definedName name="_______PyG2" localSheetId="2" hidden="1">{#N/A,#N/A,FALSE,"balance";#N/A,#N/A,FALSE,"PYG"}</definedName>
    <definedName name="_______PyG2" hidden="1">{#N/A,#N/A,FALSE,"balance";#N/A,#N/A,FALSE,"PYG"}</definedName>
    <definedName name="_______PYG3" localSheetId="1" hidden="1">{#N/A,#N/A,FALSE,"balance";#N/A,#N/A,FALSE,"PYG"}</definedName>
    <definedName name="_______PYG3" localSheetId="4" hidden="1">{#N/A,#N/A,FALSE,"balance";#N/A,#N/A,FALSE,"PYG"}</definedName>
    <definedName name="_______PYG3" localSheetId="0" hidden="1">{#N/A,#N/A,FALSE,"balance";#N/A,#N/A,FALSE,"PYG"}</definedName>
    <definedName name="_______PYG3" localSheetId="3" hidden="1">{#N/A,#N/A,FALSE,"balance";#N/A,#N/A,FALSE,"PYG"}</definedName>
    <definedName name="_______PYG3" localSheetId="2" hidden="1">{#N/A,#N/A,FALSE,"balance";#N/A,#N/A,FALSE,"PYG"}</definedName>
    <definedName name="_______PYG3" hidden="1">{#N/A,#N/A,FALSE,"balance";#N/A,#N/A,FALSE,"PYG"}</definedName>
    <definedName name="_______PyG33" localSheetId="1" hidden="1">{#N/A,#N/A,FALSE,"balance";#N/A,#N/A,FALSE,"PYG"}</definedName>
    <definedName name="_______PyG33" localSheetId="4" hidden="1">{#N/A,#N/A,FALSE,"balance";#N/A,#N/A,FALSE,"PYG"}</definedName>
    <definedName name="_______PyG33" localSheetId="0" hidden="1">{#N/A,#N/A,FALSE,"balance";#N/A,#N/A,FALSE,"PYG"}</definedName>
    <definedName name="_______PyG33" localSheetId="3" hidden="1">{#N/A,#N/A,FALSE,"balance";#N/A,#N/A,FALSE,"PYG"}</definedName>
    <definedName name="_______PyG33" localSheetId="2" hidden="1">{#N/A,#N/A,FALSE,"balance";#N/A,#N/A,FALSE,"PYG"}</definedName>
    <definedName name="_______PyG33" hidden="1">{#N/A,#N/A,FALSE,"balance";#N/A,#N/A,FALSE,"PYG"}</definedName>
    <definedName name="_______PYG4" hidden="1">{#N/A,#N/A,FALSE,"balance";#N/A,#N/A,FALSE,"PYG"}</definedName>
    <definedName name="_______R" hidden="1">{#N/A,#N/A,FALSE,"GRAFICO";#N/A,#N/A,FALSE,"CAJA (2)";#N/A,#N/A,FALSE,"TERCEROS-PROMEDIO";#N/A,#N/A,FALSE,"CAJA";#N/A,#N/A,FALSE,"INGRESOS1995-2003";#N/A,#N/A,FALSE,"GASTOS1995-2003"}</definedName>
    <definedName name="______GGF2" localSheetId="6" hidden="1">{#N/A,#N/A,FALSE,"balance";#N/A,#N/A,FALSE,"PYG"}</definedName>
    <definedName name="______GGF2" localSheetId="1" hidden="1">{#N/A,#N/A,FALSE,"balance";#N/A,#N/A,FALSE,"PYG"}</definedName>
    <definedName name="______GGF2" localSheetId="4" hidden="1">{#N/A,#N/A,FALSE,"balance";#N/A,#N/A,FALSE,"PYG"}</definedName>
    <definedName name="______GGF2" localSheetId="0" hidden="1">{#N/A,#N/A,FALSE,"balance";#N/A,#N/A,FALSE,"PYG"}</definedName>
    <definedName name="______GGF2" localSheetId="3" hidden="1">{#N/A,#N/A,FALSE,"balance";#N/A,#N/A,FALSE,"PYG"}</definedName>
    <definedName name="______GGF2" localSheetId="2" hidden="1">{#N/A,#N/A,FALSE,"balance";#N/A,#N/A,FALSE,"PYG"}</definedName>
    <definedName name="______GGF2" localSheetId="5" hidden="1">{#N/A,#N/A,FALSE,"balance";#N/A,#N/A,FALSE,"PYG"}</definedName>
    <definedName name="______GGF2" localSheetId="7" hidden="1">{#N/A,#N/A,FALSE,"balance";#N/A,#N/A,FALSE,"PYG"}</definedName>
    <definedName name="______GGF2" hidden="1">{#N/A,#N/A,FALSE,"balance";#N/A,#N/A,FALSE,"PYG"}</definedName>
    <definedName name="______new1" hidden="1">{#N/A,#N/A,FALSE,"SMT1";#N/A,#N/A,FALSE,"SMT2";#N/A,#N/A,FALSE,"Summary";#N/A,#N/A,FALSE,"Graphs";#N/A,#N/A,FALSE,"4 Panel"}</definedName>
    <definedName name="______New15" hidden="1">{"EVA",#N/A,FALSE,"SMT2";#N/A,#N/A,FALSE,"Summary";#N/A,#N/A,FALSE,"Graphs";#N/A,#N/A,FALSE,"4 Panel"}</definedName>
    <definedName name="______New16" hidden="1">{#N/A,#N/A,FALSE,"SMT1";#N/A,#N/A,FALSE,"SMT2";#N/A,#N/A,FALSE,"Summary";#N/A,#N/A,FALSE,"Graphs";#N/A,#N/A,FALSE,"4 Panel"}</definedName>
    <definedName name="______New17" hidden="1">{#N/A,#N/A,FALSE,"SMT1";#N/A,#N/A,FALSE,"SMT2";#N/A,#N/A,FALSE,"Summary";#N/A,#N/A,FALSE,"Graphs";#N/A,#N/A,FALSE,"4 Panel"}</definedName>
    <definedName name="______New18" hidden="1">{#N/A,#N/A,FALSE,"Full";#N/A,#N/A,FALSE,"Half";#N/A,#N/A,FALSE,"Op Expenses";#N/A,#N/A,FALSE,"Cap Charge";#N/A,#N/A,FALSE,"Cost C";#N/A,#N/A,FALSE,"PP&amp;E";#N/A,#N/A,FALSE,"R&amp;D"}</definedName>
    <definedName name="______New19" hidden="1">{"EVA",#N/A,FALSE,"SMT2";#N/A,#N/A,FALSE,"Summary";#N/A,#N/A,FALSE,"Graphs";#N/A,#N/A,FALSE,"4 Panel"}</definedName>
    <definedName name="______New20" hidden="1">{#N/A,#N/A,FALSE,"SMT1";#N/A,#N/A,FALSE,"SMT2";#N/A,#N/A,FALSE,"Summary";#N/A,#N/A,FALSE,"Graphs";#N/A,#N/A,FALSE,"4 Panel"}</definedName>
    <definedName name="______New21" hidden="1">{#N/A,#N/A,FALSE,"Full";#N/A,#N/A,FALSE,"Half";#N/A,#N/A,FALSE,"Op Expenses";#N/A,#N/A,FALSE,"Cap Charge";#N/A,#N/A,FALSE,"Cost C";#N/A,#N/A,FALSE,"PP&amp;E";#N/A,#N/A,FALSE,"R&amp;D"}</definedName>
    <definedName name="______NEW3" hidden="1">{#N/A,#N/A,FALSE,"SMT1";#N/A,#N/A,FALSE,"SMT2";#N/A,#N/A,FALSE,"Summary";#N/A,#N/A,FALSE,"Graphs";#N/A,#N/A,FALSE,"4 Panel"}</definedName>
    <definedName name="______nEW30" hidden="1">{"EVA",#N/A,FALSE,"SMT2";#N/A,#N/A,FALSE,"Summary";#N/A,#N/A,FALSE,"Graphs";#N/A,#N/A,FALSE,"4 Panel"}</definedName>
    <definedName name="______New31" hidden="1">{#N/A,#N/A,FALSE,"SMT1";#N/A,#N/A,FALSE,"SMT2";#N/A,#N/A,FALSE,"Summary";#N/A,#N/A,FALSE,"Graphs";#N/A,#N/A,FALSE,"4 Panel"}</definedName>
    <definedName name="______New32" hidden="1">{#N/A,#N/A,FALSE,"SMT1";#N/A,#N/A,FALSE,"SMT2";#N/A,#N/A,FALSE,"Summary";#N/A,#N/A,FALSE,"Graphs";#N/A,#N/A,FALSE,"4 Panel"}</definedName>
    <definedName name="______New33" hidden="1">{#N/A,#N/A,FALSE,"Full";#N/A,#N/A,FALSE,"Half";#N/A,#N/A,FALSE,"Op Expenses";#N/A,#N/A,FALSE,"Cap Charge";#N/A,#N/A,FALSE,"Cost C";#N/A,#N/A,FALSE,"PP&amp;E";#N/A,#N/A,FALSE,"R&amp;D"}</definedName>
    <definedName name="______New34" hidden="1">{"EVA",#N/A,FALSE,"SMT2";#N/A,#N/A,FALSE,"Summary";#N/A,#N/A,FALSE,"Graphs";#N/A,#N/A,FALSE,"4 Panel"}</definedName>
    <definedName name="______New35" hidden="1">{#N/A,#N/A,FALSE,"SMT1";#N/A,#N/A,FALSE,"SMT2";#N/A,#N/A,FALSE,"Summary";#N/A,#N/A,FALSE,"Graphs";#N/A,#N/A,FALSE,"4 Panel"}</definedName>
    <definedName name="______New36" hidden="1">{#N/A,#N/A,FALSE,"Full";#N/A,#N/A,FALSE,"Half";#N/A,#N/A,FALSE,"Op Expenses";#N/A,#N/A,FALSE,"Cap Charge";#N/A,#N/A,FALSE,"Cost C";#N/A,#N/A,FALSE,"PP&amp;E";#N/A,#N/A,FALSE,"R&amp;D"}</definedName>
    <definedName name="______NEW4" hidden="1">{#N/A,#N/A,FALSE,"Full";#N/A,#N/A,FALSE,"Half";#N/A,#N/A,FALSE,"Op Expenses";#N/A,#N/A,FALSE,"Cap Charge";#N/A,#N/A,FALSE,"Cost C";#N/A,#N/A,FALSE,"PP&amp;E";#N/A,#N/A,FALSE,"R&amp;D"}</definedName>
    <definedName name="______OCT2" localSheetId="6" hidden="1">{#N/A,#N/A,FALSE,"BL&amp;GPA";#N/A,#N/A,FALSE,"Summary";#N/A,#N/A,FALSE,"hts"}</definedName>
    <definedName name="______OCT2" localSheetId="1" hidden="1">{#N/A,#N/A,FALSE,"BL&amp;GPA";#N/A,#N/A,FALSE,"Summary";#N/A,#N/A,FALSE,"hts"}</definedName>
    <definedName name="______OCT2" localSheetId="4" hidden="1">{#N/A,#N/A,FALSE,"BL&amp;GPA";#N/A,#N/A,FALSE,"Summary";#N/A,#N/A,FALSE,"hts"}</definedName>
    <definedName name="______OCT2" localSheetId="0" hidden="1">{#N/A,#N/A,FALSE,"BL&amp;GPA";#N/A,#N/A,FALSE,"Summary";#N/A,#N/A,FALSE,"hts"}</definedName>
    <definedName name="______OCT2" localSheetId="3" hidden="1">{#N/A,#N/A,FALSE,"BL&amp;GPA";#N/A,#N/A,FALSE,"Summary";#N/A,#N/A,FALSE,"hts"}</definedName>
    <definedName name="______OCT2" localSheetId="2" hidden="1">{#N/A,#N/A,FALSE,"BL&amp;GPA";#N/A,#N/A,FALSE,"Summary";#N/A,#N/A,FALSE,"hts"}</definedName>
    <definedName name="______OCT2" localSheetId="5" hidden="1">{#N/A,#N/A,FALSE,"BL&amp;GPA";#N/A,#N/A,FALSE,"Summary";#N/A,#N/A,FALSE,"hts"}</definedName>
    <definedName name="______OCT2" localSheetId="7" hidden="1">{#N/A,#N/A,FALSE,"BL&amp;GPA";#N/A,#N/A,FALSE,"Summary";#N/A,#N/A,FALSE,"hts"}</definedName>
    <definedName name="______OCT2" hidden="1">{#N/A,#N/A,FALSE,"BL&amp;GPA";#N/A,#N/A,FALSE,"Summary";#N/A,#N/A,FALSE,"hts"}</definedName>
    <definedName name="______ok1" localSheetId="6" hidden="1">{#N/A,#N/A,FALSE,"balance";#N/A,#N/A,FALSE,"PYG"}</definedName>
    <definedName name="______ok1" localSheetId="1" hidden="1">{#N/A,#N/A,FALSE,"balance";#N/A,#N/A,FALSE,"PYG"}</definedName>
    <definedName name="______ok1" localSheetId="4" hidden="1">{#N/A,#N/A,FALSE,"balance";#N/A,#N/A,FALSE,"PYG"}</definedName>
    <definedName name="______ok1" localSheetId="0" hidden="1">{#N/A,#N/A,FALSE,"balance";#N/A,#N/A,FALSE,"PYG"}</definedName>
    <definedName name="______ok1" localSheetId="3" hidden="1">{#N/A,#N/A,FALSE,"balance";#N/A,#N/A,FALSE,"PYG"}</definedName>
    <definedName name="______ok1" localSheetId="2" hidden="1">{#N/A,#N/A,FALSE,"balance";#N/A,#N/A,FALSE,"PYG"}</definedName>
    <definedName name="______ok1" localSheetId="5" hidden="1">{#N/A,#N/A,FALSE,"balance";#N/A,#N/A,FALSE,"PYG"}</definedName>
    <definedName name="______ok1" localSheetId="7" hidden="1">{#N/A,#N/A,FALSE,"balance";#N/A,#N/A,FALSE,"PYG"}</definedName>
    <definedName name="______ok1" hidden="1">{#N/A,#N/A,FALSE,"balance";#N/A,#N/A,FALSE,"PYG"}</definedName>
    <definedName name="______Ok2" localSheetId="6" hidden="1">{#N/A,#N/A,FALSE,"balance";#N/A,#N/A,FALSE,"PYG"}</definedName>
    <definedName name="______Ok2" localSheetId="1" hidden="1">{#N/A,#N/A,FALSE,"balance";#N/A,#N/A,FALSE,"PYG"}</definedName>
    <definedName name="______Ok2" localSheetId="4" hidden="1">{#N/A,#N/A,FALSE,"balance";#N/A,#N/A,FALSE,"PYG"}</definedName>
    <definedName name="______Ok2" localSheetId="0" hidden="1">{#N/A,#N/A,FALSE,"balance";#N/A,#N/A,FALSE,"PYG"}</definedName>
    <definedName name="______Ok2" localSheetId="3" hidden="1">{#N/A,#N/A,FALSE,"balance";#N/A,#N/A,FALSE,"PYG"}</definedName>
    <definedName name="______Ok2" localSheetId="2" hidden="1">{#N/A,#N/A,FALSE,"balance";#N/A,#N/A,FALSE,"PYG"}</definedName>
    <definedName name="______Ok2" localSheetId="5" hidden="1">{#N/A,#N/A,FALSE,"balance";#N/A,#N/A,FALSE,"PYG"}</definedName>
    <definedName name="______Ok2" localSheetId="7" hidden="1">{#N/A,#N/A,FALSE,"balance";#N/A,#N/A,FALSE,"PYG"}</definedName>
    <definedName name="______Ok2" hidden="1">{#N/A,#N/A,FALSE,"balance";#N/A,#N/A,FALSE,"PYG"}</definedName>
    <definedName name="______PyG2" localSheetId="6" hidden="1">{#N/A,#N/A,FALSE,"balance";#N/A,#N/A,FALSE,"PYG"}</definedName>
    <definedName name="______PyG2" localSheetId="1" hidden="1">{#N/A,#N/A,FALSE,"balance";#N/A,#N/A,FALSE,"PYG"}</definedName>
    <definedName name="______PyG2" localSheetId="4" hidden="1">{#N/A,#N/A,FALSE,"balance";#N/A,#N/A,FALSE,"PYG"}</definedName>
    <definedName name="______PyG2" localSheetId="0" hidden="1">{#N/A,#N/A,FALSE,"balance";#N/A,#N/A,FALSE,"PYG"}</definedName>
    <definedName name="______PyG2" localSheetId="3" hidden="1">{#N/A,#N/A,FALSE,"balance";#N/A,#N/A,FALSE,"PYG"}</definedName>
    <definedName name="______PyG2" localSheetId="2" hidden="1">{#N/A,#N/A,FALSE,"balance";#N/A,#N/A,FALSE,"PYG"}</definedName>
    <definedName name="______PyG2" localSheetId="5" hidden="1">{#N/A,#N/A,FALSE,"balance";#N/A,#N/A,FALSE,"PYG"}</definedName>
    <definedName name="______PyG2" localSheetId="7" hidden="1">{#N/A,#N/A,FALSE,"balance";#N/A,#N/A,FALSE,"PYG"}</definedName>
    <definedName name="______PyG2" hidden="1">{#N/A,#N/A,FALSE,"balance";#N/A,#N/A,FALSE,"PYG"}</definedName>
    <definedName name="______PYG3" localSheetId="6" hidden="1">{#N/A,#N/A,FALSE,"balance";#N/A,#N/A,FALSE,"PYG"}</definedName>
    <definedName name="______PYG3" localSheetId="1" hidden="1">{#N/A,#N/A,FALSE,"balance";#N/A,#N/A,FALSE,"PYG"}</definedName>
    <definedName name="______PYG3" localSheetId="4" hidden="1">{#N/A,#N/A,FALSE,"balance";#N/A,#N/A,FALSE,"PYG"}</definedName>
    <definedName name="______PYG3" localSheetId="0" hidden="1">{#N/A,#N/A,FALSE,"balance";#N/A,#N/A,FALSE,"PYG"}</definedName>
    <definedName name="______PYG3" localSheetId="3" hidden="1">{#N/A,#N/A,FALSE,"balance";#N/A,#N/A,FALSE,"PYG"}</definedName>
    <definedName name="______PYG3" localSheetId="2" hidden="1">{#N/A,#N/A,FALSE,"balance";#N/A,#N/A,FALSE,"PYG"}</definedName>
    <definedName name="______PYG3" localSheetId="5" hidden="1">{#N/A,#N/A,FALSE,"balance";#N/A,#N/A,FALSE,"PYG"}</definedName>
    <definedName name="______PYG3" localSheetId="7" hidden="1">{#N/A,#N/A,FALSE,"balance";#N/A,#N/A,FALSE,"PYG"}</definedName>
    <definedName name="______PYG3" hidden="1">{#N/A,#N/A,FALSE,"balance";#N/A,#N/A,FALSE,"PYG"}</definedName>
    <definedName name="______PyG33" localSheetId="6" hidden="1">{#N/A,#N/A,FALSE,"balance";#N/A,#N/A,FALSE,"PYG"}</definedName>
    <definedName name="______PyG33" localSheetId="1" hidden="1">{#N/A,#N/A,FALSE,"balance";#N/A,#N/A,FALSE,"PYG"}</definedName>
    <definedName name="______PyG33" localSheetId="4" hidden="1">{#N/A,#N/A,FALSE,"balance";#N/A,#N/A,FALSE,"PYG"}</definedName>
    <definedName name="______PyG33" localSheetId="0" hidden="1">{#N/A,#N/A,FALSE,"balance";#N/A,#N/A,FALSE,"PYG"}</definedName>
    <definedName name="______PyG33" localSheetId="3" hidden="1">{#N/A,#N/A,FALSE,"balance";#N/A,#N/A,FALSE,"PYG"}</definedName>
    <definedName name="______PyG33" localSheetId="2" hidden="1">{#N/A,#N/A,FALSE,"balance";#N/A,#N/A,FALSE,"PYG"}</definedName>
    <definedName name="______PyG33" localSheetId="5" hidden="1">{#N/A,#N/A,FALSE,"balance";#N/A,#N/A,FALSE,"PYG"}</definedName>
    <definedName name="______PyG33" localSheetId="7" hidden="1">{#N/A,#N/A,FALSE,"balance";#N/A,#N/A,FALSE,"PYG"}</definedName>
    <definedName name="______PyG33" hidden="1">{#N/A,#N/A,FALSE,"balance";#N/A,#N/A,FALSE,"PYG"}</definedName>
    <definedName name="______PYG4" hidden="1">{#N/A,#N/A,FALSE,"balance";#N/A,#N/A,FALSE,"PYG"}</definedName>
    <definedName name="______R" hidden="1">{#N/A,#N/A,FALSE,"GRAFICO";#N/A,#N/A,FALSE,"CAJA (2)";#N/A,#N/A,FALSE,"TERCEROS-PROMEDIO";#N/A,#N/A,FALSE,"CAJA";#N/A,#N/A,FALSE,"INGRESOS1995-2003";#N/A,#N/A,FALSE,"GASTOS1995-2003"}</definedName>
    <definedName name="_____GGF2" localSheetId="1" hidden="1">{#N/A,#N/A,FALSE,"balance";#N/A,#N/A,FALSE,"PYG"}</definedName>
    <definedName name="_____GGF2" localSheetId="4" hidden="1">{#N/A,#N/A,FALSE,"balance";#N/A,#N/A,FALSE,"PYG"}</definedName>
    <definedName name="_____GGF2" localSheetId="0" hidden="1">{#N/A,#N/A,FALSE,"balance";#N/A,#N/A,FALSE,"PYG"}</definedName>
    <definedName name="_____GGF2" localSheetId="3" hidden="1">{#N/A,#N/A,FALSE,"balance";#N/A,#N/A,FALSE,"PYG"}</definedName>
    <definedName name="_____GGF2" localSheetId="2" hidden="1">{#N/A,#N/A,FALSE,"balance";#N/A,#N/A,FALSE,"PYG"}</definedName>
    <definedName name="_____GGF2" hidden="1">{#N/A,#N/A,FALSE,"balance";#N/A,#N/A,FALSE,"PYG"}</definedName>
    <definedName name="_____new1" hidden="1">{#N/A,#N/A,FALSE,"SMT1";#N/A,#N/A,FALSE,"SMT2";#N/A,#N/A,FALSE,"Summary";#N/A,#N/A,FALSE,"Graphs";#N/A,#N/A,FALSE,"4 Panel"}</definedName>
    <definedName name="_____New15" hidden="1">{"EVA",#N/A,FALSE,"SMT2";#N/A,#N/A,FALSE,"Summary";#N/A,#N/A,FALSE,"Graphs";#N/A,#N/A,FALSE,"4 Panel"}</definedName>
    <definedName name="_____New16" hidden="1">{#N/A,#N/A,FALSE,"SMT1";#N/A,#N/A,FALSE,"SMT2";#N/A,#N/A,FALSE,"Summary";#N/A,#N/A,FALSE,"Graphs";#N/A,#N/A,FALSE,"4 Panel"}</definedName>
    <definedName name="_____New17" hidden="1">{#N/A,#N/A,FALSE,"SMT1";#N/A,#N/A,FALSE,"SMT2";#N/A,#N/A,FALSE,"Summary";#N/A,#N/A,FALSE,"Graphs";#N/A,#N/A,FALSE,"4 Panel"}</definedName>
    <definedName name="_____New18" hidden="1">{#N/A,#N/A,FALSE,"Full";#N/A,#N/A,FALSE,"Half";#N/A,#N/A,FALSE,"Op Expenses";#N/A,#N/A,FALSE,"Cap Charge";#N/A,#N/A,FALSE,"Cost C";#N/A,#N/A,FALSE,"PP&amp;E";#N/A,#N/A,FALSE,"R&amp;D"}</definedName>
    <definedName name="_____New19" hidden="1">{"EVA",#N/A,FALSE,"SMT2";#N/A,#N/A,FALSE,"Summary";#N/A,#N/A,FALSE,"Graphs";#N/A,#N/A,FALSE,"4 Panel"}</definedName>
    <definedName name="_____New20" hidden="1">{#N/A,#N/A,FALSE,"SMT1";#N/A,#N/A,FALSE,"SMT2";#N/A,#N/A,FALSE,"Summary";#N/A,#N/A,FALSE,"Graphs";#N/A,#N/A,FALSE,"4 Panel"}</definedName>
    <definedName name="_____New21" hidden="1">{#N/A,#N/A,FALSE,"Full";#N/A,#N/A,FALSE,"Half";#N/A,#N/A,FALSE,"Op Expenses";#N/A,#N/A,FALSE,"Cap Charge";#N/A,#N/A,FALSE,"Cost C";#N/A,#N/A,FALSE,"PP&amp;E";#N/A,#N/A,FALSE,"R&amp;D"}</definedName>
    <definedName name="_____NEW3" hidden="1">{#N/A,#N/A,FALSE,"SMT1";#N/A,#N/A,FALSE,"SMT2";#N/A,#N/A,FALSE,"Summary";#N/A,#N/A,FALSE,"Graphs";#N/A,#N/A,FALSE,"4 Panel"}</definedName>
    <definedName name="_____nEW30" hidden="1">{"EVA",#N/A,FALSE,"SMT2";#N/A,#N/A,FALSE,"Summary";#N/A,#N/A,FALSE,"Graphs";#N/A,#N/A,FALSE,"4 Panel"}</definedName>
    <definedName name="_____New31" hidden="1">{#N/A,#N/A,FALSE,"SMT1";#N/A,#N/A,FALSE,"SMT2";#N/A,#N/A,FALSE,"Summary";#N/A,#N/A,FALSE,"Graphs";#N/A,#N/A,FALSE,"4 Panel"}</definedName>
    <definedName name="_____New32" hidden="1">{#N/A,#N/A,FALSE,"SMT1";#N/A,#N/A,FALSE,"SMT2";#N/A,#N/A,FALSE,"Summary";#N/A,#N/A,FALSE,"Graphs";#N/A,#N/A,FALSE,"4 Panel"}</definedName>
    <definedName name="_____New33" hidden="1">{#N/A,#N/A,FALSE,"Full";#N/A,#N/A,FALSE,"Half";#N/A,#N/A,FALSE,"Op Expenses";#N/A,#N/A,FALSE,"Cap Charge";#N/A,#N/A,FALSE,"Cost C";#N/A,#N/A,FALSE,"PP&amp;E";#N/A,#N/A,FALSE,"R&amp;D"}</definedName>
    <definedName name="_____New34" hidden="1">{"EVA",#N/A,FALSE,"SMT2";#N/A,#N/A,FALSE,"Summary";#N/A,#N/A,FALSE,"Graphs";#N/A,#N/A,FALSE,"4 Panel"}</definedName>
    <definedName name="_____New35" hidden="1">{#N/A,#N/A,FALSE,"SMT1";#N/A,#N/A,FALSE,"SMT2";#N/A,#N/A,FALSE,"Summary";#N/A,#N/A,FALSE,"Graphs";#N/A,#N/A,FALSE,"4 Panel"}</definedName>
    <definedName name="_____New36" hidden="1">{#N/A,#N/A,FALSE,"Full";#N/A,#N/A,FALSE,"Half";#N/A,#N/A,FALSE,"Op Expenses";#N/A,#N/A,FALSE,"Cap Charge";#N/A,#N/A,FALSE,"Cost C";#N/A,#N/A,FALSE,"PP&amp;E";#N/A,#N/A,FALSE,"R&amp;D"}</definedName>
    <definedName name="_____NEW4" hidden="1">{#N/A,#N/A,FALSE,"Full";#N/A,#N/A,FALSE,"Half";#N/A,#N/A,FALSE,"Op Expenses";#N/A,#N/A,FALSE,"Cap Charge";#N/A,#N/A,FALSE,"Cost C";#N/A,#N/A,FALSE,"PP&amp;E";#N/A,#N/A,FALSE,"R&amp;D"}</definedName>
    <definedName name="_____OCT2" localSheetId="1" hidden="1">{#N/A,#N/A,FALSE,"BL&amp;GPA";#N/A,#N/A,FALSE,"Summary";#N/A,#N/A,FALSE,"hts"}</definedName>
    <definedName name="_____OCT2" localSheetId="4" hidden="1">{#N/A,#N/A,FALSE,"BL&amp;GPA";#N/A,#N/A,FALSE,"Summary";#N/A,#N/A,FALSE,"hts"}</definedName>
    <definedName name="_____OCT2" localSheetId="0" hidden="1">{#N/A,#N/A,FALSE,"BL&amp;GPA";#N/A,#N/A,FALSE,"Summary";#N/A,#N/A,FALSE,"hts"}</definedName>
    <definedName name="_____OCT2" localSheetId="3" hidden="1">{#N/A,#N/A,FALSE,"BL&amp;GPA";#N/A,#N/A,FALSE,"Summary";#N/A,#N/A,FALSE,"hts"}</definedName>
    <definedName name="_____OCT2" localSheetId="2" hidden="1">{#N/A,#N/A,FALSE,"BL&amp;GPA";#N/A,#N/A,FALSE,"Summary";#N/A,#N/A,FALSE,"hts"}</definedName>
    <definedName name="_____OCT2" hidden="1">{#N/A,#N/A,FALSE,"BL&amp;GPA";#N/A,#N/A,FALSE,"Summary";#N/A,#N/A,FALSE,"hts"}</definedName>
    <definedName name="_____ok1" localSheetId="1" hidden="1">{#N/A,#N/A,FALSE,"balance";#N/A,#N/A,FALSE,"PYG"}</definedName>
    <definedName name="_____ok1" localSheetId="4" hidden="1">{#N/A,#N/A,FALSE,"balance";#N/A,#N/A,FALSE,"PYG"}</definedName>
    <definedName name="_____ok1" localSheetId="0" hidden="1">{#N/A,#N/A,FALSE,"balance";#N/A,#N/A,FALSE,"PYG"}</definedName>
    <definedName name="_____ok1" localSheetId="3" hidden="1">{#N/A,#N/A,FALSE,"balance";#N/A,#N/A,FALSE,"PYG"}</definedName>
    <definedName name="_____ok1" localSheetId="2" hidden="1">{#N/A,#N/A,FALSE,"balance";#N/A,#N/A,FALSE,"PYG"}</definedName>
    <definedName name="_____ok1" hidden="1">{#N/A,#N/A,FALSE,"balance";#N/A,#N/A,FALSE,"PYG"}</definedName>
    <definedName name="_____Ok2" localSheetId="1" hidden="1">{#N/A,#N/A,FALSE,"balance";#N/A,#N/A,FALSE,"PYG"}</definedName>
    <definedName name="_____Ok2" localSheetId="4" hidden="1">{#N/A,#N/A,FALSE,"balance";#N/A,#N/A,FALSE,"PYG"}</definedName>
    <definedName name="_____Ok2" localSheetId="0" hidden="1">{#N/A,#N/A,FALSE,"balance";#N/A,#N/A,FALSE,"PYG"}</definedName>
    <definedName name="_____Ok2" localSheetId="3" hidden="1">{#N/A,#N/A,FALSE,"balance";#N/A,#N/A,FALSE,"PYG"}</definedName>
    <definedName name="_____Ok2" localSheetId="2" hidden="1">{#N/A,#N/A,FALSE,"balance";#N/A,#N/A,FALSE,"PYG"}</definedName>
    <definedName name="_____Ok2" hidden="1">{#N/A,#N/A,FALSE,"balance";#N/A,#N/A,FALSE,"PYG"}</definedName>
    <definedName name="_____PyG2" localSheetId="1" hidden="1">{#N/A,#N/A,FALSE,"balance";#N/A,#N/A,FALSE,"PYG"}</definedName>
    <definedName name="_____PyG2" localSheetId="4" hidden="1">{#N/A,#N/A,FALSE,"balance";#N/A,#N/A,FALSE,"PYG"}</definedName>
    <definedName name="_____PyG2" localSheetId="0" hidden="1">{#N/A,#N/A,FALSE,"balance";#N/A,#N/A,FALSE,"PYG"}</definedName>
    <definedName name="_____PyG2" localSheetId="3" hidden="1">{#N/A,#N/A,FALSE,"balance";#N/A,#N/A,FALSE,"PYG"}</definedName>
    <definedName name="_____PyG2" localSheetId="2" hidden="1">{#N/A,#N/A,FALSE,"balance";#N/A,#N/A,FALSE,"PYG"}</definedName>
    <definedName name="_____PyG2" hidden="1">{#N/A,#N/A,FALSE,"balance";#N/A,#N/A,FALSE,"PYG"}</definedName>
    <definedName name="_____PYG3" localSheetId="1" hidden="1">{#N/A,#N/A,FALSE,"balance";#N/A,#N/A,FALSE,"PYG"}</definedName>
    <definedName name="_____PYG3" localSheetId="4" hidden="1">{#N/A,#N/A,FALSE,"balance";#N/A,#N/A,FALSE,"PYG"}</definedName>
    <definedName name="_____PYG3" localSheetId="0" hidden="1">{#N/A,#N/A,FALSE,"balance";#N/A,#N/A,FALSE,"PYG"}</definedName>
    <definedName name="_____PYG3" localSheetId="3" hidden="1">{#N/A,#N/A,FALSE,"balance";#N/A,#N/A,FALSE,"PYG"}</definedName>
    <definedName name="_____PYG3" localSheetId="2" hidden="1">{#N/A,#N/A,FALSE,"balance";#N/A,#N/A,FALSE,"PYG"}</definedName>
    <definedName name="_____PYG3" hidden="1">{#N/A,#N/A,FALSE,"balance";#N/A,#N/A,FALSE,"PYG"}</definedName>
    <definedName name="_____PyG33" localSheetId="1" hidden="1">{#N/A,#N/A,FALSE,"balance";#N/A,#N/A,FALSE,"PYG"}</definedName>
    <definedName name="_____PyG33" localSheetId="4" hidden="1">{#N/A,#N/A,FALSE,"balance";#N/A,#N/A,FALSE,"PYG"}</definedName>
    <definedName name="_____PyG33" localSheetId="0" hidden="1">{#N/A,#N/A,FALSE,"balance";#N/A,#N/A,FALSE,"PYG"}</definedName>
    <definedName name="_____PyG33" localSheetId="3" hidden="1">{#N/A,#N/A,FALSE,"balance";#N/A,#N/A,FALSE,"PYG"}</definedName>
    <definedName name="_____PyG33" localSheetId="2" hidden="1">{#N/A,#N/A,FALSE,"balance";#N/A,#N/A,FALSE,"PYG"}</definedName>
    <definedName name="_____PyG33" hidden="1">{#N/A,#N/A,FALSE,"balance";#N/A,#N/A,FALSE,"PYG"}</definedName>
    <definedName name="_____PYG4" hidden="1">{#N/A,#N/A,FALSE,"balance";#N/A,#N/A,FALSE,"PYG"}</definedName>
    <definedName name="_____R" hidden="1">{#N/A,#N/A,FALSE,"GRAFICO";#N/A,#N/A,FALSE,"CAJA (2)";#N/A,#N/A,FALSE,"TERCEROS-PROMEDIO";#N/A,#N/A,FALSE,"CAJA";#N/A,#N/A,FALSE,"INGRESOS1995-2003";#N/A,#N/A,FALSE,"GASTOS1995-2003"}</definedName>
    <definedName name="____GGF2" localSheetId="6" hidden="1">{#N/A,#N/A,FALSE,"balance";#N/A,#N/A,FALSE,"PYG"}</definedName>
    <definedName name="____GGF2" localSheetId="1" hidden="1">{#N/A,#N/A,FALSE,"balance";#N/A,#N/A,FALSE,"PYG"}</definedName>
    <definedName name="____GGF2" localSheetId="4" hidden="1">{#N/A,#N/A,FALSE,"balance";#N/A,#N/A,FALSE,"PYG"}</definedName>
    <definedName name="____GGF2" localSheetId="0" hidden="1">{#N/A,#N/A,FALSE,"balance";#N/A,#N/A,FALSE,"PYG"}</definedName>
    <definedName name="____GGF2" localSheetId="3" hidden="1">{#N/A,#N/A,FALSE,"balance";#N/A,#N/A,FALSE,"PYG"}</definedName>
    <definedName name="____GGF2" localSheetId="2" hidden="1">{#N/A,#N/A,FALSE,"balance";#N/A,#N/A,FALSE,"PYG"}</definedName>
    <definedName name="____GGF2" localSheetId="5" hidden="1">{#N/A,#N/A,FALSE,"balance";#N/A,#N/A,FALSE,"PYG"}</definedName>
    <definedName name="____GGF2" localSheetId="7" hidden="1">{#N/A,#N/A,FALSE,"balance";#N/A,#N/A,FALSE,"PYG"}</definedName>
    <definedName name="____GGF2" hidden="1">{#N/A,#N/A,FALSE,"balance";#N/A,#N/A,FALSE,"PYG"}</definedName>
    <definedName name="____new1" hidden="1">{#N/A,#N/A,FALSE,"SMT1";#N/A,#N/A,FALSE,"SMT2";#N/A,#N/A,FALSE,"Summary";#N/A,#N/A,FALSE,"Graphs";#N/A,#N/A,FALSE,"4 Panel"}</definedName>
    <definedName name="____New15" hidden="1">{"EVA",#N/A,FALSE,"SMT2";#N/A,#N/A,FALSE,"Summary";#N/A,#N/A,FALSE,"Graphs";#N/A,#N/A,FALSE,"4 Panel"}</definedName>
    <definedName name="____New16" hidden="1">{#N/A,#N/A,FALSE,"SMT1";#N/A,#N/A,FALSE,"SMT2";#N/A,#N/A,FALSE,"Summary";#N/A,#N/A,FALSE,"Graphs";#N/A,#N/A,FALSE,"4 Panel"}</definedName>
    <definedName name="____New17" hidden="1">{#N/A,#N/A,FALSE,"SMT1";#N/A,#N/A,FALSE,"SMT2";#N/A,#N/A,FALSE,"Summary";#N/A,#N/A,FALSE,"Graphs";#N/A,#N/A,FALSE,"4 Panel"}</definedName>
    <definedName name="____New18" hidden="1">{#N/A,#N/A,FALSE,"Full";#N/A,#N/A,FALSE,"Half";#N/A,#N/A,FALSE,"Op Expenses";#N/A,#N/A,FALSE,"Cap Charge";#N/A,#N/A,FALSE,"Cost C";#N/A,#N/A,FALSE,"PP&amp;E";#N/A,#N/A,FALSE,"R&amp;D"}</definedName>
    <definedName name="____New19" hidden="1">{"EVA",#N/A,FALSE,"SMT2";#N/A,#N/A,FALSE,"Summary";#N/A,#N/A,FALSE,"Graphs";#N/A,#N/A,FALSE,"4 Panel"}</definedName>
    <definedName name="____New20" hidden="1">{#N/A,#N/A,FALSE,"SMT1";#N/A,#N/A,FALSE,"SMT2";#N/A,#N/A,FALSE,"Summary";#N/A,#N/A,FALSE,"Graphs";#N/A,#N/A,FALSE,"4 Panel"}</definedName>
    <definedName name="____New21" hidden="1">{#N/A,#N/A,FALSE,"Full";#N/A,#N/A,FALSE,"Half";#N/A,#N/A,FALSE,"Op Expenses";#N/A,#N/A,FALSE,"Cap Charge";#N/A,#N/A,FALSE,"Cost C";#N/A,#N/A,FALSE,"PP&amp;E";#N/A,#N/A,FALSE,"R&amp;D"}</definedName>
    <definedName name="____NEW3" hidden="1">{#N/A,#N/A,FALSE,"SMT1";#N/A,#N/A,FALSE,"SMT2";#N/A,#N/A,FALSE,"Summary";#N/A,#N/A,FALSE,"Graphs";#N/A,#N/A,FALSE,"4 Panel"}</definedName>
    <definedName name="____nEW30" hidden="1">{"EVA",#N/A,FALSE,"SMT2";#N/A,#N/A,FALSE,"Summary";#N/A,#N/A,FALSE,"Graphs";#N/A,#N/A,FALSE,"4 Panel"}</definedName>
    <definedName name="____New31" hidden="1">{#N/A,#N/A,FALSE,"SMT1";#N/A,#N/A,FALSE,"SMT2";#N/A,#N/A,FALSE,"Summary";#N/A,#N/A,FALSE,"Graphs";#N/A,#N/A,FALSE,"4 Panel"}</definedName>
    <definedName name="____New32" hidden="1">{#N/A,#N/A,FALSE,"SMT1";#N/A,#N/A,FALSE,"SMT2";#N/A,#N/A,FALSE,"Summary";#N/A,#N/A,FALSE,"Graphs";#N/A,#N/A,FALSE,"4 Panel"}</definedName>
    <definedName name="____New33" hidden="1">{#N/A,#N/A,FALSE,"Full";#N/A,#N/A,FALSE,"Half";#N/A,#N/A,FALSE,"Op Expenses";#N/A,#N/A,FALSE,"Cap Charge";#N/A,#N/A,FALSE,"Cost C";#N/A,#N/A,FALSE,"PP&amp;E";#N/A,#N/A,FALSE,"R&amp;D"}</definedName>
    <definedName name="____New34" hidden="1">{"EVA",#N/A,FALSE,"SMT2";#N/A,#N/A,FALSE,"Summary";#N/A,#N/A,FALSE,"Graphs";#N/A,#N/A,FALSE,"4 Panel"}</definedName>
    <definedName name="____New35" hidden="1">{#N/A,#N/A,FALSE,"SMT1";#N/A,#N/A,FALSE,"SMT2";#N/A,#N/A,FALSE,"Summary";#N/A,#N/A,FALSE,"Graphs";#N/A,#N/A,FALSE,"4 Panel"}</definedName>
    <definedName name="____New36" hidden="1">{#N/A,#N/A,FALSE,"Full";#N/A,#N/A,FALSE,"Half";#N/A,#N/A,FALSE,"Op Expenses";#N/A,#N/A,FALSE,"Cap Charge";#N/A,#N/A,FALSE,"Cost C";#N/A,#N/A,FALSE,"PP&amp;E";#N/A,#N/A,FALSE,"R&amp;D"}</definedName>
    <definedName name="____NEW4" hidden="1">{#N/A,#N/A,FALSE,"Full";#N/A,#N/A,FALSE,"Half";#N/A,#N/A,FALSE,"Op Expenses";#N/A,#N/A,FALSE,"Cap Charge";#N/A,#N/A,FALSE,"Cost C";#N/A,#N/A,FALSE,"PP&amp;E";#N/A,#N/A,FALSE,"R&amp;D"}</definedName>
    <definedName name="____OCT2" localSheetId="6" hidden="1">{#N/A,#N/A,FALSE,"BL&amp;GPA";#N/A,#N/A,FALSE,"Summary";#N/A,#N/A,FALSE,"hts"}</definedName>
    <definedName name="____OCT2" localSheetId="1" hidden="1">{#N/A,#N/A,FALSE,"BL&amp;GPA";#N/A,#N/A,FALSE,"Summary";#N/A,#N/A,FALSE,"hts"}</definedName>
    <definedName name="____OCT2" localSheetId="4" hidden="1">{#N/A,#N/A,FALSE,"BL&amp;GPA";#N/A,#N/A,FALSE,"Summary";#N/A,#N/A,FALSE,"hts"}</definedName>
    <definedName name="____OCT2" localSheetId="0" hidden="1">{#N/A,#N/A,FALSE,"BL&amp;GPA";#N/A,#N/A,FALSE,"Summary";#N/A,#N/A,FALSE,"hts"}</definedName>
    <definedName name="____OCT2" localSheetId="3" hidden="1">{#N/A,#N/A,FALSE,"BL&amp;GPA";#N/A,#N/A,FALSE,"Summary";#N/A,#N/A,FALSE,"hts"}</definedName>
    <definedName name="____OCT2" localSheetId="2" hidden="1">{#N/A,#N/A,FALSE,"BL&amp;GPA";#N/A,#N/A,FALSE,"Summary";#N/A,#N/A,FALSE,"hts"}</definedName>
    <definedName name="____OCT2" localSheetId="5" hidden="1">{#N/A,#N/A,FALSE,"BL&amp;GPA";#N/A,#N/A,FALSE,"Summary";#N/A,#N/A,FALSE,"hts"}</definedName>
    <definedName name="____OCT2" localSheetId="7" hidden="1">{#N/A,#N/A,FALSE,"BL&amp;GPA";#N/A,#N/A,FALSE,"Summary";#N/A,#N/A,FALSE,"hts"}</definedName>
    <definedName name="____OCT2" hidden="1">{#N/A,#N/A,FALSE,"BL&amp;GPA";#N/A,#N/A,FALSE,"Summary";#N/A,#N/A,FALSE,"hts"}</definedName>
    <definedName name="____ok1" localSheetId="6" hidden="1">{#N/A,#N/A,FALSE,"balance";#N/A,#N/A,FALSE,"PYG"}</definedName>
    <definedName name="____ok1" localSheetId="1" hidden="1">{#N/A,#N/A,FALSE,"balance";#N/A,#N/A,FALSE,"PYG"}</definedName>
    <definedName name="____ok1" localSheetId="4" hidden="1">{#N/A,#N/A,FALSE,"balance";#N/A,#N/A,FALSE,"PYG"}</definedName>
    <definedName name="____ok1" localSheetId="0" hidden="1">{#N/A,#N/A,FALSE,"balance";#N/A,#N/A,FALSE,"PYG"}</definedName>
    <definedName name="____ok1" localSheetId="3" hidden="1">{#N/A,#N/A,FALSE,"balance";#N/A,#N/A,FALSE,"PYG"}</definedName>
    <definedName name="____ok1" localSheetId="2" hidden="1">{#N/A,#N/A,FALSE,"balance";#N/A,#N/A,FALSE,"PYG"}</definedName>
    <definedName name="____ok1" localSheetId="5" hidden="1">{#N/A,#N/A,FALSE,"balance";#N/A,#N/A,FALSE,"PYG"}</definedName>
    <definedName name="____ok1" localSheetId="7" hidden="1">{#N/A,#N/A,FALSE,"balance";#N/A,#N/A,FALSE,"PYG"}</definedName>
    <definedName name="____ok1" hidden="1">{#N/A,#N/A,FALSE,"balance";#N/A,#N/A,FALSE,"PYG"}</definedName>
    <definedName name="____Ok2" localSheetId="6" hidden="1">{#N/A,#N/A,FALSE,"balance";#N/A,#N/A,FALSE,"PYG"}</definedName>
    <definedName name="____Ok2" localSheetId="1" hidden="1">{#N/A,#N/A,FALSE,"balance";#N/A,#N/A,FALSE,"PYG"}</definedName>
    <definedName name="____Ok2" localSheetId="4" hidden="1">{#N/A,#N/A,FALSE,"balance";#N/A,#N/A,FALSE,"PYG"}</definedName>
    <definedName name="____Ok2" localSheetId="0" hidden="1">{#N/A,#N/A,FALSE,"balance";#N/A,#N/A,FALSE,"PYG"}</definedName>
    <definedName name="____Ok2" localSheetId="3" hidden="1">{#N/A,#N/A,FALSE,"balance";#N/A,#N/A,FALSE,"PYG"}</definedName>
    <definedName name="____Ok2" localSheetId="2" hidden="1">{#N/A,#N/A,FALSE,"balance";#N/A,#N/A,FALSE,"PYG"}</definedName>
    <definedName name="____Ok2" localSheetId="5" hidden="1">{#N/A,#N/A,FALSE,"balance";#N/A,#N/A,FALSE,"PYG"}</definedName>
    <definedName name="____Ok2" localSheetId="7" hidden="1">{#N/A,#N/A,FALSE,"balance";#N/A,#N/A,FALSE,"PYG"}</definedName>
    <definedName name="____Ok2" hidden="1">{#N/A,#N/A,FALSE,"balance";#N/A,#N/A,FALSE,"PYG"}</definedName>
    <definedName name="____PyG2" localSheetId="6" hidden="1">{#N/A,#N/A,FALSE,"balance";#N/A,#N/A,FALSE,"PYG"}</definedName>
    <definedName name="____PyG2" localSheetId="1" hidden="1">{#N/A,#N/A,FALSE,"balance";#N/A,#N/A,FALSE,"PYG"}</definedName>
    <definedName name="____PyG2" localSheetId="4" hidden="1">{#N/A,#N/A,FALSE,"balance";#N/A,#N/A,FALSE,"PYG"}</definedName>
    <definedName name="____PyG2" localSheetId="0" hidden="1">{#N/A,#N/A,FALSE,"balance";#N/A,#N/A,FALSE,"PYG"}</definedName>
    <definedName name="____PyG2" localSheetId="3" hidden="1">{#N/A,#N/A,FALSE,"balance";#N/A,#N/A,FALSE,"PYG"}</definedName>
    <definedName name="____PyG2" localSheetId="2" hidden="1">{#N/A,#N/A,FALSE,"balance";#N/A,#N/A,FALSE,"PYG"}</definedName>
    <definedName name="____PyG2" localSheetId="5" hidden="1">{#N/A,#N/A,FALSE,"balance";#N/A,#N/A,FALSE,"PYG"}</definedName>
    <definedName name="____PyG2" localSheetId="7" hidden="1">{#N/A,#N/A,FALSE,"balance";#N/A,#N/A,FALSE,"PYG"}</definedName>
    <definedName name="____PyG2" hidden="1">{#N/A,#N/A,FALSE,"balance";#N/A,#N/A,FALSE,"PYG"}</definedName>
    <definedName name="____PYG3" localSheetId="6" hidden="1">{#N/A,#N/A,FALSE,"balance";#N/A,#N/A,FALSE,"PYG"}</definedName>
    <definedName name="____PYG3" localSheetId="1" hidden="1">{#N/A,#N/A,FALSE,"balance";#N/A,#N/A,FALSE,"PYG"}</definedName>
    <definedName name="____PYG3" localSheetId="4" hidden="1">{#N/A,#N/A,FALSE,"balance";#N/A,#N/A,FALSE,"PYG"}</definedName>
    <definedName name="____PYG3" localSheetId="0" hidden="1">{#N/A,#N/A,FALSE,"balance";#N/A,#N/A,FALSE,"PYG"}</definedName>
    <definedName name="____PYG3" localSheetId="3" hidden="1">{#N/A,#N/A,FALSE,"balance";#N/A,#N/A,FALSE,"PYG"}</definedName>
    <definedName name="____PYG3" localSheetId="2" hidden="1">{#N/A,#N/A,FALSE,"balance";#N/A,#N/A,FALSE,"PYG"}</definedName>
    <definedName name="____PYG3" localSheetId="5" hidden="1">{#N/A,#N/A,FALSE,"balance";#N/A,#N/A,FALSE,"PYG"}</definedName>
    <definedName name="____PYG3" localSheetId="7" hidden="1">{#N/A,#N/A,FALSE,"balance";#N/A,#N/A,FALSE,"PYG"}</definedName>
    <definedName name="____PYG3" hidden="1">{#N/A,#N/A,FALSE,"balance";#N/A,#N/A,FALSE,"PYG"}</definedName>
    <definedName name="____PyG33" localSheetId="6" hidden="1">{#N/A,#N/A,FALSE,"balance";#N/A,#N/A,FALSE,"PYG"}</definedName>
    <definedName name="____PyG33" localSheetId="1" hidden="1">{#N/A,#N/A,FALSE,"balance";#N/A,#N/A,FALSE,"PYG"}</definedName>
    <definedName name="____PyG33" localSheetId="4" hidden="1">{#N/A,#N/A,FALSE,"balance";#N/A,#N/A,FALSE,"PYG"}</definedName>
    <definedName name="____PyG33" localSheetId="0" hidden="1">{#N/A,#N/A,FALSE,"balance";#N/A,#N/A,FALSE,"PYG"}</definedName>
    <definedName name="____PyG33" localSheetId="3" hidden="1">{#N/A,#N/A,FALSE,"balance";#N/A,#N/A,FALSE,"PYG"}</definedName>
    <definedName name="____PyG33" localSheetId="2" hidden="1">{#N/A,#N/A,FALSE,"balance";#N/A,#N/A,FALSE,"PYG"}</definedName>
    <definedName name="____PyG33" localSheetId="5" hidden="1">{#N/A,#N/A,FALSE,"balance";#N/A,#N/A,FALSE,"PYG"}</definedName>
    <definedName name="____PyG33" localSheetId="7" hidden="1">{#N/A,#N/A,FALSE,"balance";#N/A,#N/A,FALSE,"PYG"}</definedName>
    <definedName name="____PyG33" hidden="1">{#N/A,#N/A,FALSE,"balance";#N/A,#N/A,FALSE,"PYG"}</definedName>
    <definedName name="____PYG4" hidden="1">{#N/A,#N/A,FALSE,"balance";#N/A,#N/A,FALSE,"PYG"}</definedName>
    <definedName name="____R" localSheetId="4" hidden="1">{#N/A,#N/A,FALSE,"GRAFICO";#N/A,#N/A,FALSE,"CAJA (2)";#N/A,#N/A,FALSE,"TERCEROS-PROMEDIO";#N/A,#N/A,FALSE,"CAJA";#N/A,#N/A,FALSE,"INGRESOS1995-2003";#N/A,#N/A,FALSE,"GASTOS1995-2003"}</definedName>
    <definedName name="____R" localSheetId="3" hidden="1">{#N/A,#N/A,FALSE,"GRAFICO";#N/A,#N/A,FALSE,"CAJA (2)";#N/A,#N/A,FALSE,"TERCEROS-PROMEDIO";#N/A,#N/A,FALSE,"CAJA";#N/A,#N/A,FALSE,"INGRESOS1995-2003";#N/A,#N/A,FALSE,"GASTOS1995-2003"}</definedName>
    <definedName name="____R" localSheetId="2" hidden="1">{#N/A,#N/A,FALSE,"GRAFICO";#N/A,#N/A,FALSE,"CAJA (2)";#N/A,#N/A,FALSE,"TERCEROS-PROMEDIO";#N/A,#N/A,FALSE,"CAJA";#N/A,#N/A,FALSE,"INGRESOS1995-2003";#N/A,#N/A,FALSE,"GASTOS1995-2003"}</definedName>
    <definedName name="____R" hidden="1">{#N/A,#N/A,FALSE,"GRAFICO";#N/A,#N/A,FALSE,"CAJA (2)";#N/A,#N/A,FALSE,"TERCEROS-PROMEDIO";#N/A,#N/A,FALSE,"CAJA";#N/A,#N/A,FALSE,"INGRESOS1995-2003";#N/A,#N/A,FALSE,"GASTOS1995-2003"}</definedName>
    <definedName name="___GGF2" localSheetId="6" hidden="1">{#N/A,#N/A,FALSE,"balance";#N/A,#N/A,FALSE,"PYG"}</definedName>
    <definedName name="___GGF2" localSheetId="1" hidden="1">{#N/A,#N/A,FALSE,"balance";#N/A,#N/A,FALSE,"PYG"}</definedName>
    <definedName name="___GGF2" localSheetId="4" hidden="1">{#N/A,#N/A,FALSE,"balance";#N/A,#N/A,FALSE,"PYG"}</definedName>
    <definedName name="___GGF2" localSheetId="0" hidden="1">{#N/A,#N/A,FALSE,"balance";#N/A,#N/A,FALSE,"PYG"}</definedName>
    <definedName name="___GGF2" localSheetId="3" hidden="1">{#N/A,#N/A,FALSE,"balance";#N/A,#N/A,FALSE,"PYG"}</definedName>
    <definedName name="___GGF2" localSheetId="2" hidden="1">{#N/A,#N/A,FALSE,"balance";#N/A,#N/A,FALSE,"PYG"}</definedName>
    <definedName name="___GGF2" localSheetId="5" hidden="1">{#N/A,#N/A,FALSE,"balance";#N/A,#N/A,FALSE,"PYG"}</definedName>
    <definedName name="___GGF2" localSheetId="7" hidden="1">{#N/A,#N/A,FALSE,"balance";#N/A,#N/A,FALSE,"PYG"}</definedName>
    <definedName name="___GGF2" hidden="1">{#N/A,#N/A,FALSE,"balance";#N/A,#N/A,FALSE,"PYG"}</definedName>
    <definedName name="___new1" hidden="1">{#N/A,#N/A,FALSE,"SMT1";#N/A,#N/A,FALSE,"SMT2";#N/A,#N/A,FALSE,"Summary";#N/A,#N/A,FALSE,"Graphs";#N/A,#N/A,FALSE,"4 Panel"}</definedName>
    <definedName name="___New15" hidden="1">{"EVA",#N/A,FALSE,"SMT2";#N/A,#N/A,FALSE,"Summary";#N/A,#N/A,FALSE,"Graphs";#N/A,#N/A,FALSE,"4 Panel"}</definedName>
    <definedName name="___New16" hidden="1">{#N/A,#N/A,FALSE,"SMT1";#N/A,#N/A,FALSE,"SMT2";#N/A,#N/A,FALSE,"Summary";#N/A,#N/A,FALSE,"Graphs";#N/A,#N/A,FALSE,"4 Panel"}</definedName>
    <definedName name="___New17" hidden="1">{#N/A,#N/A,FALSE,"SMT1";#N/A,#N/A,FALSE,"SMT2";#N/A,#N/A,FALSE,"Summary";#N/A,#N/A,FALSE,"Graphs";#N/A,#N/A,FALSE,"4 Panel"}</definedName>
    <definedName name="___New18" hidden="1">{#N/A,#N/A,FALSE,"Full";#N/A,#N/A,FALSE,"Half";#N/A,#N/A,FALSE,"Op Expenses";#N/A,#N/A,FALSE,"Cap Charge";#N/A,#N/A,FALSE,"Cost C";#N/A,#N/A,FALSE,"PP&amp;E";#N/A,#N/A,FALSE,"R&amp;D"}</definedName>
    <definedName name="___New19" hidden="1">{"EVA",#N/A,FALSE,"SMT2";#N/A,#N/A,FALSE,"Summary";#N/A,#N/A,FALSE,"Graphs";#N/A,#N/A,FALSE,"4 Panel"}</definedName>
    <definedName name="___New20" hidden="1">{#N/A,#N/A,FALSE,"SMT1";#N/A,#N/A,FALSE,"SMT2";#N/A,#N/A,FALSE,"Summary";#N/A,#N/A,FALSE,"Graphs";#N/A,#N/A,FALSE,"4 Panel"}</definedName>
    <definedName name="___New21" hidden="1">{#N/A,#N/A,FALSE,"Full";#N/A,#N/A,FALSE,"Half";#N/A,#N/A,FALSE,"Op Expenses";#N/A,#N/A,FALSE,"Cap Charge";#N/A,#N/A,FALSE,"Cost C";#N/A,#N/A,FALSE,"PP&amp;E";#N/A,#N/A,FALSE,"R&amp;D"}</definedName>
    <definedName name="___NEW3" hidden="1">{#N/A,#N/A,FALSE,"SMT1";#N/A,#N/A,FALSE,"SMT2";#N/A,#N/A,FALSE,"Summary";#N/A,#N/A,FALSE,"Graphs";#N/A,#N/A,FALSE,"4 Panel"}</definedName>
    <definedName name="___nEW30" hidden="1">{"EVA",#N/A,FALSE,"SMT2";#N/A,#N/A,FALSE,"Summary";#N/A,#N/A,FALSE,"Graphs";#N/A,#N/A,FALSE,"4 Panel"}</definedName>
    <definedName name="___New31" hidden="1">{#N/A,#N/A,FALSE,"SMT1";#N/A,#N/A,FALSE,"SMT2";#N/A,#N/A,FALSE,"Summary";#N/A,#N/A,FALSE,"Graphs";#N/A,#N/A,FALSE,"4 Panel"}</definedName>
    <definedName name="___New32" hidden="1">{#N/A,#N/A,FALSE,"SMT1";#N/A,#N/A,FALSE,"SMT2";#N/A,#N/A,FALSE,"Summary";#N/A,#N/A,FALSE,"Graphs";#N/A,#N/A,FALSE,"4 Panel"}</definedName>
    <definedName name="___New33" hidden="1">{#N/A,#N/A,FALSE,"Full";#N/A,#N/A,FALSE,"Half";#N/A,#N/A,FALSE,"Op Expenses";#N/A,#N/A,FALSE,"Cap Charge";#N/A,#N/A,FALSE,"Cost C";#N/A,#N/A,FALSE,"PP&amp;E";#N/A,#N/A,FALSE,"R&amp;D"}</definedName>
    <definedName name="___New34" hidden="1">{"EVA",#N/A,FALSE,"SMT2";#N/A,#N/A,FALSE,"Summary";#N/A,#N/A,FALSE,"Graphs";#N/A,#N/A,FALSE,"4 Panel"}</definedName>
    <definedName name="___New35" hidden="1">{#N/A,#N/A,FALSE,"SMT1";#N/A,#N/A,FALSE,"SMT2";#N/A,#N/A,FALSE,"Summary";#N/A,#N/A,FALSE,"Graphs";#N/A,#N/A,FALSE,"4 Panel"}</definedName>
    <definedName name="___New36" hidden="1">{#N/A,#N/A,FALSE,"Full";#N/A,#N/A,FALSE,"Half";#N/A,#N/A,FALSE,"Op Expenses";#N/A,#N/A,FALSE,"Cap Charge";#N/A,#N/A,FALSE,"Cost C";#N/A,#N/A,FALSE,"PP&amp;E";#N/A,#N/A,FALSE,"R&amp;D"}</definedName>
    <definedName name="___NEW4" hidden="1">{#N/A,#N/A,FALSE,"Full";#N/A,#N/A,FALSE,"Half";#N/A,#N/A,FALSE,"Op Expenses";#N/A,#N/A,FALSE,"Cap Charge";#N/A,#N/A,FALSE,"Cost C";#N/A,#N/A,FALSE,"PP&amp;E";#N/A,#N/A,FALSE,"R&amp;D"}</definedName>
    <definedName name="___OCT2" localSheetId="6" hidden="1">{#N/A,#N/A,FALSE,"BL&amp;GPA";#N/A,#N/A,FALSE,"Summary";#N/A,#N/A,FALSE,"hts"}</definedName>
    <definedName name="___OCT2" localSheetId="1" hidden="1">{#N/A,#N/A,FALSE,"BL&amp;GPA";#N/A,#N/A,FALSE,"Summary";#N/A,#N/A,FALSE,"hts"}</definedName>
    <definedName name="___OCT2" localSheetId="4" hidden="1">{#N/A,#N/A,FALSE,"BL&amp;GPA";#N/A,#N/A,FALSE,"Summary";#N/A,#N/A,FALSE,"hts"}</definedName>
    <definedName name="___OCT2" localSheetId="0" hidden="1">{#N/A,#N/A,FALSE,"BL&amp;GPA";#N/A,#N/A,FALSE,"Summary";#N/A,#N/A,FALSE,"hts"}</definedName>
    <definedName name="___OCT2" localSheetId="3" hidden="1">{#N/A,#N/A,FALSE,"BL&amp;GPA";#N/A,#N/A,FALSE,"Summary";#N/A,#N/A,FALSE,"hts"}</definedName>
    <definedName name="___OCT2" localSheetId="2" hidden="1">{#N/A,#N/A,FALSE,"BL&amp;GPA";#N/A,#N/A,FALSE,"Summary";#N/A,#N/A,FALSE,"hts"}</definedName>
    <definedName name="___OCT2" localSheetId="5" hidden="1">{#N/A,#N/A,FALSE,"BL&amp;GPA";#N/A,#N/A,FALSE,"Summary";#N/A,#N/A,FALSE,"hts"}</definedName>
    <definedName name="___OCT2" localSheetId="7" hidden="1">{#N/A,#N/A,FALSE,"BL&amp;GPA";#N/A,#N/A,FALSE,"Summary";#N/A,#N/A,FALSE,"hts"}</definedName>
    <definedName name="___OCT2" hidden="1">{#N/A,#N/A,FALSE,"BL&amp;GPA";#N/A,#N/A,FALSE,"Summary";#N/A,#N/A,FALSE,"hts"}</definedName>
    <definedName name="___ok1" localSheetId="6" hidden="1">{#N/A,#N/A,FALSE,"balance";#N/A,#N/A,FALSE,"PYG"}</definedName>
    <definedName name="___ok1" localSheetId="1" hidden="1">{#N/A,#N/A,FALSE,"balance";#N/A,#N/A,FALSE,"PYG"}</definedName>
    <definedName name="___ok1" localSheetId="4" hidden="1">{#N/A,#N/A,FALSE,"balance";#N/A,#N/A,FALSE,"PYG"}</definedName>
    <definedName name="___ok1" localSheetId="0" hidden="1">{#N/A,#N/A,FALSE,"balance";#N/A,#N/A,FALSE,"PYG"}</definedName>
    <definedName name="___ok1" localSheetId="3" hidden="1">{#N/A,#N/A,FALSE,"balance";#N/A,#N/A,FALSE,"PYG"}</definedName>
    <definedName name="___ok1" localSheetId="2" hidden="1">{#N/A,#N/A,FALSE,"balance";#N/A,#N/A,FALSE,"PYG"}</definedName>
    <definedName name="___ok1" localSheetId="5" hidden="1">{#N/A,#N/A,FALSE,"balance";#N/A,#N/A,FALSE,"PYG"}</definedName>
    <definedName name="___ok1" localSheetId="7" hidden="1">{#N/A,#N/A,FALSE,"balance";#N/A,#N/A,FALSE,"PYG"}</definedName>
    <definedName name="___ok1" hidden="1">{#N/A,#N/A,FALSE,"balance";#N/A,#N/A,FALSE,"PYG"}</definedName>
    <definedName name="___Ok2" localSheetId="6" hidden="1">{#N/A,#N/A,FALSE,"balance";#N/A,#N/A,FALSE,"PYG"}</definedName>
    <definedName name="___Ok2" localSheetId="1" hidden="1">{#N/A,#N/A,FALSE,"balance";#N/A,#N/A,FALSE,"PYG"}</definedName>
    <definedName name="___Ok2" localSheetId="4" hidden="1">{#N/A,#N/A,FALSE,"balance";#N/A,#N/A,FALSE,"PYG"}</definedName>
    <definedName name="___Ok2" localSheetId="0" hidden="1">{#N/A,#N/A,FALSE,"balance";#N/A,#N/A,FALSE,"PYG"}</definedName>
    <definedName name="___Ok2" localSheetId="3" hidden="1">{#N/A,#N/A,FALSE,"balance";#N/A,#N/A,FALSE,"PYG"}</definedName>
    <definedName name="___Ok2" localSheetId="2" hidden="1">{#N/A,#N/A,FALSE,"balance";#N/A,#N/A,FALSE,"PYG"}</definedName>
    <definedName name="___Ok2" localSheetId="5" hidden="1">{#N/A,#N/A,FALSE,"balance";#N/A,#N/A,FALSE,"PYG"}</definedName>
    <definedName name="___Ok2" localSheetId="7" hidden="1">{#N/A,#N/A,FALSE,"balance";#N/A,#N/A,FALSE,"PYG"}</definedName>
    <definedName name="___Ok2" hidden="1">{#N/A,#N/A,FALSE,"balance";#N/A,#N/A,FALSE,"PYG"}</definedName>
    <definedName name="___PyG2" localSheetId="6" hidden="1">{#N/A,#N/A,FALSE,"balance";#N/A,#N/A,FALSE,"PYG"}</definedName>
    <definedName name="___PyG2" localSheetId="1" hidden="1">{#N/A,#N/A,FALSE,"balance";#N/A,#N/A,FALSE,"PYG"}</definedName>
    <definedName name="___PyG2" localSheetId="4" hidden="1">{#N/A,#N/A,FALSE,"balance";#N/A,#N/A,FALSE,"PYG"}</definedName>
    <definedName name="___PyG2" localSheetId="0" hidden="1">{#N/A,#N/A,FALSE,"balance";#N/A,#N/A,FALSE,"PYG"}</definedName>
    <definedName name="___PyG2" localSheetId="3" hidden="1">{#N/A,#N/A,FALSE,"balance";#N/A,#N/A,FALSE,"PYG"}</definedName>
    <definedName name="___PyG2" localSheetId="2" hidden="1">{#N/A,#N/A,FALSE,"balance";#N/A,#N/A,FALSE,"PYG"}</definedName>
    <definedName name="___PyG2" localSheetId="5" hidden="1">{#N/A,#N/A,FALSE,"balance";#N/A,#N/A,FALSE,"PYG"}</definedName>
    <definedName name="___PyG2" localSheetId="7" hidden="1">{#N/A,#N/A,FALSE,"balance";#N/A,#N/A,FALSE,"PYG"}</definedName>
    <definedName name="___PyG2" hidden="1">{#N/A,#N/A,FALSE,"balance";#N/A,#N/A,FALSE,"PYG"}</definedName>
    <definedName name="___PYG3" localSheetId="6" hidden="1">{#N/A,#N/A,FALSE,"balance";#N/A,#N/A,FALSE,"PYG"}</definedName>
    <definedName name="___PYG3" localSheetId="1" hidden="1">{#N/A,#N/A,FALSE,"balance";#N/A,#N/A,FALSE,"PYG"}</definedName>
    <definedName name="___PYG3" localSheetId="4" hidden="1">{#N/A,#N/A,FALSE,"balance";#N/A,#N/A,FALSE,"PYG"}</definedName>
    <definedName name="___PYG3" localSheetId="0" hidden="1">{#N/A,#N/A,FALSE,"balance";#N/A,#N/A,FALSE,"PYG"}</definedName>
    <definedName name="___PYG3" localSheetId="3" hidden="1">{#N/A,#N/A,FALSE,"balance";#N/A,#N/A,FALSE,"PYG"}</definedName>
    <definedName name="___PYG3" localSheetId="2" hidden="1">{#N/A,#N/A,FALSE,"balance";#N/A,#N/A,FALSE,"PYG"}</definedName>
    <definedName name="___PYG3" localSheetId="5" hidden="1">{#N/A,#N/A,FALSE,"balance";#N/A,#N/A,FALSE,"PYG"}</definedName>
    <definedName name="___PYG3" localSheetId="7" hidden="1">{#N/A,#N/A,FALSE,"balance";#N/A,#N/A,FALSE,"PYG"}</definedName>
    <definedName name="___PYG3" hidden="1">{#N/A,#N/A,FALSE,"balance";#N/A,#N/A,FALSE,"PYG"}</definedName>
    <definedName name="___PyG33" localSheetId="6" hidden="1">{#N/A,#N/A,FALSE,"balance";#N/A,#N/A,FALSE,"PYG"}</definedName>
    <definedName name="___PyG33" localSheetId="1" hidden="1">{#N/A,#N/A,FALSE,"balance";#N/A,#N/A,FALSE,"PYG"}</definedName>
    <definedName name="___PyG33" localSheetId="4" hidden="1">{#N/A,#N/A,FALSE,"balance";#N/A,#N/A,FALSE,"PYG"}</definedName>
    <definedName name="___PyG33" localSheetId="0" hidden="1">{#N/A,#N/A,FALSE,"balance";#N/A,#N/A,FALSE,"PYG"}</definedName>
    <definedName name="___PyG33" localSheetId="3" hidden="1">{#N/A,#N/A,FALSE,"balance";#N/A,#N/A,FALSE,"PYG"}</definedName>
    <definedName name="___PyG33" localSheetId="2" hidden="1">{#N/A,#N/A,FALSE,"balance";#N/A,#N/A,FALSE,"PYG"}</definedName>
    <definedName name="___PyG33" localSheetId="5" hidden="1">{#N/A,#N/A,FALSE,"balance";#N/A,#N/A,FALSE,"PYG"}</definedName>
    <definedName name="___PyG33" localSheetId="7" hidden="1">{#N/A,#N/A,FALSE,"balance";#N/A,#N/A,FALSE,"PYG"}</definedName>
    <definedName name="___PyG33" hidden="1">{#N/A,#N/A,FALSE,"balance";#N/A,#N/A,FALSE,"PYG"}</definedName>
    <definedName name="___PYG4" hidden="1">{#N/A,#N/A,FALSE,"balance";#N/A,#N/A,FALSE,"PYG"}</definedName>
    <definedName name="___R" localSheetId="4" hidden="1">{#N/A,#N/A,FALSE,"GRAFICO";#N/A,#N/A,FALSE,"CAJA (2)";#N/A,#N/A,FALSE,"TERCEROS-PROMEDIO";#N/A,#N/A,FALSE,"CAJA";#N/A,#N/A,FALSE,"INGRESOS1995-2003";#N/A,#N/A,FALSE,"GASTOS1995-2003"}</definedName>
    <definedName name="___R" localSheetId="3" hidden="1">{#N/A,#N/A,FALSE,"GRAFICO";#N/A,#N/A,FALSE,"CAJA (2)";#N/A,#N/A,FALSE,"TERCEROS-PROMEDIO";#N/A,#N/A,FALSE,"CAJA";#N/A,#N/A,FALSE,"INGRESOS1995-2003";#N/A,#N/A,FALSE,"GASTOS1995-2003"}</definedName>
    <definedName name="___R" localSheetId="2" hidden="1">{#N/A,#N/A,FALSE,"GRAFICO";#N/A,#N/A,FALSE,"CAJA (2)";#N/A,#N/A,FALSE,"TERCEROS-PROMEDIO";#N/A,#N/A,FALSE,"CAJA";#N/A,#N/A,FALSE,"INGRESOS1995-2003";#N/A,#N/A,FALSE,"GASTOS1995-2003"}</definedName>
    <definedName name="___R" hidden="1">{#N/A,#N/A,FALSE,"GRAFICO";#N/A,#N/A,FALSE,"CAJA (2)";#N/A,#N/A,FALSE,"TERCEROS-PROMEDIO";#N/A,#N/A,FALSE,"CAJA";#N/A,#N/A,FALSE,"INGRESOS1995-2003";#N/A,#N/A,FALSE,"GASTOS1995-2003"}</definedName>
    <definedName name="__123Graph_A" hidden="1">[1]Assumptions!#REF!</definedName>
    <definedName name="__123Graph_ACAPTACIO" hidden="1">[2]COMPENSACIONES!#REF!</definedName>
    <definedName name="__123Graph_ACAPTUEN" hidden="1">[2]COMPENSACIONES!#REF!</definedName>
    <definedName name="__123Graph_AG1" hidden="1">[1]Assumptions!#REF!</definedName>
    <definedName name="__123Graph_AG2" hidden="1">[1]Assumptions!#REF!</definedName>
    <definedName name="__123Graph_AG3" hidden="1">[1]Assumptions!#REF!</definedName>
    <definedName name="__123Graph_AG4" hidden="1">[1]Assumptions!#REF!</definedName>
    <definedName name="__123Graph_AG5" hidden="1">[1]Assumptions!#REF!</definedName>
    <definedName name="__123Graph_AG6" hidden="1">[1]Assumptions!#REF!</definedName>
    <definedName name="__123Graph_B" hidden="1">[1]Assumptions!#REF!</definedName>
    <definedName name="__123Graph_BCAPTUEN" hidden="1">[2]COMPENSACIONES!#REF!</definedName>
    <definedName name="__123Graph_BG1" hidden="1">[1]Assumptions!#REF!</definedName>
    <definedName name="__123Graph_BG2" hidden="1">[1]Assumptions!#REF!</definedName>
    <definedName name="__123Graph_BG3" hidden="1">[1]Assumptions!#REF!</definedName>
    <definedName name="__123Graph_BG4" hidden="1">[1]Assumptions!#REF!</definedName>
    <definedName name="__123Graph_BG5" hidden="1">[1]Assumptions!#REF!</definedName>
    <definedName name="__123Graph_BG6" hidden="1">[1]Assumptions!#REF!</definedName>
    <definedName name="__123Graph_C" hidden="1">[1]Assumptions!#REF!</definedName>
    <definedName name="__123Graph_CCAPTUEN" hidden="1">[2]COMPENSACIONES!#REF!</definedName>
    <definedName name="__123Graph_CG1" hidden="1">[1]Assumptions!#REF!</definedName>
    <definedName name="__123Graph_CG2" hidden="1">[1]Assumptions!#REF!</definedName>
    <definedName name="__123Graph_CG3" hidden="1">[1]Assumptions!#REF!</definedName>
    <definedName name="__123Graph_CG6" hidden="1">[1]Assumptions!#REF!</definedName>
    <definedName name="__123Graph_DCAPTUEN" hidden="1">[2]COMPENSACIONES!#REF!</definedName>
    <definedName name="__123Graph_X" hidden="1">[1]Assumptions!#REF!</definedName>
    <definedName name="__123Graph_XCAPTACIO" hidden="1">[2]COMPENSACIONES!#REF!</definedName>
    <definedName name="__123Graph_XCAPTUEN" hidden="1">[2]COMPENSACIONES!#REF!</definedName>
    <definedName name="__123Graph_XG1" hidden="1">[1]Assumptions!#REF!</definedName>
    <definedName name="__123Graph_XG2" hidden="1">[1]Assumptions!#REF!</definedName>
    <definedName name="__123Graph_XG3" hidden="1">[1]Assumptions!#REF!</definedName>
    <definedName name="__123Graph_XG4" hidden="1">[1]Assumptions!#REF!</definedName>
    <definedName name="__123Graph_XG5" hidden="1">[1]Assumptions!#REF!</definedName>
    <definedName name="__123Graph_XG6" hidden="1">[1]Assumptions!#REF!</definedName>
    <definedName name="__FPMExcelClient_CellBasedFunctionStatus" localSheetId="6" hidden="1">"2_2_2_2_2"</definedName>
    <definedName name="__FPMExcelClient_CellBasedFunctionStatus" localSheetId="1" hidden="1">"2_2_2_2_2_2"</definedName>
    <definedName name="__FPMExcelClient_CellBasedFunctionStatus" localSheetId="4" hidden="1">"2_2_2_2_2_2"</definedName>
    <definedName name="__FPMExcelClient_CellBasedFunctionStatus" localSheetId="0" hidden="1">"2_2_2_2_2_2"</definedName>
    <definedName name="__FPMExcelClient_CellBasedFunctionStatus" localSheetId="3" hidden="1">"2_2_2_2_2_2"</definedName>
    <definedName name="__FPMExcelClient_CellBasedFunctionStatus" localSheetId="2" hidden="1">"2_2_2_2_2_2"</definedName>
    <definedName name="__FPMExcelClient_CellBasedFunctionStatus" localSheetId="5" hidden="1">"2_2_2_2_2_2"</definedName>
    <definedName name="__FPMExcelClient_CellBasedFunctionStatus" localSheetId="7" hidden="1">"2_2_2_2_2"</definedName>
    <definedName name="__GGF2" localSheetId="6" hidden="1">{#N/A,#N/A,FALSE,"balance";#N/A,#N/A,FALSE,"PYG"}</definedName>
    <definedName name="__GGF2" localSheetId="1" hidden="1">{#N/A,#N/A,FALSE,"balance";#N/A,#N/A,FALSE,"PYG"}</definedName>
    <definedName name="__GGF2" localSheetId="4" hidden="1">{#N/A,#N/A,FALSE,"balance";#N/A,#N/A,FALSE,"PYG"}</definedName>
    <definedName name="__GGF2" localSheetId="0" hidden="1">{#N/A,#N/A,FALSE,"balance";#N/A,#N/A,FALSE,"PYG"}</definedName>
    <definedName name="__GGF2" localSheetId="3" hidden="1">{#N/A,#N/A,FALSE,"balance";#N/A,#N/A,FALSE,"PYG"}</definedName>
    <definedName name="__GGF2" localSheetId="2" hidden="1">{#N/A,#N/A,FALSE,"balance";#N/A,#N/A,FALSE,"PYG"}</definedName>
    <definedName name="__GGF2" localSheetId="5" hidden="1">{#N/A,#N/A,FALSE,"balance";#N/A,#N/A,FALSE,"PYG"}</definedName>
    <definedName name="__GGF2" localSheetId="7" hidden="1">{#N/A,#N/A,FALSE,"balance";#N/A,#N/A,FALSE,"PYG"}</definedName>
    <definedName name="__GGF2" hidden="1">{#N/A,#N/A,FALSE,"balance";#N/A,#N/A,FALSE,"PYG"}</definedName>
    <definedName name="__new1" hidden="1">{#N/A,#N/A,FALSE,"SMT1";#N/A,#N/A,FALSE,"SMT2";#N/A,#N/A,FALSE,"Summary";#N/A,#N/A,FALSE,"Graphs";#N/A,#N/A,FALSE,"4 Panel"}</definedName>
    <definedName name="__New15" hidden="1">{"EVA",#N/A,FALSE,"SMT2";#N/A,#N/A,FALSE,"Summary";#N/A,#N/A,FALSE,"Graphs";#N/A,#N/A,FALSE,"4 Panel"}</definedName>
    <definedName name="__New16" hidden="1">{#N/A,#N/A,FALSE,"SMT1";#N/A,#N/A,FALSE,"SMT2";#N/A,#N/A,FALSE,"Summary";#N/A,#N/A,FALSE,"Graphs";#N/A,#N/A,FALSE,"4 Panel"}</definedName>
    <definedName name="__New17" hidden="1">{#N/A,#N/A,FALSE,"SMT1";#N/A,#N/A,FALSE,"SMT2";#N/A,#N/A,FALSE,"Summary";#N/A,#N/A,FALSE,"Graphs";#N/A,#N/A,FALSE,"4 Panel"}</definedName>
    <definedName name="__New18" hidden="1">{#N/A,#N/A,FALSE,"Full";#N/A,#N/A,FALSE,"Half";#N/A,#N/A,FALSE,"Op Expenses";#N/A,#N/A,FALSE,"Cap Charge";#N/A,#N/A,FALSE,"Cost C";#N/A,#N/A,FALSE,"PP&amp;E";#N/A,#N/A,FALSE,"R&amp;D"}</definedName>
    <definedName name="__New19" hidden="1">{"EVA",#N/A,FALSE,"SMT2";#N/A,#N/A,FALSE,"Summary";#N/A,#N/A,FALSE,"Graphs";#N/A,#N/A,FALSE,"4 Panel"}</definedName>
    <definedName name="__New20" hidden="1">{#N/A,#N/A,FALSE,"SMT1";#N/A,#N/A,FALSE,"SMT2";#N/A,#N/A,FALSE,"Summary";#N/A,#N/A,FALSE,"Graphs";#N/A,#N/A,FALSE,"4 Panel"}</definedName>
    <definedName name="__New21" hidden="1">{#N/A,#N/A,FALSE,"Full";#N/A,#N/A,FALSE,"Half";#N/A,#N/A,FALSE,"Op Expenses";#N/A,#N/A,FALSE,"Cap Charge";#N/A,#N/A,FALSE,"Cost C";#N/A,#N/A,FALSE,"PP&amp;E";#N/A,#N/A,FALSE,"R&amp;D"}</definedName>
    <definedName name="__NEW3" hidden="1">{#N/A,#N/A,FALSE,"SMT1";#N/A,#N/A,FALSE,"SMT2";#N/A,#N/A,FALSE,"Summary";#N/A,#N/A,FALSE,"Graphs";#N/A,#N/A,FALSE,"4 Panel"}</definedName>
    <definedName name="__nEW30" hidden="1">{"EVA",#N/A,FALSE,"SMT2";#N/A,#N/A,FALSE,"Summary";#N/A,#N/A,FALSE,"Graphs";#N/A,#N/A,FALSE,"4 Panel"}</definedName>
    <definedName name="__New31" hidden="1">{#N/A,#N/A,FALSE,"SMT1";#N/A,#N/A,FALSE,"SMT2";#N/A,#N/A,FALSE,"Summary";#N/A,#N/A,FALSE,"Graphs";#N/A,#N/A,FALSE,"4 Panel"}</definedName>
    <definedName name="__New32" hidden="1">{#N/A,#N/A,FALSE,"SMT1";#N/A,#N/A,FALSE,"SMT2";#N/A,#N/A,FALSE,"Summary";#N/A,#N/A,FALSE,"Graphs";#N/A,#N/A,FALSE,"4 Panel"}</definedName>
    <definedName name="__New33" hidden="1">{#N/A,#N/A,FALSE,"Full";#N/A,#N/A,FALSE,"Half";#N/A,#N/A,FALSE,"Op Expenses";#N/A,#N/A,FALSE,"Cap Charge";#N/A,#N/A,FALSE,"Cost C";#N/A,#N/A,FALSE,"PP&amp;E";#N/A,#N/A,FALSE,"R&amp;D"}</definedName>
    <definedName name="__New34" hidden="1">{"EVA",#N/A,FALSE,"SMT2";#N/A,#N/A,FALSE,"Summary";#N/A,#N/A,FALSE,"Graphs";#N/A,#N/A,FALSE,"4 Panel"}</definedName>
    <definedName name="__New35" hidden="1">{#N/A,#N/A,FALSE,"SMT1";#N/A,#N/A,FALSE,"SMT2";#N/A,#N/A,FALSE,"Summary";#N/A,#N/A,FALSE,"Graphs";#N/A,#N/A,FALSE,"4 Panel"}</definedName>
    <definedName name="__New36" hidden="1">{#N/A,#N/A,FALSE,"Full";#N/A,#N/A,FALSE,"Half";#N/A,#N/A,FALSE,"Op Expenses";#N/A,#N/A,FALSE,"Cap Charge";#N/A,#N/A,FALSE,"Cost C";#N/A,#N/A,FALSE,"PP&amp;E";#N/A,#N/A,FALSE,"R&amp;D"}</definedName>
    <definedName name="__NEW4" hidden="1">{#N/A,#N/A,FALSE,"Full";#N/A,#N/A,FALSE,"Half";#N/A,#N/A,FALSE,"Op Expenses";#N/A,#N/A,FALSE,"Cap Charge";#N/A,#N/A,FALSE,"Cost C";#N/A,#N/A,FALSE,"PP&amp;E";#N/A,#N/A,FALSE,"R&amp;D"}</definedName>
    <definedName name="__OCT2" localSheetId="6" hidden="1">{#N/A,#N/A,FALSE,"BL&amp;GPA";#N/A,#N/A,FALSE,"Summary";#N/A,#N/A,FALSE,"hts"}</definedName>
    <definedName name="__OCT2" localSheetId="1" hidden="1">{#N/A,#N/A,FALSE,"BL&amp;GPA";#N/A,#N/A,FALSE,"Summary";#N/A,#N/A,FALSE,"hts"}</definedName>
    <definedName name="__OCT2" localSheetId="4" hidden="1">{#N/A,#N/A,FALSE,"BL&amp;GPA";#N/A,#N/A,FALSE,"Summary";#N/A,#N/A,FALSE,"hts"}</definedName>
    <definedName name="__OCT2" localSheetId="0" hidden="1">{#N/A,#N/A,FALSE,"BL&amp;GPA";#N/A,#N/A,FALSE,"Summary";#N/A,#N/A,FALSE,"hts"}</definedName>
    <definedName name="__OCT2" localSheetId="3" hidden="1">{#N/A,#N/A,FALSE,"BL&amp;GPA";#N/A,#N/A,FALSE,"Summary";#N/A,#N/A,FALSE,"hts"}</definedName>
    <definedName name="__OCT2" localSheetId="2" hidden="1">{#N/A,#N/A,FALSE,"BL&amp;GPA";#N/A,#N/A,FALSE,"Summary";#N/A,#N/A,FALSE,"hts"}</definedName>
    <definedName name="__OCT2" localSheetId="5" hidden="1">{#N/A,#N/A,FALSE,"BL&amp;GPA";#N/A,#N/A,FALSE,"Summary";#N/A,#N/A,FALSE,"hts"}</definedName>
    <definedName name="__OCT2" localSheetId="7" hidden="1">{#N/A,#N/A,FALSE,"BL&amp;GPA";#N/A,#N/A,FALSE,"Summary";#N/A,#N/A,FALSE,"hts"}</definedName>
    <definedName name="__OCT2" hidden="1">{#N/A,#N/A,FALSE,"BL&amp;GPA";#N/A,#N/A,FALSE,"Summary";#N/A,#N/A,FALSE,"hts"}</definedName>
    <definedName name="__ok1" localSheetId="6" hidden="1">{#N/A,#N/A,FALSE,"balance";#N/A,#N/A,FALSE,"PYG"}</definedName>
    <definedName name="__ok1" localSheetId="1" hidden="1">{#N/A,#N/A,FALSE,"balance";#N/A,#N/A,FALSE,"PYG"}</definedName>
    <definedName name="__ok1" localSheetId="4" hidden="1">{#N/A,#N/A,FALSE,"balance";#N/A,#N/A,FALSE,"PYG"}</definedName>
    <definedName name="__ok1" localSheetId="0" hidden="1">{#N/A,#N/A,FALSE,"balance";#N/A,#N/A,FALSE,"PYG"}</definedName>
    <definedName name="__ok1" localSheetId="3" hidden="1">{#N/A,#N/A,FALSE,"balance";#N/A,#N/A,FALSE,"PYG"}</definedName>
    <definedName name="__ok1" localSheetId="2" hidden="1">{#N/A,#N/A,FALSE,"balance";#N/A,#N/A,FALSE,"PYG"}</definedName>
    <definedName name="__ok1" localSheetId="5" hidden="1">{#N/A,#N/A,FALSE,"balance";#N/A,#N/A,FALSE,"PYG"}</definedName>
    <definedName name="__ok1" localSheetId="7" hidden="1">{#N/A,#N/A,FALSE,"balance";#N/A,#N/A,FALSE,"PYG"}</definedName>
    <definedName name="__ok1" hidden="1">{#N/A,#N/A,FALSE,"balance";#N/A,#N/A,FALSE,"PYG"}</definedName>
    <definedName name="__Ok2" localSheetId="6" hidden="1">{#N/A,#N/A,FALSE,"balance";#N/A,#N/A,FALSE,"PYG"}</definedName>
    <definedName name="__Ok2" localSheetId="1" hidden="1">{#N/A,#N/A,FALSE,"balance";#N/A,#N/A,FALSE,"PYG"}</definedName>
    <definedName name="__Ok2" localSheetId="4" hidden="1">{#N/A,#N/A,FALSE,"balance";#N/A,#N/A,FALSE,"PYG"}</definedName>
    <definedName name="__Ok2" localSheetId="0" hidden="1">{#N/A,#N/A,FALSE,"balance";#N/A,#N/A,FALSE,"PYG"}</definedName>
    <definedName name="__Ok2" localSheetId="3" hidden="1">{#N/A,#N/A,FALSE,"balance";#N/A,#N/A,FALSE,"PYG"}</definedName>
    <definedName name="__Ok2" localSheetId="2" hidden="1">{#N/A,#N/A,FALSE,"balance";#N/A,#N/A,FALSE,"PYG"}</definedName>
    <definedName name="__Ok2" localSheetId="5" hidden="1">{#N/A,#N/A,FALSE,"balance";#N/A,#N/A,FALSE,"PYG"}</definedName>
    <definedName name="__Ok2" localSheetId="7" hidden="1">{#N/A,#N/A,FALSE,"balance";#N/A,#N/A,FALSE,"PYG"}</definedName>
    <definedName name="__Ok2" hidden="1">{#N/A,#N/A,FALSE,"balance";#N/A,#N/A,FALSE,"PYG"}</definedName>
    <definedName name="__PyG2" localSheetId="6" hidden="1">{#N/A,#N/A,FALSE,"balance";#N/A,#N/A,FALSE,"PYG"}</definedName>
    <definedName name="__PyG2" localSheetId="1" hidden="1">{#N/A,#N/A,FALSE,"balance";#N/A,#N/A,FALSE,"PYG"}</definedName>
    <definedName name="__PyG2" localSheetId="4" hidden="1">{#N/A,#N/A,FALSE,"balance";#N/A,#N/A,FALSE,"PYG"}</definedName>
    <definedName name="__PyG2" localSheetId="0" hidden="1">{#N/A,#N/A,FALSE,"balance";#N/A,#N/A,FALSE,"PYG"}</definedName>
    <definedName name="__PyG2" localSheetId="3" hidden="1">{#N/A,#N/A,FALSE,"balance";#N/A,#N/A,FALSE,"PYG"}</definedName>
    <definedName name="__PyG2" localSheetId="2" hidden="1">{#N/A,#N/A,FALSE,"balance";#N/A,#N/A,FALSE,"PYG"}</definedName>
    <definedName name="__PyG2" localSheetId="5" hidden="1">{#N/A,#N/A,FALSE,"balance";#N/A,#N/A,FALSE,"PYG"}</definedName>
    <definedName name="__PyG2" localSheetId="7" hidden="1">{#N/A,#N/A,FALSE,"balance";#N/A,#N/A,FALSE,"PYG"}</definedName>
    <definedName name="__PyG2" hidden="1">{#N/A,#N/A,FALSE,"balance";#N/A,#N/A,FALSE,"PYG"}</definedName>
    <definedName name="__PYG3" localSheetId="6" hidden="1">{#N/A,#N/A,FALSE,"balance";#N/A,#N/A,FALSE,"PYG"}</definedName>
    <definedName name="__PYG3" localSheetId="1" hidden="1">{#N/A,#N/A,FALSE,"balance";#N/A,#N/A,FALSE,"PYG"}</definedName>
    <definedName name="__PYG3" localSheetId="4" hidden="1">{#N/A,#N/A,FALSE,"balance";#N/A,#N/A,FALSE,"PYG"}</definedName>
    <definedName name="__PYG3" localSheetId="0" hidden="1">{#N/A,#N/A,FALSE,"balance";#N/A,#N/A,FALSE,"PYG"}</definedName>
    <definedName name="__PYG3" localSheetId="3" hidden="1">{#N/A,#N/A,FALSE,"balance";#N/A,#N/A,FALSE,"PYG"}</definedName>
    <definedName name="__PYG3" localSheetId="2" hidden="1">{#N/A,#N/A,FALSE,"balance";#N/A,#N/A,FALSE,"PYG"}</definedName>
    <definedName name="__PYG3" localSheetId="5" hidden="1">{#N/A,#N/A,FALSE,"balance";#N/A,#N/A,FALSE,"PYG"}</definedName>
    <definedName name="__PYG3" localSheetId="7" hidden="1">{#N/A,#N/A,FALSE,"balance";#N/A,#N/A,FALSE,"PYG"}</definedName>
    <definedName name="__PYG3" hidden="1">{#N/A,#N/A,FALSE,"balance";#N/A,#N/A,FALSE,"PYG"}</definedName>
    <definedName name="__PyG33" localSheetId="6" hidden="1">{#N/A,#N/A,FALSE,"balance";#N/A,#N/A,FALSE,"PYG"}</definedName>
    <definedName name="__PyG33" localSheetId="1" hidden="1">{#N/A,#N/A,FALSE,"balance";#N/A,#N/A,FALSE,"PYG"}</definedName>
    <definedName name="__PyG33" localSheetId="4" hidden="1">{#N/A,#N/A,FALSE,"balance";#N/A,#N/A,FALSE,"PYG"}</definedName>
    <definedName name="__PyG33" localSheetId="0" hidden="1">{#N/A,#N/A,FALSE,"balance";#N/A,#N/A,FALSE,"PYG"}</definedName>
    <definedName name="__PyG33" localSheetId="3" hidden="1">{#N/A,#N/A,FALSE,"balance";#N/A,#N/A,FALSE,"PYG"}</definedName>
    <definedName name="__PyG33" localSheetId="2" hidden="1">{#N/A,#N/A,FALSE,"balance";#N/A,#N/A,FALSE,"PYG"}</definedName>
    <definedName name="__PyG33" localSheetId="5" hidden="1">{#N/A,#N/A,FALSE,"balance";#N/A,#N/A,FALSE,"PYG"}</definedName>
    <definedName name="__PyG33" localSheetId="7" hidden="1">{#N/A,#N/A,FALSE,"balance";#N/A,#N/A,FALSE,"PYG"}</definedName>
    <definedName name="__PyG33" hidden="1">{#N/A,#N/A,FALSE,"balance";#N/A,#N/A,FALSE,"PYG"}</definedName>
    <definedName name="__PYG4" hidden="1">{#N/A,#N/A,FALSE,"balance";#N/A,#N/A,FALSE,"PYG"}</definedName>
    <definedName name="__R" localSheetId="4" hidden="1">{#N/A,#N/A,FALSE,"GRAFICO";#N/A,#N/A,FALSE,"CAJA (2)";#N/A,#N/A,FALSE,"TERCEROS-PROMEDIO";#N/A,#N/A,FALSE,"CAJA";#N/A,#N/A,FALSE,"INGRESOS1995-2003";#N/A,#N/A,FALSE,"GASTOS1995-2003"}</definedName>
    <definedName name="__R" localSheetId="3" hidden="1">{#N/A,#N/A,FALSE,"GRAFICO";#N/A,#N/A,FALSE,"CAJA (2)";#N/A,#N/A,FALSE,"TERCEROS-PROMEDIO";#N/A,#N/A,FALSE,"CAJA";#N/A,#N/A,FALSE,"INGRESOS1995-2003";#N/A,#N/A,FALSE,"GASTOS1995-2003"}</definedName>
    <definedName name="__R" localSheetId="2" hidden="1">{#N/A,#N/A,FALSE,"GRAFICO";#N/A,#N/A,FALSE,"CAJA (2)";#N/A,#N/A,FALSE,"TERCEROS-PROMEDIO";#N/A,#N/A,FALSE,"CAJA";#N/A,#N/A,FALSE,"INGRESOS1995-2003";#N/A,#N/A,FALSE,"GASTOS1995-2003"}</definedName>
    <definedName name="__R" hidden="1">{#N/A,#N/A,FALSE,"GRAFICO";#N/A,#N/A,FALSE,"CAJA (2)";#N/A,#N/A,FALSE,"TERCEROS-PROMEDIO";#N/A,#N/A,FALSE,"CAJA";#N/A,#N/A,FALSE,"INGRESOS1995-2003";#N/A,#N/A,FALSE,"GASTOS1995-2003"}</definedName>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512</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f" hidden="1">{#N/A,#N/A,FALSE,"GRAFICO";#N/A,#N/A,FALSE,"CAJA (2)";#N/A,#N/A,FALSE,"TERCEROS-PROMEDIO";#N/A,#N/A,FALSE,"CAJA";#N/A,#N/A,FALSE,"INGRESOS1995-2003";#N/A,#N/A,FALSE,"GASTOS1995-2003"}</definedName>
    <definedName name="_Fill" localSheetId="6" hidden="1">#REF!</definedName>
    <definedName name="_Fill" localSheetId="1" hidden="1">#REF!</definedName>
    <definedName name="_Fill" localSheetId="4" hidden="1">#REF!</definedName>
    <definedName name="_Fill" localSheetId="0" hidden="1">#REF!</definedName>
    <definedName name="_Fill" localSheetId="3" hidden="1">#REF!</definedName>
    <definedName name="_Fill" localSheetId="2" hidden="1">#REF!</definedName>
    <definedName name="_Fill" localSheetId="5" hidden="1">#REF!</definedName>
    <definedName name="_Fill" localSheetId="7" hidden="1">#REF!</definedName>
    <definedName name="_Fill" hidden="1">#REF!</definedName>
    <definedName name="_GGF2" localSheetId="6" hidden="1">{#N/A,#N/A,FALSE,"balance";#N/A,#N/A,FALSE,"PYG"}</definedName>
    <definedName name="_GGF2" localSheetId="1" hidden="1">{#N/A,#N/A,FALSE,"balance";#N/A,#N/A,FALSE,"PYG"}</definedName>
    <definedName name="_GGF2" localSheetId="4" hidden="1">{#N/A,#N/A,FALSE,"balance";#N/A,#N/A,FALSE,"PYG"}</definedName>
    <definedName name="_GGF2" localSheetId="0" hidden="1">{#N/A,#N/A,FALSE,"balance";#N/A,#N/A,FALSE,"PYG"}</definedName>
    <definedName name="_GGF2" localSheetId="3" hidden="1">{#N/A,#N/A,FALSE,"balance";#N/A,#N/A,FALSE,"PYG"}</definedName>
    <definedName name="_GGF2" localSheetId="2" hidden="1">{#N/A,#N/A,FALSE,"balance";#N/A,#N/A,FALSE,"PYG"}</definedName>
    <definedName name="_GGF2" localSheetId="5" hidden="1">{#N/A,#N/A,FALSE,"balance";#N/A,#N/A,FALSE,"PYG"}</definedName>
    <definedName name="_GGF2" localSheetId="7" hidden="1">{#N/A,#N/A,FALSE,"balance";#N/A,#N/A,FALSE,"PYG"}</definedName>
    <definedName name="_GGF2" hidden="1">{#N/A,#N/A,FALSE,"balance";#N/A,#N/A,FALSE,"PYG"}</definedName>
    <definedName name="_Key1" localSheetId="6" hidden="1">[3]INVERGPO!$AF$24:$AF$103</definedName>
    <definedName name="_Key1" localSheetId="5" hidden="1">[3]INVERGPO!$AF$24:$AF$103</definedName>
    <definedName name="_Key1" localSheetId="7" hidden="1">[3]INVERGPO!$AF$24:$AF$103</definedName>
    <definedName name="_Key1" hidden="1">[4]INVERGPO!$AF$24:$AF$103</definedName>
    <definedName name="_Key2" localSheetId="6" hidden="1">[3]INVERGPO!$AF$7:$AF$11</definedName>
    <definedName name="_Key2" localSheetId="5" hidden="1">[3]INVERGPO!$AF$7:$AF$11</definedName>
    <definedName name="_Key2" localSheetId="7" hidden="1">[3]INVERGPO!$AF$7:$AF$11</definedName>
    <definedName name="_Key2" hidden="1">[4]INVERGPO!$AF$7:$AF$11</definedName>
    <definedName name="_Key54" localSheetId="6" hidden="1">[3]INVERGPO!$AF$24:$AF$103</definedName>
    <definedName name="_Key54" localSheetId="5" hidden="1">[3]INVERGPO!$AF$24:$AF$103</definedName>
    <definedName name="_Key54" localSheetId="7" hidden="1">[3]INVERGPO!$AF$24:$AF$103</definedName>
    <definedName name="_Key54" hidden="1">[4]INVERGPO!$AF$24:$AF$103</definedName>
    <definedName name="_Key55" localSheetId="6" hidden="1">[3]INVERGPO!$AF$7:$AF$11</definedName>
    <definedName name="_Key55" localSheetId="5" hidden="1">[3]INVERGPO!$AF$7:$AF$11</definedName>
    <definedName name="_Key55" localSheetId="7" hidden="1">[3]INVERGPO!$AF$7:$AF$11</definedName>
    <definedName name="_Key55" hidden="1">[4]INVERGPO!$AF$7:$AF$11</definedName>
    <definedName name="_new1" hidden="1">{#N/A,#N/A,FALSE,"SMT1";#N/A,#N/A,FALSE,"SMT2";#N/A,#N/A,FALSE,"Summary";#N/A,#N/A,FALSE,"Graphs";#N/A,#N/A,FALSE,"4 Panel"}</definedName>
    <definedName name="_New15" hidden="1">{"EVA",#N/A,FALSE,"SMT2";#N/A,#N/A,FALSE,"Summary";#N/A,#N/A,FALSE,"Graphs";#N/A,#N/A,FALSE,"4 Panel"}</definedName>
    <definedName name="_New16" hidden="1">{#N/A,#N/A,FALSE,"SMT1";#N/A,#N/A,FALSE,"SMT2";#N/A,#N/A,FALSE,"Summary";#N/A,#N/A,FALSE,"Graphs";#N/A,#N/A,FALSE,"4 Panel"}</definedName>
    <definedName name="_New17" hidden="1">{#N/A,#N/A,FALSE,"SMT1";#N/A,#N/A,FALSE,"SMT2";#N/A,#N/A,FALSE,"Summary";#N/A,#N/A,FALSE,"Graphs";#N/A,#N/A,FALSE,"4 Panel"}</definedName>
    <definedName name="_New18" hidden="1">{#N/A,#N/A,FALSE,"Full";#N/A,#N/A,FALSE,"Half";#N/A,#N/A,FALSE,"Op Expenses";#N/A,#N/A,FALSE,"Cap Charge";#N/A,#N/A,FALSE,"Cost C";#N/A,#N/A,FALSE,"PP&amp;E";#N/A,#N/A,FALSE,"R&amp;D"}</definedName>
    <definedName name="_New19" hidden="1">{"EVA",#N/A,FALSE,"SMT2";#N/A,#N/A,FALSE,"Summary";#N/A,#N/A,FALSE,"Graphs";#N/A,#N/A,FALSE,"4 Panel"}</definedName>
    <definedName name="_New20" hidden="1">{#N/A,#N/A,FALSE,"SMT1";#N/A,#N/A,FALSE,"SMT2";#N/A,#N/A,FALSE,"Summary";#N/A,#N/A,FALSE,"Graphs";#N/A,#N/A,FALSE,"4 Panel"}</definedName>
    <definedName name="_New21" hidden="1">{#N/A,#N/A,FALSE,"Full";#N/A,#N/A,FALSE,"Half";#N/A,#N/A,FALSE,"Op Expenses";#N/A,#N/A,FALSE,"Cap Charge";#N/A,#N/A,FALSE,"Cost C";#N/A,#N/A,FALSE,"PP&amp;E";#N/A,#N/A,FALSE,"R&amp;D"}</definedName>
    <definedName name="_NEW3" hidden="1">{#N/A,#N/A,FALSE,"SMT1";#N/A,#N/A,FALSE,"SMT2";#N/A,#N/A,FALSE,"Summary";#N/A,#N/A,FALSE,"Graphs";#N/A,#N/A,FALSE,"4 Panel"}</definedName>
    <definedName name="_nEW30" hidden="1">{"EVA",#N/A,FALSE,"SMT2";#N/A,#N/A,FALSE,"Summary";#N/A,#N/A,FALSE,"Graphs";#N/A,#N/A,FALSE,"4 Panel"}</definedName>
    <definedName name="_New31" hidden="1">{#N/A,#N/A,FALSE,"SMT1";#N/A,#N/A,FALSE,"SMT2";#N/A,#N/A,FALSE,"Summary";#N/A,#N/A,FALSE,"Graphs";#N/A,#N/A,FALSE,"4 Panel"}</definedName>
    <definedName name="_New32" hidden="1">{#N/A,#N/A,FALSE,"SMT1";#N/A,#N/A,FALSE,"SMT2";#N/A,#N/A,FALSE,"Summary";#N/A,#N/A,FALSE,"Graphs";#N/A,#N/A,FALSE,"4 Panel"}</definedName>
    <definedName name="_New33" hidden="1">{#N/A,#N/A,FALSE,"Full";#N/A,#N/A,FALSE,"Half";#N/A,#N/A,FALSE,"Op Expenses";#N/A,#N/A,FALSE,"Cap Charge";#N/A,#N/A,FALSE,"Cost C";#N/A,#N/A,FALSE,"PP&amp;E";#N/A,#N/A,FALSE,"R&amp;D"}</definedName>
    <definedName name="_New34" hidden="1">{"EVA",#N/A,FALSE,"SMT2";#N/A,#N/A,FALSE,"Summary";#N/A,#N/A,FALSE,"Graphs";#N/A,#N/A,FALSE,"4 Panel"}</definedName>
    <definedName name="_New35" hidden="1">{#N/A,#N/A,FALSE,"SMT1";#N/A,#N/A,FALSE,"SMT2";#N/A,#N/A,FALSE,"Summary";#N/A,#N/A,FALSE,"Graphs";#N/A,#N/A,FALSE,"4 Panel"}</definedName>
    <definedName name="_New36" hidden="1">{#N/A,#N/A,FALSE,"Full";#N/A,#N/A,FALSE,"Half";#N/A,#N/A,FALSE,"Op Expenses";#N/A,#N/A,FALSE,"Cap Charge";#N/A,#N/A,FALSE,"Cost C";#N/A,#N/A,FALSE,"PP&amp;E";#N/A,#N/A,FALSE,"R&amp;D"}</definedName>
    <definedName name="_NEW4" hidden="1">{#N/A,#N/A,FALSE,"Full";#N/A,#N/A,FALSE,"Half";#N/A,#N/A,FALSE,"Op Expenses";#N/A,#N/A,FALSE,"Cap Charge";#N/A,#N/A,FALSE,"Cost C";#N/A,#N/A,FALSE,"PP&amp;E";#N/A,#N/A,FALSE,"R&amp;D"}</definedName>
    <definedName name="_OCT2" localSheetId="6" hidden="1">{#N/A,#N/A,FALSE,"BL&amp;GPA";#N/A,#N/A,FALSE,"Summary";#N/A,#N/A,FALSE,"hts"}</definedName>
    <definedName name="_OCT2" localSheetId="1" hidden="1">{#N/A,#N/A,FALSE,"BL&amp;GPA";#N/A,#N/A,FALSE,"Summary";#N/A,#N/A,FALSE,"hts"}</definedName>
    <definedName name="_OCT2" localSheetId="4" hidden="1">{#N/A,#N/A,FALSE,"BL&amp;GPA";#N/A,#N/A,FALSE,"Summary";#N/A,#N/A,FALSE,"hts"}</definedName>
    <definedName name="_OCT2" localSheetId="0" hidden="1">{#N/A,#N/A,FALSE,"BL&amp;GPA";#N/A,#N/A,FALSE,"Summary";#N/A,#N/A,FALSE,"hts"}</definedName>
    <definedName name="_OCT2" localSheetId="3" hidden="1">{#N/A,#N/A,FALSE,"BL&amp;GPA";#N/A,#N/A,FALSE,"Summary";#N/A,#N/A,FALSE,"hts"}</definedName>
    <definedName name="_OCT2" localSheetId="2" hidden="1">{#N/A,#N/A,FALSE,"BL&amp;GPA";#N/A,#N/A,FALSE,"Summary";#N/A,#N/A,FALSE,"hts"}</definedName>
    <definedName name="_OCT2" localSheetId="5" hidden="1">{#N/A,#N/A,FALSE,"BL&amp;GPA";#N/A,#N/A,FALSE,"Summary";#N/A,#N/A,FALSE,"hts"}</definedName>
    <definedName name="_OCT2" localSheetId="7" hidden="1">{#N/A,#N/A,FALSE,"BL&amp;GPA";#N/A,#N/A,FALSE,"Summary";#N/A,#N/A,FALSE,"hts"}</definedName>
    <definedName name="_OCT2" hidden="1">{#N/A,#N/A,FALSE,"BL&amp;GPA";#N/A,#N/A,FALSE,"Summary";#N/A,#N/A,FALSE,"hts"}</definedName>
    <definedName name="_ok1" localSheetId="6" hidden="1">{#N/A,#N/A,FALSE,"balance";#N/A,#N/A,FALSE,"PYG"}</definedName>
    <definedName name="_ok1" localSheetId="1" hidden="1">{#N/A,#N/A,FALSE,"balance";#N/A,#N/A,FALSE,"PYG"}</definedName>
    <definedName name="_ok1" localSheetId="4" hidden="1">{#N/A,#N/A,FALSE,"balance";#N/A,#N/A,FALSE,"PYG"}</definedName>
    <definedName name="_ok1" localSheetId="0" hidden="1">{#N/A,#N/A,FALSE,"balance";#N/A,#N/A,FALSE,"PYG"}</definedName>
    <definedName name="_ok1" localSheetId="3" hidden="1">{#N/A,#N/A,FALSE,"balance";#N/A,#N/A,FALSE,"PYG"}</definedName>
    <definedName name="_ok1" localSheetId="2" hidden="1">{#N/A,#N/A,FALSE,"balance";#N/A,#N/A,FALSE,"PYG"}</definedName>
    <definedName name="_ok1" localSheetId="5" hidden="1">{#N/A,#N/A,FALSE,"balance";#N/A,#N/A,FALSE,"PYG"}</definedName>
    <definedName name="_ok1" localSheetId="7" hidden="1">{#N/A,#N/A,FALSE,"balance";#N/A,#N/A,FALSE,"PYG"}</definedName>
    <definedName name="_ok1" hidden="1">{#N/A,#N/A,FALSE,"balance";#N/A,#N/A,FALSE,"PYG"}</definedName>
    <definedName name="_Ok2" localSheetId="6" hidden="1">{#N/A,#N/A,FALSE,"balance";#N/A,#N/A,FALSE,"PYG"}</definedName>
    <definedName name="_Ok2" localSheetId="1" hidden="1">{#N/A,#N/A,FALSE,"balance";#N/A,#N/A,FALSE,"PYG"}</definedName>
    <definedName name="_Ok2" localSheetId="4" hidden="1">{#N/A,#N/A,FALSE,"balance";#N/A,#N/A,FALSE,"PYG"}</definedName>
    <definedName name="_Ok2" localSheetId="0" hidden="1">{#N/A,#N/A,FALSE,"balance";#N/A,#N/A,FALSE,"PYG"}</definedName>
    <definedName name="_Ok2" localSheetId="3" hidden="1">{#N/A,#N/A,FALSE,"balance";#N/A,#N/A,FALSE,"PYG"}</definedName>
    <definedName name="_Ok2" localSheetId="2" hidden="1">{#N/A,#N/A,FALSE,"balance";#N/A,#N/A,FALSE,"PYG"}</definedName>
    <definedName name="_Ok2" localSheetId="5" hidden="1">{#N/A,#N/A,FALSE,"balance";#N/A,#N/A,FALSE,"PYG"}</definedName>
    <definedName name="_Ok2" localSheetId="7" hidden="1">{#N/A,#N/A,FALSE,"balance";#N/A,#N/A,FALSE,"PYG"}</definedName>
    <definedName name="_Ok2" hidden="1">{#N/A,#N/A,FALSE,"balance";#N/A,#N/A,FALSE,"PYG"}</definedName>
    <definedName name="_Orden" localSheetId="6" hidden="1">[3]INVERGPO!$B$24:$AF$103</definedName>
    <definedName name="_Orden" localSheetId="5" hidden="1">[3]INVERGPO!$B$24:$AF$103</definedName>
    <definedName name="_Orden" localSheetId="7" hidden="1">[3]INVERGPO!$B$24:$AF$103</definedName>
    <definedName name="_Orden" hidden="1">[4]INVERGPO!$B$24:$AF$103</definedName>
    <definedName name="_Order1" hidden="1">0</definedName>
    <definedName name="_Order2" hidden="1">0</definedName>
    <definedName name="_Parse_In" localSheetId="6" hidden="1">[5]BOGOTA!#REF!</definedName>
    <definedName name="_Parse_In" localSheetId="1" hidden="1">[5]BOGOTA!#REF!</definedName>
    <definedName name="_Parse_In" localSheetId="4" hidden="1">[5]BOGOTA!#REF!</definedName>
    <definedName name="_Parse_In" localSheetId="0" hidden="1">[5]BOGOTA!#REF!</definedName>
    <definedName name="_Parse_In" localSheetId="3" hidden="1">[5]BOGOTA!#REF!</definedName>
    <definedName name="_Parse_In" localSheetId="2" hidden="1">[5]BOGOTA!#REF!</definedName>
    <definedName name="_Parse_In" localSheetId="5" hidden="1">[5]BOGOTA!#REF!</definedName>
    <definedName name="_Parse_In" localSheetId="7" hidden="1">[5]BOGOTA!#REF!</definedName>
    <definedName name="_Parse_In" hidden="1">[5]BOGOTA!#REF!</definedName>
    <definedName name="_Parse_Out" localSheetId="1" hidden="1">#REF!</definedName>
    <definedName name="_Parse_Out" localSheetId="4" hidden="1">#REF!</definedName>
    <definedName name="_Parse_Out" localSheetId="0" hidden="1">#REF!</definedName>
    <definedName name="_Parse_Out" localSheetId="3" hidden="1">#REF!</definedName>
    <definedName name="_Parse_Out" localSheetId="2" hidden="1">#REF!</definedName>
    <definedName name="_Parse_Out" hidden="1">#REF!</definedName>
    <definedName name="_PyG2" localSheetId="6" hidden="1">{#N/A,#N/A,FALSE,"balance";#N/A,#N/A,FALSE,"PYG"}</definedName>
    <definedName name="_PyG2" localSheetId="1" hidden="1">{#N/A,#N/A,FALSE,"balance";#N/A,#N/A,FALSE,"PYG"}</definedName>
    <definedName name="_PyG2" localSheetId="4" hidden="1">{#N/A,#N/A,FALSE,"balance";#N/A,#N/A,FALSE,"PYG"}</definedName>
    <definedName name="_PyG2" localSheetId="0" hidden="1">{#N/A,#N/A,FALSE,"balance";#N/A,#N/A,FALSE,"PYG"}</definedName>
    <definedName name="_PyG2" localSheetId="3" hidden="1">{#N/A,#N/A,FALSE,"balance";#N/A,#N/A,FALSE,"PYG"}</definedName>
    <definedName name="_PyG2" localSheetId="2" hidden="1">{#N/A,#N/A,FALSE,"balance";#N/A,#N/A,FALSE,"PYG"}</definedName>
    <definedName name="_PyG2" localSheetId="5" hidden="1">{#N/A,#N/A,FALSE,"balance";#N/A,#N/A,FALSE,"PYG"}</definedName>
    <definedName name="_PyG2" localSheetId="7" hidden="1">{#N/A,#N/A,FALSE,"balance";#N/A,#N/A,FALSE,"PYG"}</definedName>
    <definedName name="_PyG2" hidden="1">{#N/A,#N/A,FALSE,"balance";#N/A,#N/A,FALSE,"PYG"}</definedName>
    <definedName name="_PYG3" localSheetId="6" hidden="1">{#N/A,#N/A,FALSE,"balance";#N/A,#N/A,FALSE,"PYG"}</definedName>
    <definedName name="_PYG3" localSheetId="1" hidden="1">{#N/A,#N/A,FALSE,"balance";#N/A,#N/A,FALSE,"PYG"}</definedName>
    <definedName name="_PYG3" localSheetId="4" hidden="1">{#N/A,#N/A,FALSE,"balance";#N/A,#N/A,FALSE,"PYG"}</definedName>
    <definedName name="_PYG3" localSheetId="0" hidden="1">{#N/A,#N/A,FALSE,"balance";#N/A,#N/A,FALSE,"PYG"}</definedName>
    <definedName name="_PYG3" localSheetId="3" hidden="1">{#N/A,#N/A,FALSE,"balance";#N/A,#N/A,FALSE,"PYG"}</definedName>
    <definedName name="_PYG3" localSheetId="2" hidden="1">{#N/A,#N/A,FALSE,"balance";#N/A,#N/A,FALSE,"PYG"}</definedName>
    <definedName name="_PYG3" localSheetId="5" hidden="1">{#N/A,#N/A,FALSE,"balance";#N/A,#N/A,FALSE,"PYG"}</definedName>
    <definedName name="_PYG3" localSheetId="7" hidden="1">{#N/A,#N/A,FALSE,"balance";#N/A,#N/A,FALSE,"PYG"}</definedName>
    <definedName name="_PYG3" hidden="1">{#N/A,#N/A,FALSE,"balance";#N/A,#N/A,FALSE,"PYG"}</definedName>
    <definedName name="_PyG33" localSheetId="6" hidden="1">{#N/A,#N/A,FALSE,"balance";#N/A,#N/A,FALSE,"PYG"}</definedName>
    <definedName name="_PyG33" localSheetId="1" hidden="1">{#N/A,#N/A,FALSE,"balance";#N/A,#N/A,FALSE,"PYG"}</definedName>
    <definedName name="_PyG33" localSheetId="4" hidden="1">{#N/A,#N/A,FALSE,"balance";#N/A,#N/A,FALSE,"PYG"}</definedName>
    <definedName name="_PyG33" localSheetId="0" hidden="1">{#N/A,#N/A,FALSE,"balance";#N/A,#N/A,FALSE,"PYG"}</definedName>
    <definedName name="_PyG33" localSheetId="3" hidden="1">{#N/A,#N/A,FALSE,"balance";#N/A,#N/A,FALSE,"PYG"}</definedName>
    <definedName name="_PyG33" localSheetId="2" hidden="1">{#N/A,#N/A,FALSE,"balance";#N/A,#N/A,FALSE,"PYG"}</definedName>
    <definedName name="_PyG33" localSheetId="5" hidden="1">{#N/A,#N/A,FALSE,"balance";#N/A,#N/A,FALSE,"PYG"}</definedName>
    <definedName name="_PyG33" localSheetId="7" hidden="1">{#N/A,#N/A,FALSE,"balance";#N/A,#N/A,FALSE,"PYG"}</definedName>
    <definedName name="_PyG33" hidden="1">{#N/A,#N/A,FALSE,"balance";#N/A,#N/A,FALSE,"PYG"}</definedName>
    <definedName name="_PYG4" hidden="1">{#N/A,#N/A,FALSE,"balance";#N/A,#N/A,FALSE,"PYG"}</definedName>
    <definedName name="_R" localSheetId="4" hidden="1">{#N/A,#N/A,FALSE,"GRAFICO";#N/A,#N/A,FALSE,"CAJA (2)";#N/A,#N/A,FALSE,"TERCEROS-PROMEDIO";#N/A,#N/A,FALSE,"CAJA";#N/A,#N/A,FALSE,"INGRESOS1995-2003";#N/A,#N/A,FALSE,"GASTOS1995-2003"}</definedName>
    <definedName name="_R" localSheetId="3" hidden="1">{#N/A,#N/A,FALSE,"GRAFICO";#N/A,#N/A,FALSE,"CAJA (2)";#N/A,#N/A,FALSE,"TERCEROS-PROMEDIO";#N/A,#N/A,FALSE,"CAJA";#N/A,#N/A,FALSE,"INGRESOS1995-2003";#N/A,#N/A,FALSE,"GASTOS1995-2003"}</definedName>
    <definedName name="_R" localSheetId="2" hidden="1">{#N/A,#N/A,FALSE,"GRAFICO";#N/A,#N/A,FALSE,"CAJA (2)";#N/A,#N/A,FALSE,"TERCEROS-PROMEDIO";#N/A,#N/A,FALSE,"CAJA";#N/A,#N/A,FALSE,"INGRESOS1995-2003";#N/A,#N/A,FALSE,"GASTOS1995-2003"}</definedName>
    <definedName name="_R" hidden="1">{#N/A,#N/A,FALSE,"GRAFICO";#N/A,#N/A,FALSE,"CAJA (2)";#N/A,#N/A,FALSE,"TERCEROS-PROMEDIO";#N/A,#N/A,FALSE,"CAJA";#N/A,#N/A,FALSE,"INGRESOS1995-2003";#N/A,#N/A,FALSE,"GASTOS1995-2003"}</definedName>
    <definedName name="_Regression_Int" hidden="1">1</definedName>
    <definedName name="_Regression_Out" localSheetId="6" hidden="1">#REF!</definedName>
    <definedName name="_Regression_Out" localSheetId="1" hidden="1">#REF!</definedName>
    <definedName name="_Regression_Out" localSheetId="4" hidden="1">#REF!</definedName>
    <definedName name="_Regression_Out" localSheetId="0" hidden="1">#REF!</definedName>
    <definedName name="_Regression_Out" localSheetId="3" hidden="1">#REF!</definedName>
    <definedName name="_Regression_Out" localSheetId="2" hidden="1">#REF!</definedName>
    <definedName name="_Regression_Out" localSheetId="5" hidden="1">#REF!</definedName>
    <definedName name="_Regression_Out" localSheetId="7" hidden="1">#REF!</definedName>
    <definedName name="_Regression_Out" hidden="1">#REF!</definedName>
    <definedName name="_Regression_X" localSheetId="6" hidden="1">#REF!</definedName>
    <definedName name="_Regression_X" localSheetId="1" hidden="1">#REF!</definedName>
    <definedName name="_Regression_X" localSheetId="4" hidden="1">#REF!</definedName>
    <definedName name="_Regression_X" localSheetId="0" hidden="1">#REF!</definedName>
    <definedName name="_Regression_X" localSheetId="3" hidden="1">#REF!</definedName>
    <definedName name="_Regression_X" localSheetId="2" hidden="1">#REF!</definedName>
    <definedName name="_Regression_X" localSheetId="5" hidden="1">#REF!</definedName>
    <definedName name="_Regression_X" localSheetId="7" hidden="1">#REF!</definedName>
    <definedName name="_Regression_X" hidden="1">#REF!</definedName>
    <definedName name="_Regression_Y" localSheetId="6" hidden="1">#REF!</definedName>
    <definedName name="_Regression_Y" localSheetId="1" hidden="1">#REF!</definedName>
    <definedName name="_Regression_Y" localSheetId="4" hidden="1">#REF!</definedName>
    <definedName name="_Regression_Y" localSheetId="0" hidden="1">#REF!</definedName>
    <definedName name="_Regression_Y" localSheetId="3" hidden="1">#REF!</definedName>
    <definedName name="_Regression_Y" localSheetId="2" hidden="1">#REF!</definedName>
    <definedName name="_Regression_Y" localSheetId="5" hidden="1">#REF!</definedName>
    <definedName name="_Regression_Y" localSheetId="7" hidden="1">#REF!</definedName>
    <definedName name="_Regression_Y" hidden="1">#REF!</definedName>
    <definedName name="_Sort" localSheetId="6" hidden="1">[3]INVERGPO!$B$24:$AF$103</definedName>
    <definedName name="_Sort" localSheetId="5" hidden="1">[3]INVERGPO!$B$24:$AF$103</definedName>
    <definedName name="_Sort" localSheetId="7" hidden="1">[3]INVERGPO!$B$24:$AF$103</definedName>
    <definedName name="_Sort" hidden="1">[4]INVERGPO!$B$24:$AF$103</definedName>
    <definedName name="_Table2_Out" localSheetId="6" hidden="1">#REF!</definedName>
    <definedName name="_Table2_Out" localSheetId="1" hidden="1">#REF!</definedName>
    <definedName name="_Table2_Out" localSheetId="4" hidden="1">#REF!</definedName>
    <definedName name="_Table2_Out" localSheetId="0" hidden="1">#REF!</definedName>
    <definedName name="_Table2_Out" localSheetId="3" hidden="1">#REF!</definedName>
    <definedName name="_Table2_Out" localSheetId="2" hidden="1">#REF!</definedName>
    <definedName name="_Table2_Out" localSheetId="5" hidden="1">#REF!</definedName>
    <definedName name="_Table2_Out" localSheetId="7" hidden="1">#REF!</definedName>
    <definedName name="_Table2_Out" hidden="1">#REF!</definedName>
    <definedName name="a" localSheetId="6" hidden="1">{#N/A,#N/A,FALSE,"balance";#N/A,#N/A,FALSE,"PYG"}</definedName>
    <definedName name="a" localSheetId="1" hidden="1">{#N/A,#N/A,FALSE,"balance";#N/A,#N/A,FALSE,"PYG"}</definedName>
    <definedName name="a" localSheetId="4" hidden="1">{#N/A,#N/A,FALSE,"balance";#N/A,#N/A,FALSE,"PYG"}</definedName>
    <definedName name="a" localSheetId="0" hidden="1">{#N/A,#N/A,FALSE,"balance";#N/A,#N/A,FALSE,"PYG"}</definedName>
    <definedName name="a" localSheetId="3" hidden="1">{#N/A,#N/A,FALSE,"balance";#N/A,#N/A,FALSE,"PYG"}</definedName>
    <definedName name="a" localSheetId="2" hidden="1">{#N/A,#N/A,FALSE,"balance";#N/A,#N/A,FALSE,"PYG"}</definedName>
    <definedName name="a" localSheetId="5" hidden="1">{#N/A,#N/A,FALSE,"balance";#N/A,#N/A,FALSE,"PYG"}</definedName>
    <definedName name="a" localSheetId="7" hidden="1">{#N/A,#N/A,FALSE,"balance";#N/A,#N/A,FALSE,"PYG"}</definedName>
    <definedName name="a" hidden="1">{#N/A,#N/A,FALSE,"balance";#N/A,#N/A,FALSE,"PYG"}</definedName>
    <definedName name="aa" hidden="1">{#N/A,#N/A,FALSE,"VENTAS";#N/A,#N/A,FALSE,"U. BRUTA";#N/A,#N/A,FALSE,"G. PERSONAL";#N/A,#N/A,FALSE,"G. OPERACION";#N/A,#N/A,FALSE,"G. DEPYAM";#N/A,#N/A,FALSE,"INGRESOS";#N/A,#N/A,FALSE,"G.o P.1";#N/A,#N/A,FALSE,"3%Informe Junta";#N/A,#N/A,FALSE,"P Y G (2)";#N/A,#N/A,FALSE,"CART. PROV.";#N/A,#N/A,FALSE,"Usecmes";#N/A,#N/A,FALSE,"Usecacu"}</definedName>
    <definedName name="AAA" localSheetId="6" hidden="1">{#N/A,#N/A,FALSE,"balance";#N/A,#N/A,FALSE,"PYG"}</definedName>
    <definedName name="AAA" localSheetId="1" hidden="1">{#N/A,#N/A,FALSE,"balance";#N/A,#N/A,FALSE,"PYG"}</definedName>
    <definedName name="AAA" localSheetId="4" hidden="1">{#N/A,#N/A,FALSE,"balance";#N/A,#N/A,FALSE,"PYG"}</definedName>
    <definedName name="AAA" localSheetId="0" hidden="1">{#N/A,#N/A,FALSE,"balance";#N/A,#N/A,FALSE,"PYG"}</definedName>
    <definedName name="AAA" localSheetId="3" hidden="1">{#N/A,#N/A,FALSE,"balance";#N/A,#N/A,FALSE,"PYG"}</definedName>
    <definedName name="AAA" localSheetId="2" hidden="1">{#N/A,#N/A,FALSE,"balance";#N/A,#N/A,FALSE,"PYG"}</definedName>
    <definedName name="AAA" localSheetId="5" hidden="1">{#N/A,#N/A,FALSE,"balance";#N/A,#N/A,FALSE,"PYG"}</definedName>
    <definedName name="AAA" localSheetId="7" hidden="1">{#N/A,#N/A,FALSE,"balance";#N/A,#N/A,FALSE,"PYG"}</definedName>
    <definedName name="AAA" hidden="1">{#N/A,#N/A,FALSE,"balance";#N/A,#N/A,FALSE,"PYG"}</definedName>
    <definedName name="AAAA" localSheetId="4" hidden="1">{#N/A,#N/A,FALSE,"Aging Summary";#N/A,#N/A,FALSE,"Ratio Analysis";#N/A,#N/A,FALSE,"Test 120 Day Accts";#N/A,#N/A,FALSE,"Tickmarks"}</definedName>
    <definedName name="AAAA" localSheetId="3" hidden="1">{#N/A,#N/A,FALSE,"Aging Summary";#N/A,#N/A,FALSE,"Ratio Analysis";#N/A,#N/A,FALSE,"Test 120 Day Accts";#N/A,#N/A,FALSE,"Tickmarks"}</definedName>
    <definedName name="AAAA" localSheetId="2" hidden="1">{#N/A,#N/A,FALSE,"Aging Summary";#N/A,#N/A,FALSE,"Ratio Analysis";#N/A,#N/A,FALSE,"Test 120 Day Accts";#N/A,#N/A,FALSE,"Tickmarks"}</definedName>
    <definedName name="AAAA" hidden="1">{#N/A,#N/A,FALSE,"Aging Summary";#N/A,#N/A,FALSE,"Ratio Analysis";#N/A,#N/A,FALSE,"Test 120 Day Accts";#N/A,#N/A,FALSE,"Tickmarks"}</definedName>
    <definedName name="AAAAA" localSheetId="6" hidden="1">{#N/A,#N/A,FALSE,"balance";#N/A,#N/A,FALSE,"PYG"}</definedName>
    <definedName name="AAAAA" localSheetId="1" hidden="1">{#N/A,#N/A,FALSE,"balance";#N/A,#N/A,FALSE,"PYG"}</definedName>
    <definedName name="AAAAA" localSheetId="4" hidden="1">{#N/A,#N/A,FALSE,"balance";#N/A,#N/A,FALSE,"PYG"}</definedName>
    <definedName name="AAAAA" localSheetId="0" hidden="1">{#N/A,#N/A,FALSE,"balance";#N/A,#N/A,FALSE,"PYG"}</definedName>
    <definedName name="AAAAA" localSheetId="3" hidden="1">{#N/A,#N/A,FALSE,"balance";#N/A,#N/A,FALSE,"PYG"}</definedName>
    <definedName name="AAAAA" localSheetId="2" hidden="1">{#N/A,#N/A,FALSE,"balance";#N/A,#N/A,FALSE,"PYG"}</definedName>
    <definedName name="AAAAA" localSheetId="5" hidden="1">{#N/A,#N/A,FALSE,"balance";#N/A,#N/A,FALSE,"PYG"}</definedName>
    <definedName name="AAAAA" localSheetId="7" hidden="1">{#N/A,#N/A,FALSE,"balance";#N/A,#N/A,FALSE,"PYG"}</definedName>
    <definedName name="AAAAA" hidden="1">{#N/A,#N/A,FALSE,"balance";#N/A,#N/A,FALSE,"PYG"}</definedName>
    <definedName name="aasasa" localSheetId="4" hidden="1">{#N/A,#N/A,TRUE,"Cond";#N/A,#N/A,TRUE,"Bce_hold";#N/A,#N/A,TRUE,"eerr_hold";#N/A,#N/A,TRUE,"eerr_prod";#N/A,#N/A,TRUE,"eerr_tipogtos";#N/A,#N/A,TRUE,"Flujo";#N/A,#N/A,TRUE,"Var_Ebit";#N/A,#N/A,TRUE,"Noa";#N/A,#N/A,TRUE,"Var_Noa"}</definedName>
    <definedName name="aasasa" localSheetId="3" hidden="1">{#N/A,#N/A,TRUE,"Cond";#N/A,#N/A,TRUE,"Bce_hold";#N/A,#N/A,TRUE,"eerr_hold";#N/A,#N/A,TRUE,"eerr_prod";#N/A,#N/A,TRUE,"eerr_tipogtos";#N/A,#N/A,TRUE,"Flujo";#N/A,#N/A,TRUE,"Var_Ebit";#N/A,#N/A,TRUE,"Noa";#N/A,#N/A,TRUE,"Var_Noa"}</definedName>
    <definedName name="aasasa" localSheetId="2" hidden="1">{#N/A,#N/A,TRUE,"Cond";#N/A,#N/A,TRUE,"Bce_hold";#N/A,#N/A,TRUE,"eerr_hold";#N/A,#N/A,TRUE,"eerr_prod";#N/A,#N/A,TRUE,"eerr_tipogtos";#N/A,#N/A,TRUE,"Flujo";#N/A,#N/A,TRUE,"Var_Ebit";#N/A,#N/A,TRUE,"Noa";#N/A,#N/A,TRUE,"Var_Noa"}</definedName>
    <definedName name="aasasa" hidden="1">{#N/A,#N/A,TRUE,"Cond";#N/A,#N/A,TRUE,"Bce_hold";#N/A,#N/A,TRUE,"eerr_hold";#N/A,#N/A,TRUE,"eerr_prod";#N/A,#N/A,TRUE,"eerr_tipogtos";#N/A,#N/A,TRUE,"Flujo";#N/A,#N/A,TRUE,"Var_Ebit";#N/A,#N/A,TRUE,"Noa";#N/A,#N/A,TRUE,"Var_Noa"}</definedName>
    <definedName name="aasasas" localSheetId="4" hidden="1">{#N/A,#N/A,TRUE,"Cond";#N/A,#N/A,TRUE,"Bce_hold";#N/A,#N/A,TRUE,"eerr_hold";#N/A,#N/A,TRUE,"eerr_prod";#N/A,#N/A,TRUE,"eerr_tipogtos";#N/A,#N/A,TRUE,"Flujo";#N/A,#N/A,TRUE,"Var_Ebit";#N/A,#N/A,TRUE,"Noa";#N/A,#N/A,TRUE,"Var_Noa"}</definedName>
    <definedName name="aasasas" localSheetId="3" hidden="1">{#N/A,#N/A,TRUE,"Cond";#N/A,#N/A,TRUE,"Bce_hold";#N/A,#N/A,TRUE,"eerr_hold";#N/A,#N/A,TRUE,"eerr_prod";#N/A,#N/A,TRUE,"eerr_tipogtos";#N/A,#N/A,TRUE,"Flujo";#N/A,#N/A,TRUE,"Var_Ebit";#N/A,#N/A,TRUE,"Noa";#N/A,#N/A,TRUE,"Var_Noa"}</definedName>
    <definedName name="aasasas" localSheetId="2" hidden="1">{#N/A,#N/A,TRUE,"Cond";#N/A,#N/A,TRUE,"Bce_hold";#N/A,#N/A,TRUE,"eerr_hold";#N/A,#N/A,TRUE,"eerr_prod";#N/A,#N/A,TRUE,"eerr_tipogtos";#N/A,#N/A,TRUE,"Flujo";#N/A,#N/A,TRUE,"Var_Ebit";#N/A,#N/A,TRUE,"Noa";#N/A,#N/A,TRUE,"Var_Noa"}</definedName>
    <definedName name="aasasas" hidden="1">{#N/A,#N/A,TRUE,"Cond";#N/A,#N/A,TRUE,"Bce_hold";#N/A,#N/A,TRUE,"eerr_hold";#N/A,#N/A,TRUE,"eerr_prod";#N/A,#N/A,TRUE,"eerr_tipogtos";#N/A,#N/A,TRUE,"Flujo";#N/A,#N/A,TRUE,"Var_Ebit";#N/A,#N/A,TRUE,"Noa";#N/A,#N/A,TRUE,"Var_Noa"}</definedName>
    <definedName name="ABARROTES" localSheetId="4" hidden="1">{#N/A,#N/A,FALSE,"VENTAS";#N/A,#N/A,FALSE,"U. BRUTA";#N/A,#N/A,FALSE,"G. PERSONAL";#N/A,#N/A,FALSE,"G. OPERACION";#N/A,#N/A,FALSE,"G. DEPYAM";#N/A,#N/A,FALSE,"INGRESOS";#N/A,#N/A,FALSE,"G.o P.1";#N/A,#N/A,FALSE,"3%Informe Junta";#N/A,#N/A,FALSE,"P Y G (2)";#N/A,#N/A,FALSE,"CART. PROV.";#N/A,#N/A,FALSE,"Usecmes";#N/A,#N/A,FALSE,"Usecacu"}</definedName>
    <definedName name="ABARROTES" localSheetId="3" hidden="1">{#N/A,#N/A,FALSE,"VENTAS";#N/A,#N/A,FALSE,"U. BRUTA";#N/A,#N/A,FALSE,"G. PERSONAL";#N/A,#N/A,FALSE,"G. OPERACION";#N/A,#N/A,FALSE,"G. DEPYAM";#N/A,#N/A,FALSE,"INGRESOS";#N/A,#N/A,FALSE,"G.o P.1";#N/A,#N/A,FALSE,"3%Informe Junta";#N/A,#N/A,FALSE,"P Y G (2)";#N/A,#N/A,FALSE,"CART. PROV.";#N/A,#N/A,FALSE,"Usecmes";#N/A,#N/A,FALSE,"Usecacu"}</definedName>
    <definedName name="ABARROTES" localSheetId="2" hidden="1">{#N/A,#N/A,FALSE,"VENTAS";#N/A,#N/A,FALSE,"U. BRUTA";#N/A,#N/A,FALSE,"G. PERSONAL";#N/A,#N/A,FALSE,"G. OPERACION";#N/A,#N/A,FALSE,"G. DEPYAM";#N/A,#N/A,FALSE,"INGRESOS";#N/A,#N/A,FALSE,"G.o P.1";#N/A,#N/A,FALSE,"3%Informe Junta";#N/A,#N/A,FALSE,"P Y G (2)";#N/A,#N/A,FALSE,"CART. PROV.";#N/A,#N/A,FALSE,"Usecmes";#N/A,#N/A,FALSE,"Usecacu"}</definedName>
    <definedName name="ABARROTES" hidden="1">{#N/A,#N/A,FALSE,"VENTAS";#N/A,#N/A,FALSE,"U. BRUTA";#N/A,#N/A,FALSE,"G. PERSONAL";#N/A,#N/A,FALSE,"G. OPERACION";#N/A,#N/A,FALSE,"G. DEPYAM";#N/A,#N/A,FALSE,"INGRESOS";#N/A,#N/A,FALSE,"G.o P.1";#N/A,#N/A,FALSE,"3%Informe Junta";#N/A,#N/A,FALSE,"P Y G (2)";#N/A,#N/A,FALSE,"CART. PROV.";#N/A,#N/A,FALSE,"Usecmes";#N/A,#N/A,FALSE,"Usecacu"}</definedName>
    <definedName name="abe" localSheetId="4" hidden="1">{#N/A,#N/A,FALSE,"balance";#N/A,#N/A,FALSE,"PYG"}</definedName>
    <definedName name="abe" localSheetId="3" hidden="1">{#N/A,#N/A,FALSE,"balance";#N/A,#N/A,FALSE,"PYG"}</definedName>
    <definedName name="abe" localSheetId="2" hidden="1">{#N/A,#N/A,FALSE,"balance";#N/A,#N/A,FALSE,"PYG"}</definedName>
    <definedName name="abe" hidden="1">{#N/A,#N/A,FALSE,"balance";#N/A,#N/A,FALSE,"PYG"}</definedName>
    <definedName name="Abr" localSheetId="6" hidden="1">{#N/A,#N/A,FALSE,"GP";#N/A,#N/A,FALSE,"Summary"}</definedName>
    <definedName name="Abr" localSheetId="1" hidden="1">{#N/A,#N/A,FALSE,"GP";#N/A,#N/A,FALSE,"Summary"}</definedName>
    <definedName name="Abr" localSheetId="4" hidden="1">{#N/A,#N/A,FALSE,"GP";#N/A,#N/A,FALSE,"Summary"}</definedName>
    <definedName name="Abr" localSheetId="0" hidden="1">{#N/A,#N/A,FALSE,"GP";#N/A,#N/A,FALSE,"Summary"}</definedName>
    <definedName name="Abr" localSheetId="3" hidden="1">{#N/A,#N/A,FALSE,"GP";#N/A,#N/A,FALSE,"Summary"}</definedName>
    <definedName name="Abr" localSheetId="2" hidden="1">{#N/A,#N/A,FALSE,"GP";#N/A,#N/A,FALSE,"Summary"}</definedName>
    <definedName name="Abr" localSheetId="5" hidden="1">{#N/A,#N/A,FALSE,"GP";#N/A,#N/A,FALSE,"Summary"}</definedName>
    <definedName name="Abr" localSheetId="7" hidden="1">{#N/A,#N/A,FALSE,"GP";#N/A,#N/A,FALSE,"Summary"}</definedName>
    <definedName name="Abr" hidden="1">{#N/A,#N/A,FALSE,"GP";#N/A,#N/A,FALSE,"Summary"}</definedName>
    <definedName name="ABRIL" localSheetId="6" hidden="1">{#N/A,#N/A,FALSE,"GP";#N/A,#N/A,FALSE,"Summary"}</definedName>
    <definedName name="ABRIL" localSheetId="1" hidden="1">{#N/A,#N/A,FALSE,"GP";#N/A,#N/A,FALSE,"Summary"}</definedName>
    <definedName name="ABRIL" localSheetId="4" hidden="1">{#N/A,#N/A,FALSE,"GP";#N/A,#N/A,FALSE,"Summary"}</definedName>
    <definedName name="ABRIL" localSheetId="0" hidden="1">{#N/A,#N/A,FALSE,"GP";#N/A,#N/A,FALSE,"Summary"}</definedName>
    <definedName name="ABRIL" localSheetId="3" hidden="1">{#N/A,#N/A,FALSE,"GP";#N/A,#N/A,FALSE,"Summary"}</definedName>
    <definedName name="ABRIL" localSheetId="2" hidden="1">{#N/A,#N/A,FALSE,"GP";#N/A,#N/A,FALSE,"Summary"}</definedName>
    <definedName name="ABRIL" localSheetId="5" hidden="1">{#N/A,#N/A,FALSE,"GP";#N/A,#N/A,FALSE,"Summary"}</definedName>
    <definedName name="ABRIL" localSheetId="7" hidden="1">{#N/A,#N/A,FALSE,"GP";#N/A,#N/A,FALSE,"Summary"}</definedName>
    <definedName name="ABRIL" hidden="1">{#N/A,#N/A,FALSE,"GP";#N/A,#N/A,FALSE,"Summary"}</definedName>
    <definedName name="Abril2" localSheetId="6" hidden="1">{#N/A,#N/A,FALSE,"GP";#N/A,#N/A,FALSE,"Summary"}</definedName>
    <definedName name="Abril2" localSheetId="1" hidden="1">{#N/A,#N/A,FALSE,"GP";#N/A,#N/A,FALSE,"Summary"}</definedName>
    <definedName name="Abril2" localSheetId="4" hidden="1">{#N/A,#N/A,FALSE,"GP";#N/A,#N/A,FALSE,"Summary"}</definedName>
    <definedName name="Abril2" localSheetId="0" hidden="1">{#N/A,#N/A,FALSE,"GP";#N/A,#N/A,FALSE,"Summary"}</definedName>
    <definedName name="Abril2" localSheetId="3" hidden="1">{#N/A,#N/A,FALSE,"GP";#N/A,#N/A,FALSE,"Summary"}</definedName>
    <definedName name="Abril2" localSheetId="2" hidden="1">{#N/A,#N/A,FALSE,"GP";#N/A,#N/A,FALSE,"Summary"}</definedName>
    <definedName name="Abril2" localSheetId="5" hidden="1">{#N/A,#N/A,FALSE,"GP";#N/A,#N/A,FALSE,"Summary"}</definedName>
    <definedName name="Abril2" localSheetId="7" hidden="1">{#N/A,#N/A,FALSE,"GP";#N/A,#N/A,FALSE,"Summary"}</definedName>
    <definedName name="Abril2" hidden="1">{#N/A,#N/A,FALSE,"GP";#N/A,#N/A,FALSE,"Summary"}</definedName>
    <definedName name="AccessDatabase" hidden="1">"F:\AndersonLegal\Modificado\ANEXOC2000 PARA SOCIEDADES.mdb"</definedName>
    <definedName name="adfadsfsa" localSheetId="4" hidden="1">{#N/A,#N/A,FALSE,"GRAFICO";#N/A,#N/A,FALSE,"CAJA (2)";#N/A,#N/A,FALSE,"TERCEROS-PROMEDIO";#N/A,#N/A,FALSE,"CAJA";#N/A,#N/A,FALSE,"INGRESOS1995-2003";#N/A,#N/A,FALSE,"GASTOS1995-2003"}</definedName>
    <definedName name="adfadsfsa" localSheetId="3" hidden="1">{#N/A,#N/A,FALSE,"GRAFICO";#N/A,#N/A,FALSE,"CAJA (2)";#N/A,#N/A,FALSE,"TERCEROS-PROMEDIO";#N/A,#N/A,FALSE,"CAJA";#N/A,#N/A,FALSE,"INGRESOS1995-2003";#N/A,#N/A,FALSE,"GASTOS1995-2003"}</definedName>
    <definedName name="adfadsfsa" localSheetId="2" hidden="1">{#N/A,#N/A,FALSE,"GRAFICO";#N/A,#N/A,FALSE,"CAJA (2)";#N/A,#N/A,FALSE,"TERCEROS-PROMEDIO";#N/A,#N/A,FALSE,"CAJA";#N/A,#N/A,FALSE,"INGRESOS1995-2003";#N/A,#N/A,FALSE,"GASTOS1995-2003"}</definedName>
    <definedName name="adfadsfsa" hidden="1">{#N/A,#N/A,FALSE,"GRAFICO";#N/A,#N/A,FALSE,"CAJA (2)";#N/A,#N/A,FALSE,"TERCEROS-PROMEDIO";#N/A,#N/A,FALSE,"CAJA";#N/A,#N/A,FALSE,"INGRESOS1995-2003";#N/A,#N/A,FALSE,"GASTOS1995-2003"}</definedName>
    <definedName name="ads" localSheetId="4" hidden="1">{#N/A,#N/A,FALSE,"Aging Summary";#N/A,#N/A,FALSE,"Ratio Analysis";#N/A,#N/A,FALSE,"Test 120 Day Accts";#N/A,#N/A,FALSE,"Tickmarks"}</definedName>
    <definedName name="ads" localSheetId="3" hidden="1">{#N/A,#N/A,FALSE,"Aging Summary";#N/A,#N/A,FALSE,"Ratio Analysis";#N/A,#N/A,FALSE,"Test 120 Day Accts";#N/A,#N/A,FALSE,"Tickmarks"}</definedName>
    <definedName name="ads" localSheetId="2" hidden="1">{#N/A,#N/A,FALSE,"Aging Summary";#N/A,#N/A,FALSE,"Ratio Analysis";#N/A,#N/A,FALSE,"Test 120 Day Accts";#N/A,#N/A,FALSE,"Tickmarks"}</definedName>
    <definedName name="ads" hidden="1">{#N/A,#N/A,FALSE,"Aging Summary";#N/A,#N/A,FALSE,"Ratio Analysis";#N/A,#N/A,FALSE,"Test 120 Day Accts";#N/A,#N/A,FALSE,"Tickmarks"}</definedName>
    <definedName name="AGLO" hidden="1">{#N/A,#N/A,FALSE,"Aging Summary";#N/A,#N/A,FALSE,"Ratio Analysis";#N/A,#N/A,FALSE,"Test 120 Day Accts";#N/A,#N/A,FALSE,"Tickmarks"}</definedName>
    <definedName name="AJUSTADO" localSheetId="4" hidden="1">{"'S. C. B.'!$E$207"}</definedName>
    <definedName name="AJUSTADO" localSheetId="3" hidden="1">{"'S. C. B.'!$E$207"}</definedName>
    <definedName name="AJUSTADO" localSheetId="2" hidden="1">{"'S. C. B.'!$E$207"}</definedName>
    <definedName name="AJUSTADO" hidden="1">{"'S. C. B.'!$E$207"}</definedName>
    <definedName name="AKO" hidden="1">{#N/A,#N/A,FALSE,"SMT1";#N/A,#N/A,FALSE,"SMT2";#N/A,#N/A,FALSE,"Summary";#N/A,#N/A,FALSE,"Graphs";#N/A,#N/A,FALSE,"4 Panel"}</definedName>
    <definedName name="ALEJO" hidden="1">{#N/A,#N/A,FALSE,"Aging Summary";#N/A,#N/A,FALSE,"Ratio Analysis";#N/A,#N/A,FALSE,"Test 120 Day Accts";#N/A,#N/A,FALSE,"Tickmarks"}</definedName>
    <definedName name="alfayomega" hidden="1">{#N/A,#N/A,FALSE,"Aging Summary";#N/A,#N/A,FALSE,"Ratio Analysis";#N/A,#N/A,FALSE,"Test 120 Day Accts";#N/A,#N/A,FALSE,"Tickmarks"}</definedName>
    <definedName name="anex" localSheetId="6" hidden="1">{#N/A,#N/A,FALSE,"balance";#N/A,#N/A,FALSE,"PYG"}</definedName>
    <definedName name="anex" localSheetId="1" hidden="1">{#N/A,#N/A,FALSE,"balance";#N/A,#N/A,FALSE,"PYG"}</definedName>
    <definedName name="anex" localSheetId="4" hidden="1">{#N/A,#N/A,FALSE,"balance";#N/A,#N/A,FALSE,"PYG"}</definedName>
    <definedName name="anex" localSheetId="0" hidden="1">{#N/A,#N/A,FALSE,"balance";#N/A,#N/A,FALSE,"PYG"}</definedName>
    <definedName name="anex" localSheetId="3" hidden="1">{#N/A,#N/A,FALSE,"balance";#N/A,#N/A,FALSE,"PYG"}</definedName>
    <definedName name="anex" localSheetId="2" hidden="1">{#N/A,#N/A,FALSE,"balance";#N/A,#N/A,FALSE,"PYG"}</definedName>
    <definedName name="anex" localSheetId="5" hidden="1">{#N/A,#N/A,FALSE,"balance";#N/A,#N/A,FALSE,"PYG"}</definedName>
    <definedName name="anex" localSheetId="7" hidden="1">{#N/A,#N/A,FALSE,"balance";#N/A,#N/A,FALSE,"PYG"}</definedName>
    <definedName name="anex" hidden="1">{#N/A,#N/A,FALSE,"balance";#N/A,#N/A,FALSE,"PYG"}</definedName>
    <definedName name="Anexo" localSheetId="6" hidden="1">{#N/A,#N/A,FALSE,"balance";#N/A,#N/A,FALSE,"PYG"}</definedName>
    <definedName name="Anexo" localSheetId="1" hidden="1">{#N/A,#N/A,FALSE,"balance";#N/A,#N/A,FALSE,"PYG"}</definedName>
    <definedName name="Anexo" localSheetId="4" hidden="1">{#N/A,#N/A,FALSE,"balance";#N/A,#N/A,FALSE,"PYG"}</definedName>
    <definedName name="Anexo" localSheetId="0" hidden="1">{#N/A,#N/A,FALSE,"balance";#N/A,#N/A,FALSE,"PYG"}</definedName>
    <definedName name="Anexo" localSheetId="3" hidden="1">{#N/A,#N/A,FALSE,"balance";#N/A,#N/A,FALSE,"PYG"}</definedName>
    <definedName name="Anexo" localSheetId="2" hidden="1">{#N/A,#N/A,FALSE,"balance";#N/A,#N/A,FALSE,"PYG"}</definedName>
    <definedName name="Anexo" localSheetId="5" hidden="1">{#N/A,#N/A,FALSE,"balance";#N/A,#N/A,FALSE,"PYG"}</definedName>
    <definedName name="Anexo" localSheetId="7" hidden="1">{#N/A,#N/A,FALSE,"balance";#N/A,#N/A,FALSE,"PYG"}</definedName>
    <definedName name="Anexo" hidden="1">{#N/A,#N/A,FALSE,"balance";#N/A,#N/A,FALSE,"PYG"}</definedName>
    <definedName name="Anexo19" localSheetId="6" hidden="1">{#N/A,#N/A,FALSE,"balance";#N/A,#N/A,FALSE,"PYG"}</definedName>
    <definedName name="Anexo19" localSheetId="1" hidden="1">{#N/A,#N/A,FALSE,"balance";#N/A,#N/A,FALSE,"PYG"}</definedName>
    <definedName name="Anexo19" localSheetId="4" hidden="1">{#N/A,#N/A,FALSE,"balance";#N/A,#N/A,FALSE,"PYG"}</definedName>
    <definedName name="Anexo19" localSheetId="0" hidden="1">{#N/A,#N/A,FALSE,"balance";#N/A,#N/A,FALSE,"PYG"}</definedName>
    <definedName name="Anexo19" localSheetId="3" hidden="1">{#N/A,#N/A,FALSE,"balance";#N/A,#N/A,FALSE,"PYG"}</definedName>
    <definedName name="Anexo19" localSheetId="2" hidden="1">{#N/A,#N/A,FALSE,"balance";#N/A,#N/A,FALSE,"PYG"}</definedName>
    <definedName name="Anexo19" localSheetId="5" hidden="1">{#N/A,#N/A,FALSE,"balance";#N/A,#N/A,FALSE,"PYG"}</definedName>
    <definedName name="Anexo19" localSheetId="7" hidden="1">{#N/A,#N/A,FALSE,"balance";#N/A,#N/A,FALSE,"PYG"}</definedName>
    <definedName name="Anexo19" hidden="1">{#N/A,#N/A,FALSE,"balance";#N/A,#N/A,FALSE,"PYG"}</definedName>
    <definedName name="ANEXO9" localSheetId="6" hidden="1">{#N/A,#N/A,FALSE,"balance";#N/A,#N/A,FALSE,"PYG"}</definedName>
    <definedName name="ANEXO9" localSheetId="1" hidden="1">{#N/A,#N/A,FALSE,"balance";#N/A,#N/A,FALSE,"PYG"}</definedName>
    <definedName name="ANEXO9" localSheetId="4" hidden="1">{#N/A,#N/A,FALSE,"balance";#N/A,#N/A,FALSE,"PYG"}</definedName>
    <definedName name="ANEXO9" localSheetId="0" hidden="1">{#N/A,#N/A,FALSE,"balance";#N/A,#N/A,FALSE,"PYG"}</definedName>
    <definedName name="ANEXO9" localSheetId="3" hidden="1">{#N/A,#N/A,FALSE,"balance";#N/A,#N/A,FALSE,"PYG"}</definedName>
    <definedName name="ANEXO9" localSheetId="2" hidden="1">{#N/A,#N/A,FALSE,"balance";#N/A,#N/A,FALSE,"PYG"}</definedName>
    <definedName name="ANEXO9" localSheetId="5" hidden="1">{#N/A,#N/A,FALSE,"balance";#N/A,#N/A,FALSE,"PYG"}</definedName>
    <definedName name="ANEXO9" localSheetId="7" hidden="1">{#N/A,#N/A,FALSE,"balance";#N/A,#N/A,FALSE,"PYG"}</definedName>
    <definedName name="ANEXO9" hidden="1">{#N/A,#N/A,FALSE,"balance";#N/A,#N/A,FALSE,"PYG"}</definedName>
    <definedName name="ANGEL" hidden="1">{#N/A,#N/A,FALSE,"GRAFICO";#N/A,#N/A,FALSE,"CAJA (2)";#N/A,#N/A,FALSE,"TERCEROS-PROMEDIO";#N/A,#N/A,FALSE,"CAJA";#N/A,#N/A,FALSE,"INGRESOS1995-2003";#N/A,#N/A,FALSE,"GASTOS1995-2003"}</definedName>
    <definedName name="anscount" hidden="1">1</definedName>
    <definedName name="ANULAR" localSheetId="4" hidden="1">{"'S. C. B.'!$E$207"}</definedName>
    <definedName name="ANULAR" localSheetId="3" hidden="1">{"'S. C. B.'!$E$207"}</definedName>
    <definedName name="ANULAR" localSheetId="2" hidden="1">{"'S. C. B.'!$E$207"}</definedName>
    <definedName name="ANULAR" hidden="1">{"'S. C. B.'!$E$207"}</definedName>
    <definedName name="ARC" hidden="1">#REF!</definedName>
    <definedName name="ARIEL" hidden="1">{#N/A,#N/A,FALSE,"balance";#N/A,#N/A,FALSE,"PYG"}</definedName>
    <definedName name="ARIELL" hidden="1">{#N/A,#N/A,FALSE,"balance";#N/A,#N/A,FALSE,"PYG"}</definedName>
    <definedName name="ARRENDAM1" localSheetId="4" hidden="1">{#N/A,#N/A,FALSE,"Aging Summary";#N/A,#N/A,FALSE,"Ratio Analysis";#N/A,#N/A,FALSE,"Test 120 Day Accts";#N/A,#N/A,FALSE,"Tickmarks"}</definedName>
    <definedName name="ARRENDAM1" localSheetId="3" hidden="1">{#N/A,#N/A,FALSE,"Aging Summary";#N/A,#N/A,FALSE,"Ratio Analysis";#N/A,#N/A,FALSE,"Test 120 Day Accts";#N/A,#N/A,FALSE,"Tickmarks"}</definedName>
    <definedName name="ARRENDAM1" localSheetId="2" hidden="1">{#N/A,#N/A,FALSE,"Aging Summary";#N/A,#N/A,FALSE,"Ratio Analysis";#N/A,#N/A,FALSE,"Test 120 Day Accts";#N/A,#N/A,FALSE,"Tickmarks"}</definedName>
    <definedName name="ARRENDAM1" hidden="1">{#N/A,#N/A,FALSE,"Aging Summary";#N/A,#N/A,FALSE,"Ratio Analysis";#N/A,#N/A,FALSE,"Test 120 Day Accts";#N/A,#N/A,FALSE,"Tickmarks"}</definedName>
    <definedName name="ARRENDAMIENTO" localSheetId="4" hidden="1">{#N/A,#N/A,FALSE,"Aging Summary";#N/A,#N/A,FALSE,"Ratio Analysis";#N/A,#N/A,FALSE,"Test 120 Day Accts";#N/A,#N/A,FALSE,"Tickmarks"}</definedName>
    <definedName name="ARRENDAMIENTO" localSheetId="3" hidden="1">{#N/A,#N/A,FALSE,"Aging Summary";#N/A,#N/A,FALSE,"Ratio Analysis";#N/A,#N/A,FALSE,"Test 120 Day Accts";#N/A,#N/A,FALSE,"Tickmarks"}</definedName>
    <definedName name="ARRENDAMIENTO" localSheetId="2" hidden="1">{#N/A,#N/A,FALSE,"Aging Summary";#N/A,#N/A,FALSE,"Ratio Analysis";#N/A,#N/A,FALSE,"Test 120 Day Accts";#N/A,#N/A,FALSE,"Tickmarks"}</definedName>
    <definedName name="ARRENDAMIENTO" hidden="1">{#N/A,#N/A,FALSE,"Aging Summary";#N/A,#N/A,FALSE,"Ratio Analysis";#N/A,#N/A,FALSE,"Test 120 Day Accts";#N/A,#N/A,FALSE,"Tickmarks"}</definedName>
    <definedName name="as" localSheetId="4" hidden="1">{#N/A,#N/A,TRUE,"Cond";#N/A,#N/A,TRUE,"Bce_hold";#N/A,#N/A,TRUE,"eerr_hold";#N/A,#N/A,TRUE,"eerr_prod";#N/A,#N/A,TRUE,"eerr_tipogtos";#N/A,#N/A,TRUE,"Flujo";#N/A,#N/A,TRUE,"Var_Ebit";#N/A,#N/A,TRUE,"Noa";#N/A,#N/A,TRUE,"Var_Noa"}</definedName>
    <definedName name="as" localSheetId="3" hidden="1">{#N/A,#N/A,TRUE,"Cond";#N/A,#N/A,TRUE,"Bce_hold";#N/A,#N/A,TRUE,"eerr_hold";#N/A,#N/A,TRUE,"eerr_prod";#N/A,#N/A,TRUE,"eerr_tipogtos";#N/A,#N/A,TRUE,"Flujo";#N/A,#N/A,TRUE,"Var_Ebit";#N/A,#N/A,TRUE,"Noa";#N/A,#N/A,TRUE,"Var_Noa"}</definedName>
    <definedName name="as" localSheetId="2" hidden="1">{#N/A,#N/A,TRUE,"Cond";#N/A,#N/A,TRUE,"Bce_hold";#N/A,#N/A,TRUE,"eerr_hold";#N/A,#N/A,TRUE,"eerr_prod";#N/A,#N/A,TRUE,"eerr_tipogtos";#N/A,#N/A,TRUE,"Flujo";#N/A,#N/A,TRUE,"Var_Ebit";#N/A,#N/A,TRUE,"Noa";#N/A,#N/A,TRUE,"Var_Noa"}</definedName>
    <definedName name="as" hidden="1">{#N/A,#N/A,TRUE,"Cond";#N/A,#N/A,TRUE,"Bce_hold";#N/A,#N/A,TRUE,"eerr_hold";#N/A,#N/A,TRUE,"eerr_prod";#N/A,#N/A,TRUE,"eerr_tipogtos";#N/A,#N/A,TRUE,"Flujo";#N/A,#N/A,TRUE,"Var_Ebit";#N/A,#N/A,TRUE,"Noa";#N/A,#N/A,TRUE,"Var_Noa"}</definedName>
    <definedName name="AS2DocOpenMode" hidden="1">"AS2DocumentEdit"</definedName>
    <definedName name="AS2HasNoAutoHeaderFooter" hidden="1">" "</definedName>
    <definedName name="AS2LinkLS" hidden="1">[6]Links!A1</definedName>
    <definedName name="AS2NamedRange" hidden="1">2</definedName>
    <definedName name="AS2ReportLS" hidden="1">1</definedName>
    <definedName name="AS2StaticLS" localSheetId="4" hidden="1">#REF!</definedName>
    <definedName name="AS2StaticLS" localSheetId="3" hidden="1">#REF!</definedName>
    <definedName name="AS2StaticLS" localSheetId="2" hidden="1">#REF!</definedName>
    <definedName name="AS2StaticLS" hidden="1">#REF!</definedName>
    <definedName name="AS2SyncStepLS" hidden="1">0</definedName>
    <definedName name="AS2TickmarkLS" localSheetId="1" hidden="1">#REF!</definedName>
    <definedName name="AS2TickmarkLS" localSheetId="4" hidden="1">#REF!</definedName>
    <definedName name="AS2TickmarkLS" localSheetId="0" hidden="1">#REF!</definedName>
    <definedName name="AS2TickmarkLS" localSheetId="3" hidden="1">#REF!</definedName>
    <definedName name="AS2TickmarkLS" localSheetId="2" hidden="1">#REF!</definedName>
    <definedName name="AS2TickmarkLS" hidden="1">#REF!</definedName>
    <definedName name="AS2VersionLS" hidden="1">300</definedName>
    <definedName name="ASASDADA" localSheetId="4" hidden="1">{"'S. C. B.'!$E$207"}</definedName>
    <definedName name="ASASDADA" localSheetId="3" hidden="1">{"'S. C. B.'!$E$207"}</definedName>
    <definedName name="ASASDADA" localSheetId="2" hidden="1">{"'S. C. B.'!$E$207"}</definedName>
    <definedName name="ASASDADA" hidden="1">{"'S. C. B.'!$E$207"}</definedName>
    <definedName name="asd" localSheetId="4" hidden="1">{#N/A,#N/A,TRUE,"TAPA ";"INDICE_CLP",#N/A,TRUE,"Indice";#N/A,#N/A,TRUE,"Cond";#N/A,#N/A,TRUE,"Bce_hold";#N/A,#N/A,TRUE,"eerr_hold";#N/A,#N/A,TRUE,"eerr_prod";#N/A,#N/A,TRUE,"eerr_tipogtos";#N/A,#N/A,TRUE,"Flujo";#N/A,#N/A,TRUE,"Var_Ebit";#N/A,#N/A,TRUE,"Noa";#N/A,#N/A,TRUE,"Var_Noa"}</definedName>
    <definedName name="asd" localSheetId="3" hidden="1">{#N/A,#N/A,TRUE,"TAPA ";"INDICE_CLP",#N/A,TRUE,"Indice";#N/A,#N/A,TRUE,"Cond";#N/A,#N/A,TRUE,"Bce_hold";#N/A,#N/A,TRUE,"eerr_hold";#N/A,#N/A,TRUE,"eerr_prod";#N/A,#N/A,TRUE,"eerr_tipogtos";#N/A,#N/A,TRUE,"Flujo";#N/A,#N/A,TRUE,"Var_Ebit";#N/A,#N/A,TRUE,"Noa";#N/A,#N/A,TRUE,"Var_Noa"}</definedName>
    <definedName name="asd" localSheetId="2" hidden="1">{#N/A,#N/A,TRUE,"TAPA ";"INDICE_CLP",#N/A,TRUE,"Indice";#N/A,#N/A,TRUE,"Cond";#N/A,#N/A,TRUE,"Bce_hold";#N/A,#N/A,TRUE,"eerr_hold";#N/A,#N/A,TRUE,"eerr_prod";#N/A,#N/A,TRUE,"eerr_tipogtos";#N/A,#N/A,TRUE,"Flujo";#N/A,#N/A,TRUE,"Var_Ebit";#N/A,#N/A,TRUE,"Noa";#N/A,#N/A,TRUE,"Var_Noa"}</definedName>
    <definedName name="asd" hidden="1">{#N/A,#N/A,TRUE,"TAPA ";"INDICE_CLP",#N/A,TRUE,"Indice";#N/A,#N/A,TRUE,"Cond";#N/A,#N/A,TRUE,"Bce_hold";#N/A,#N/A,TRUE,"eerr_hold";#N/A,#N/A,TRUE,"eerr_prod";#N/A,#N/A,TRUE,"eerr_tipogtos";#N/A,#N/A,TRUE,"Flujo";#N/A,#N/A,TRUE,"Var_Ebit";#N/A,#N/A,TRUE,"Noa";#N/A,#N/A,TRUE,"Var_Noa"}</definedName>
    <definedName name="asdf" localSheetId="6" hidden="1">{#N/A,#N/A,FALSE,"balance";#N/A,#N/A,FALSE,"PYG"}</definedName>
    <definedName name="asdf" localSheetId="1" hidden="1">{#N/A,#N/A,FALSE,"balance";#N/A,#N/A,FALSE,"PYG"}</definedName>
    <definedName name="asdf" localSheetId="4" hidden="1">{#N/A,#N/A,FALSE,"balance";#N/A,#N/A,FALSE,"PYG"}</definedName>
    <definedName name="asdf" localSheetId="0" hidden="1">{#N/A,#N/A,FALSE,"balance";#N/A,#N/A,FALSE,"PYG"}</definedName>
    <definedName name="asdf" localSheetId="3" hidden="1">{#N/A,#N/A,FALSE,"balance";#N/A,#N/A,FALSE,"PYG"}</definedName>
    <definedName name="asdf" localSheetId="2" hidden="1">{#N/A,#N/A,FALSE,"balance";#N/A,#N/A,FALSE,"PYG"}</definedName>
    <definedName name="asdf" localSheetId="5" hidden="1">{#N/A,#N/A,FALSE,"balance";#N/A,#N/A,FALSE,"PYG"}</definedName>
    <definedName name="asdf" localSheetId="7" hidden="1">{#N/A,#N/A,FALSE,"balance";#N/A,#N/A,FALSE,"PYG"}</definedName>
    <definedName name="asdf" hidden="1">{#N/A,#N/A,FALSE,"balance";#N/A,#N/A,FALSE,"PYG"}</definedName>
    <definedName name="asmdnand" localSheetId="4" hidden="1">{#N/A,#N/A,TRUE,"Cond";#N/A,#N/A,TRUE,"Bce_hold";#N/A,#N/A,TRUE,"eerr_hold";#N/A,#N/A,TRUE,"eerr_prod";#N/A,#N/A,TRUE,"eerr_tipogtos";#N/A,#N/A,TRUE,"Flujo";#N/A,#N/A,TRUE,"Var_Ebit";#N/A,#N/A,TRUE,"Noa";#N/A,#N/A,TRUE,"Var_Noa"}</definedName>
    <definedName name="asmdnand" localSheetId="3" hidden="1">{#N/A,#N/A,TRUE,"Cond";#N/A,#N/A,TRUE,"Bce_hold";#N/A,#N/A,TRUE,"eerr_hold";#N/A,#N/A,TRUE,"eerr_prod";#N/A,#N/A,TRUE,"eerr_tipogtos";#N/A,#N/A,TRUE,"Flujo";#N/A,#N/A,TRUE,"Var_Ebit";#N/A,#N/A,TRUE,"Noa";#N/A,#N/A,TRUE,"Var_Noa"}</definedName>
    <definedName name="asmdnand" localSheetId="2" hidden="1">{#N/A,#N/A,TRUE,"Cond";#N/A,#N/A,TRUE,"Bce_hold";#N/A,#N/A,TRUE,"eerr_hold";#N/A,#N/A,TRUE,"eerr_prod";#N/A,#N/A,TRUE,"eerr_tipogtos";#N/A,#N/A,TRUE,"Flujo";#N/A,#N/A,TRUE,"Var_Ebit";#N/A,#N/A,TRUE,"Noa";#N/A,#N/A,TRUE,"Var_Noa"}</definedName>
    <definedName name="asmdnand" hidden="1">{#N/A,#N/A,TRUE,"Cond";#N/A,#N/A,TRUE,"Bce_hold";#N/A,#N/A,TRUE,"eerr_hold";#N/A,#N/A,TRUE,"eerr_prod";#N/A,#N/A,TRUE,"eerr_tipogtos";#N/A,#N/A,TRUE,"Flujo";#N/A,#N/A,TRUE,"Var_Ebit";#N/A,#N/A,TRUE,"Noa";#N/A,#N/A,TRUE,"Var_Noa"}</definedName>
    <definedName name="assmmdn" localSheetId="4" hidden="1">{#N/A,#N/A,TRUE,"TAPA ";"INDICE_CLP",#N/A,TRUE,"Indice";#N/A,#N/A,TRUE,"Cond";#N/A,#N/A,TRUE,"Bce_hold";#N/A,#N/A,TRUE,"eerr_hold";#N/A,#N/A,TRUE,"eerr_prod";#N/A,#N/A,TRUE,"eerr_tipogtos";#N/A,#N/A,TRUE,"Flujo";#N/A,#N/A,TRUE,"Var_Ebit";#N/A,#N/A,TRUE,"Noa";#N/A,#N/A,TRUE,"Var_Noa"}</definedName>
    <definedName name="assmmdn" localSheetId="3" hidden="1">{#N/A,#N/A,TRUE,"TAPA ";"INDICE_CLP",#N/A,TRUE,"Indice";#N/A,#N/A,TRUE,"Cond";#N/A,#N/A,TRUE,"Bce_hold";#N/A,#N/A,TRUE,"eerr_hold";#N/A,#N/A,TRUE,"eerr_prod";#N/A,#N/A,TRUE,"eerr_tipogtos";#N/A,#N/A,TRUE,"Flujo";#N/A,#N/A,TRUE,"Var_Ebit";#N/A,#N/A,TRUE,"Noa";#N/A,#N/A,TRUE,"Var_Noa"}</definedName>
    <definedName name="assmmdn" localSheetId="2" hidden="1">{#N/A,#N/A,TRUE,"TAPA ";"INDICE_CLP",#N/A,TRUE,"Indice";#N/A,#N/A,TRUE,"Cond";#N/A,#N/A,TRUE,"Bce_hold";#N/A,#N/A,TRUE,"eerr_hold";#N/A,#N/A,TRUE,"eerr_prod";#N/A,#N/A,TRUE,"eerr_tipogtos";#N/A,#N/A,TRUE,"Flujo";#N/A,#N/A,TRUE,"Var_Ebit";#N/A,#N/A,TRUE,"Noa";#N/A,#N/A,TRUE,"Var_Noa"}</definedName>
    <definedName name="assmmdn" hidden="1">{#N/A,#N/A,TRUE,"TAPA ";"INDICE_CLP",#N/A,TRUE,"Indice";#N/A,#N/A,TRUE,"Cond";#N/A,#N/A,TRUE,"Bce_hold";#N/A,#N/A,TRUE,"eerr_hold";#N/A,#N/A,TRUE,"eerr_prod";#N/A,#N/A,TRUE,"eerr_tipogtos";#N/A,#N/A,TRUE,"Flujo";#N/A,#N/A,TRUE,"Var_Ebit";#N/A,#N/A,TRUE,"Noa";#N/A,#N/A,TRUE,"Var_Noa"}</definedName>
    <definedName name="b" localSheetId="6" hidden="1">{#N/A,#N/A,FALSE,"balance";#N/A,#N/A,FALSE,"PYG"}</definedName>
    <definedName name="b" localSheetId="1" hidden="1">{#N/A,#N/A,FALSE,"balance";#N/A,#N/A,FALSE,"PYG"}</definedName>
    <definedName name="b" localSheetId="4" hidden="1">{#N/A,#N/A,FALSE,"balance";#N/A,#N/A,FALSE,"PYG"}</definedName>
    <definedName name="b" localSheetId="0" hidden="1">{#N/A,#N/A,FALSE,"balance";#N/A,#N/A,FALSE,"PYG"}</definedName>
    <definedName name="b" localSheetId="3" hidden="1">{#N/A,#N/A,FALSE,"balance";#N/A,#N/A,FALSE,"PYG"}</definedName>
    <definedName name="b" localSheetId="2" hidden="1">{#N/A,#N/A,FALSE,"balance";#N/A,#N/A,FALSE,"PYG"}</definedName>
    <definedName name="b" localSheetId="5" hidden="1">{#N/A,#N/A,FALSE,"balance";#N/A,#N/A,FALSE,"PYG"}</definedName>
    <definedName name="b" localSheetId="7" hidden="1">{#N/A,#N/A,FALSE,"balance";#N/A,#N/A,FALSE,"PYG"}</definedName>
    <definedName name="b" hidden="1">{#N/A,#N/A,FALSE,"balance";#N/A,#N/A,FALSE,"PYG"}</definedName>
    <definedName name="BABAS" hidden="1">{#N/A,#N/A,FALSE,"Aging Summary";#N/A,#N/A,FALSE,"Ratio Analysis";#N/A,#N/A,FALSE,"Test 120 Day Accts";#N/A,#N/A,FALSE,"Tickmarks"}</definedName>
    <definedName name="BB" localSheetId="4" hidden="1">{"'S. C. B.'!$E$207"}</definedName>
    <definedName name="BB" localSheetId="3" hidden="1">{"'S. C. B.'!$E$207"}</definedName>
    <definedName name="BB" localSheetId="2" hidden="1">{"'S. C. B.'!$E$207"}</definedName>
    <definedName name="BB" hidden="1">{"'S. C. B.'!$E$207"}</definedName>
    <definedName name="BBBB" localSheetId="4" hidden="1">{"PYGT",#N/A,FALSE,"PYG";"ACTIT",#N/A,FALSE,"BCE_GRAL-ACTIVO";"PASIT",#N/A,FALSE,"BCE_GRAL-PASIVO-PATRIM";"CAJAT",#N/A,FALSE,"CAJA"}</definedName>
    <definedName name="BBBB" localSheetId="3" hidden="1">{"PYGT",#N/A,FALSE,"PYG";"ACTIT",#N/A,FALSE,"BCE_GRAL-ACTIVO";"PASIT",#N/A,FALSE,"BCE_GRAL-PASIVO-PATRIM";"CAJAT",#N/A,FALSE,"CAJA"}</definedName>
    <definedName name="BBBB" localSheetId="2" hidden="1">{"PYGT",#N/A,FALSE,"PYG";"ACTIT",#N/A,FALSE,"BCE_GRAL-ACTIVO";"PASIT",#N/A,FALSE,"BCE_GRAL-PASIVO-PATRIM";"CAJAT",#N/A,FALSE,"CAJA"}</definedName>
    <definedName name="BBBB" hidden="1">{"PYGT",#N/A,FALSE,"PYG";"ACTIT",#N/A,FALSE,"BCE_GRAL-ACTIVO";"PASIT",#N/A,FALSE,"BCE_GRAL-PASIVO-PATRIM";"CAJAT",#N/A,FALSE,"CAJA"}</definedName>
    <definedName name="BG_Del" hidden="1">15</definedName>
    <definedName name="BG_Ins" hidden="1">4</definedName>
    <definedName name="BG_Mod" hidden="1">6</definedName>
    <definedName name="cacao" hidden="1">{#N/A,#N/A,FALSE,"Aging Summary";#N/A,#N/A,FALSE,"Ratio Analysis";#N/A,#N/A,FALSE,"Test 120 Day Accts";#N/A,#N/A,FALSE,"Tickmarks"}</definedName>
    <definedName name="CALDO" hidden="1">{"PYGT",#N/A,FALSE,"PYG";"ACTIT",#N/A,FALSE,"BCE_GRAL-ACTIVO";"PASIT",#N/A,FALSE,"BCE_GRAL-PASIVO-PATRIM";"CAJAT",#N/A,FALSE,"CAJA"}</definedName>
    <definedName name="CALEND" hidden="1">{"'18'!$A$5:$M$18"}</definedName>
    <definedName name="CalendárioYear" localSheetId="9">#REF!</definedName>
    <definedName name="CalendárioYear">#REF!</definedName>
    <definedName name="CARLA" hidden="1">{#N/A,#N/A,FALSE,"GRAFICO";#N/A,#N/A,FALSE,"CAJA (2)";#N/A,#N/A,FALSE,"TERCEROS-PROMEDIO";#N/A,#N/A,FALSE,"CAJA";#N/A,#N/A,FALSE,"INGRESOS1995-2003";#N/A,#N/A,FALSE,"GASTOS1995-2003"}</definedName>
    <definedName name="CARLALUCIA" hidden="1">{#N/A,#N/A,FALSE,"Aging Summary";#N/A,#N/A,FALSE,"Ratio Analysis";#N/A,#N/A,FALSE,"Test 120 Day Accts";#N/A,#N/A,FALSE,"Tickmarks"}</definedName>
    <definedName name="CARLOS" hidden="1">{#N/A,#N/A,FALSE,"Aging Summary";#N/A,#N/A,FALSE,"Ratio Analysis";#N/A,#N/A,FALSE,"Test 120 Day Accts";#N/A,#N/A,FALSE,"Tickmarks"}</definedName>
    <definedName name="carne" hidden="1">{#N/A,#N/A,FALSE,"Aging Summary";#N/A,#N/A,FALSE,"Ratio Analysis";#N/A,#N/A,FALSE,"Test 120 Day Accts";#N/A,#N/A,FALSE,"Tickmarks"}</definedName>
    <definedName name="CARTERA_PP_DIC2008" hidden="1">{#N/A,#N/A,FALSE,"Full";#N/A,#N/A,FALSE,"Half";#N/A,#N/A,FALSE,"Op Expenses";#N/A,#N/A,FALSE,"Cap Charge";#N/A,#N/A,FALSE,"Cost C";#N/A,#N/A,FALSE,"PP&amp;E";#N/A,#N/A,FALSE,"R&amp;D"}</definedName>
    <definedName name="cas" hidden="1">{"'18'!$A$5:$M$18"}</definedName>
    <definedName name="casas" hidden="1">{"PYGT",#N/A,FALSE,"PYG";"ACTIT",#N/A,FALSE,"BCE_GRAL-ACTIVO";"PASIT",#N/A,FALSE,"BCE_GRAL-PASIVO-PATRIM";"CAJAT",#N/A,FALSE,"CAJA"}</definedName>
    <definedName name="CASINO" localSheetId="6" hidden="1">{#N/A,#N/A,FALSE,"balance";#N/A,#N/A,FALSE,"PYG"}</definedName>
    <definedName name="CASINO" localSheetId="1" hidden="1">{#N/A,#N/A,FALSE,"balance";#N/A,#N/A,FALSE,"PYG"}</definedName>
    <definedName name="CASINO" localSheetId="4" hidden="1">{#N/A,#N/A,FALSE,"balance";#N/A,#N/A,FALSE,"PYG"}</definedName>
    <definedName name="CASINO" localSheetId="0" hidden="1">{#N/A,#N/A,FALSE,"balance";#N/A,#N/A,FALSE,"PYG"}</definedName>
    <definedName name="CASINO" localSheetId="3" hidden="1">{#N/A,#N/A,FALSE,"balance";#N/A,#N/A,FALSE,"PYG"}</definedName>
    <definedName name="CASINO" localSheetId="2" hidden="1">{#N/A,#N/A,FALSE,"balance";#N/A,#N/A,FALSE,"PYG"}</definedName>
    <definedName name="CASINO" localSheetId="5" hidden="1">{#N/A,#N/A,FALSE,"balance";#N/A,#N/A,FALSE,"PYG"}</definedName>
    <definedName name="CASINO" localSheetId="7" hidden="1">{#N/A,#N/A,FALSE,"balance";#N/A,#N/A,FALSE,"PYG"}</definedName>
    <definedName name="CASINO" hidden="1">{#N/A,#N/A,FALSE,"balance";#N/A,#N/A,FALSE,"PYG"}</definedName>
    <definedName name="CBWorkbookPriority" hidden="1">-1906970393</definedName>
    <definedName name="CCCCCCCCCC" localSheetId="4" hidden="1">{#N/A,#N/A,FALSE,"Aging Summary";#N/A,#N/A,FALSE,"Ratio Analysis";#N/A,#N/A,FALSE,"Test 120 Day Accts";#N/A,#N/A,FALSE,"Tickmarks"}</definedName>
    <definedName name="CCCCCCCCCC" localSheetId="3" hidden="1">{#N/A,#N/A,FALSE,"Aging Summary";#N/A,#N/A,FALSE,"Ratio Analysis";#N/A,#N/A,FALSE,"Test 120 Day Accts";#N/A,#N/A,FALSE,"Tickmarks"}</definedName>
    <definedName name="CCCCCCCCCC" localSheetId="2" hidden="1">{#N/A,#N/A,FALSE,"Aging Summary";#N/A,#N/A,FALSE,"Ratio Analysis";#N/A,#N/A,FALSE,"Test 120 Day Accts";#N/A,#N/A,FALSE,"Tickmarks"}</definedName>
    <definedName name="CCCCCCCCCC" hidden="1">{#N/A,#N/A,FALSE,"Aging Summary";#N/A,#N/A,FALSE,"Ratio Analysis";#N/A,#N/A,FALSE,"Test 120 Day Accts";#N/A,#N/A,FALSE,"Tickmarks"}</definedName>
    <definedName name="CDAARA" localSheetId="4" hidden="1">{"'S. C. B.'!$E$207"}</definedName>
    <definedName name="CDAARA" localSheetId="3" hidden="1">{"'S. C. B.'!$E$207"}</definedName>
    <definedName name="CDAARA" localSheetId="2" hidden="1">{"'S. C. B.'!$E$207"}</definedName>
    <definedName name="CDAARA" hidden="1">{"'S. C. B.'!$E$207"}</definedName>
    <definedName name="CEBRA" hidden="1">{#N/A,#N/A,FALSE,"Aging Summary";#N/A,#N/A,FALSE,"Ratio Analysis";#N/A,#N/A,FALSE,"Test 120 Day Accts";#N/A,#N/A,FALSE,"Tickmarks"}</definedName>
    <definedName name="centro" hidden="1">{#N/A,#N/A,FALSE,"GRAFICO";#N/A,#N/A,FALSE,"CAJA (2)";#N/A,#N/A,FALSE,"TERCEROS-PROMEDIO";#N/A,#N/A,FALSE,"CAJA";#N/A,#N/A,FALSE,"INGRESOS1995-2003";#N/A,#N/A,FALSE,"GASTOS1995-2003"}</definedName>
    <definedName name="CFNAL" localSheetId="4" hidden="1">{"'S. C. B.'!$E$207"}</definedName>
    <definedName name="CFNAL" localSheetId="3" hidden="1">{"'S. C. B.'!$E$207"}</definedName>
    <definedName name="CFNAL" localSheetId="2" hidden="1">{"'S. C. B.'!$E$207"}</definedName>
    <definedName name="CFNAL" hidden="1">{"'S. C. B.'!$E$207"}</definedName>
    <definedName name="CLASIF" localSheetId="4" hidden="1">{"KWHTONTOTAL",#N/A,FALSE,"KWHTON"}</definedName>
    <definedName name="CLASIF" localSheetId="3" hidden="1">{"KWHTONTOTAL",#N/A,FALSE,"KWHTON"}</definedName>
    <definedName name="CLASIF" localSheetId="2" hidden="1">{"KWHTONTOTAL",#N/A,FALSE,"KWHTON"}</definedName>
    <definedName name="CLASIF" hidden="1">{"KWHTONTOTAL",#N/A,FALSE,"KWHTON"}</definedName>
    <definedName name="Code" localSheetId="4" hidden="1">#REF!</definedName>
    <definedName name="Code" localSheetId="3" hidden="1">#REF!</definedName>
    <definedName name="Code" localSheetId="2" hidden="1">#REF!</definedName>
    <definedName name="Code" hidden="1">#REF!</definedName>
    <definedName name="cola" hidden="1">{#N/A,#N/A,FALSE,"GRAFICO";#N/A,#N/A,FALSE,"CAJA (2)";#N/A,#N/A,FALSE,"TERCEROS-PROMEDIO";#N/A,#N/A,FALSE,"CAJA";#N/A,#N/A,FALSE,"INGRESOS1995-2003";#N/A,#N/A,FALSE,"GASTOS1995-2003"}</definedName>
    <definedName name="CONCILIACIONELECTROC" localSheetId="4" hidden="1">{#N/A,#N/A,FALSE,"Aging Summary";#N/A,#N/A,FALSE,"Ratio Analysis";#N/A,#N/A,FALSE,"Test 120 Day Accts";#N/A,#N/A,FALSE,"Tickmarks"}</definedName>
    <definedName name="CONCILIACIONELECTROC" localSheetId="3" hidden="1">{#N/A,#N/A,FALSE,"Aging Summary";#N/A,#N/A,FALSE,"Ratio Analysis";#N/A,#N/A,FALSE,"Test 120 Day Accts";#N/A,#N/A,FALSE,"Tickmarks"}</definedName>
    <definedName name="CONCILIACIONELECTROC" localSheetId="2" hidden="1">{#N/A,#N/A,FALSE,"Aging Summary";#N/A,#N/A,FALSE,"Ratio Analysis";#N/A,#N/A,FALSE,"Test 120 Day Accts";#N/A,#N/A,FALSE,"Tickmarks"}</definedName>
    <definedName name="CONCILIACIONELECTROC" hidden="1">{#N/A,#N/A,FALSE,"Aging Summary";#N/A,#N/A,FALSE,"Ratio Analysis";#N/A,#N/A,FALSE,"Test 120 Day Accts";#N/A,#N/A,FALSE,"Tickmarks"}</definedName>
    <definedName name="Concretos" localSheetId="6" hidden="1">{#N/A,#N/A,FALSE,"GP";#N/A,#N/A,FALSE,"Summary"}</definedName>
    <definedName name="Concretos" localSheetId="1" hidden="1">{#N/A,#N/A,FALSE,"GP";#N/A,#N/A,FALSE,"Summary"}</definedName>
    <definedName name="Concretos" localSheetId="4" hidden="1">{#N/A,#N/A,FALSE,"GP";#N/A,#N/A,FALSE,"Summary"}</definedName>
    <definedName name="Concretos" localSheetId="0" hidden="1">{#N/A,#N/A,FALSE,"GP";#N/A,#N/A,FALSE,"Summary"}</definedName>
    <definedName name="Concretos" localSheetId="3" hidden="1">{#N/A,#N/A,FALSE,"GP";#N/A,#N/A,FALSE,"Summary"}</definedName>
    <definedName name="Concretos" localSheetId="2" hidden="1">{#N/A,#N/A,FALSE,"GP";#N/A,#N/A,FALSE,"Summary"}</definedName>
    <definedName name="Concretos" localSheetId="5" hidden="1">{#N/A,#N/A,FALSE,"GP";#N/A,#N/A,FALSE,"Summary"}</definedName>
    <definedName name="Concretos" localSheetId="7" hidden="1">{#N/A,#N/A,FALSE,"GP";#N/A,#N/A,FALSE,"Summary"}</definedName>
    <definedName name="Concretos" hidden="1">{#N/A,#N/A,FALSE,"GP";#N/A,#N/A,FALSE,"Summary"}</definedName>
    <definedName name="corral" hidden="1">{#N/A,#N/A,FALSE,"GRAFICO";#N/A,#N/A,FALSE,"CAJA (2)";#N/A,#N/A,FALSE,"TERCEROS-PROMEDIO";#N/A,#N/A,FALSE,"CAJA";#N/A,#N/A,FALSE,"INGRESOS1995-2003";#N/A,#N/A,FALSE,"GASTOS1995-2003"}</definedName>
    <definedName name="CPR" hidden="1">{#N/A,#N/A,FALSE,"balance";#N/A,#N/A,FALSE,"PYG"}</definedName>
    <definedName name="crt" localSheetId="4" hidden="1">{#N/A,#N/A,FALSE,"GRAFICO";#N/A,#N/A,FALSE,"CAJA (2)";#N/A,#N/A,FALSE,"TERCEROS-PROMEDIO";#N/A,#N/A,FALSE,"CAJA";#N/A,#N/A,FALSE,"INGRESOS1995-2003";#N/A,#N/A,FALSE,"GASTOS1995-2003"}</definedName>
    <definedName name="crt" localSheetId="3" hidden="1">{#N/A,#N/A,FALSE,"GRAFICO";#N/A,#N/A,FALSE,"CAJA (2)";#N/A,#N/A,FALSE,"TERCEROS-PROMEDIO";#N/A,#N/A,FALSE,"CAJA";#N/A,#N/A,FALSE,"INGRESOS1995-2003";#N/A,#N/A,FALSE,"GASTOS1995-2003"}</definedName>
    <definedName name="crt" localSheetId="2" hidden="1">{#N/A,#N/A,FALSE,"GRAFICO";#N/A,#N/A,FALSE,"CAJA (2)";#N/A,#N/A,FALSE,"TERCEROS-PROMEDIO";#N/A,#N/A,FALSE,"CAJA";#N/A,#N/A,FALSE,"INGRESOS1995-2003";#N/A,#N/A,FALSE,"GASTOS1995-2003"}</definedName>
    <definedName name="crt" hidden="1">{#N/A,#N/A,FALSE,"GRAFICO";#N/A,#N/A,FALSE,"CAJA (2)";#N/A,#N/A,FALSE,"TERCEROS-PROMEDIO";#N/A,#N/A,FALSE,"CAJA";#N/A,#N/A,FALSE,"INGRESOS1995-2003";#N/A,#N/A,FALSE,"GASTOS1995-2003"}</definedName>
    <definedName name="CTALA" hidden="1">{#N/A,#N/A,FALSE,"Aging Summary";#N/A,#N/A,FALSE,"Ratio Analysis";#N/A,#N/A,FALSE,"Test 120 Day Accts";#N/A,#N/A,FALSE,"Tickmarks"}</definedName>
    <definedName name="CUADRE" localSheetId="4" hidden="1">{#N/A,#N/A,FALSE,"Aging Summary";#N/A,#N/A,FALSE,"Ratio Analysis";#N/A,#N/A,FALSE,"Test 120 Day Accts";#N/A,#N/A,FALSE,"Tickmarks"}</definedName>
    <definedName name="CUADRE" localSheetId="3" hidden="1">{#N/A,#N/A,FALSE,"Aging Summary";#N/A,#N/A,FALSE,"Ratio Analysis";#N/A,#N/A,FALSE,"Test 120 Day Accts";#N/A,#N/A,FALSE,"Tickmarks"}</definedName>
    <definedName name="CUADRE" localSheetId="2" hidden="1">{#N/A,#N/A,FALSE,"Aging Summary";#N/A,#N/A,FALSE,"Ratio Analysis";#N/A,#N/A,FALSE,"Test 120 Day Accts";#N/A,#N/A,FALSE,"Tickmarks"}</definedName>
    <definedName name="CUADRE" hidden="1">{#N/A,#N/A,FALSE,"Aging Summary";#N/A,#N/A,FALSE,"Ratio Analysis";#N/A,#N/A,FALSE,"Test 120 Day Accts";#N/A,#N/A,FALSE,"Tickmarks"}</definedName>
    <definedName name="CX" localSheetId="4" hidden="1">{#N/A,#N/A,FALSE,"Aging Summary";#N/A,#N/A,FALSE,"Ratio Analysis";#N/A,#N/A,FALSE,"Test 120 Day Accts";#N/A,#N/A,FALSE,"Tickmarks"}</definedName>
    <definedName name="CX" localSheetId="3" hidden="1">{#N/A,#N/A,FALSE,"Aging Summary";#N/A,#N/A,FALSE,"Ratio Analysis";#N/A,#N/A,FALSE,"Test 120 Day Accts";#N/A,#N/A,FALSE,"Tickmarks"}</definedName>
    <definedName name="CX" localSheetId="2" hidden="1">{#N/A,#N/A,FALSE,"Aging Summary";#N/A,#N/A,FALSE,"Ratio Analysis";#N/A,#N/A,FALSE,"Test 120 Day Accts";#N/A,#N/A,FALSE,"Tickmarks"}</definedName>
    <definedName name="CX" hidden="1">{#N/A,#N/A,FALSE,"Aging Summary";#N/A,#N/A,FALSE,"Ratio Analysis";#N/A,#N/A,FALSE,"Test 120 Day Accts";#N/A,#N/A,FALSE,"Tickmarks"}</definedName>
    <definedName name="D" localSheetId="4" hidden="1">{"'S. C. B.'!$E$207"}</definedName>
    <definedName name="D" localSheetId="3" hidden="1">{"'S. C. B.'!$E$207"}</definedName>
    <definedName name="D" localSheetId="2" hidden="1">{"'S. C. B.'!$E$207"}</definedName>
    <definedName name="D" hidden="1">{"'S. C. B.'!$E$207"}</definedName>
    <definedName name="DARWERWETWRET" localSheetId="4" hidden="1">{"'S. C. B.'!$E$207"}</definedName>
    <definedName name="DARWERWETWRET" localSheetId="3" hidden="1">{"'S. C. B.'!$E$207"}</definedName>
    <definedName name="DARWERWETWRET" localSheetId="2" hidden="1">{"'S. C. B.'!$E$207"}</definedName>
    <definedName name="DARWERWETWRET" hidden="1">{"'S. C. B.'!$E$207"}</definedName>
    <definedName name="das" localSheetId="4" hidden="1">{"'S. C. B.'!$E$207"}</definedName>
    <definedName name="das" localSheetId="3" hidden="1">{"'S. C. B.'!$E$207"}</definedName>
    <definedName name="das" localSheetId="2" hidden="1">{"'S. C. B.'!$E$207"}</definedName>
    <definedName name="das" hidden="1">{"'S. C. B.'!$E$207"}</definedName>
    <definedName name="data1" localSheetId="4" hidden="1">#REF!</definedName>
    <definedName name="data1" localSheetId="3" hidden="1">#REF!</definedName>
    <definedName name="data1" localSheetId="2" hidden="1">#REF!</definedName>
    <definedName name="data1" hidden="1">#REF!</definedName>
    <definedName name="data2" localSheetId="4" hidden="1">#REF!</definedName>
    <definedName name="data2" localSheetId="3" hidden="1">#REF!</definedName>
    <definedName name="data2" localSheetId="2" hidden="1">#REF!</definedName>
    <definedName name="data2" hidden="1">#REF!</definedName>
    <definedName name="data3" localSheetId="4" hidden="1">#REF!</definedName>
    <definedName name="data3" localSheetId="3" hidden="1">#REF!</definedName>
    <definedName name="data3" localSheetId="2" hidden="1">#REF!</definedName>
    <definedName name="data3" hidden="1">#REF!</definedName>
    <definedName name="dd" localSheetId="6" hidden="1">{#N/A,#N/A,FALSE,"balance";#N/A,#N/A,FALSE,"PYG"}</definedName>
    <definedName name="dd" localSheetId="1" hidden="1">{#N/A,#N/A,FALSE,"balance";#N/A,#N/A,FALSE,"PYG"}</definedName>
    <definedName name="dd" localSheetId="4" hidden="1">{#N/A,#N/A,FALSE,"balance";#N/A,#N/A,FALSE,"PYG"}</definedName>
    <definedName name="dd" localSheetId="0" hidden="1">{#N/A,#N/A,FALSE,"balance";#N/A,#N/A,FALSE,"PYG"}</definedName>
    <definedName name="dd" localSheetId="3" hidden="1">{#N/A,#N/A,FALSE,"balance";#N/A,#N/A,FALSE,"PYG"}</definedName>
    <definedName name="dd" localSheetId="2" hidden="1">{#N/A,#N/A,FALSE,"balance";#N/A,#N/A,FALSE,"PYG"}</definedName>
    <definedName name="dd" localSheetId="5" hidden="1">{#N/A,#N/A,FALSE,"balance";#N/A,#N/A,FALSE,"PYG"}</definedName>
    <definedName name="dd" localSheetId="7" hidden="1">{#N/A,#N/A,FALSE,"balance";#N/A,#N/A,FALSE,"PYG"}</definedName>
    <definedName name="dd" hidden="1">{#N/A,#N/A,FALSE,"balance";#N/A,#N/A,FALSE,"PYG"}</definedName>
    <definedName name="DDDDDD" localSheetId="4" hidden="1">{"PYGS",#N/A,FALSE,"PYG";"ACTIS",#N/A,FALSE,"BCE_GRAL-ACTIVO";"PASIS",#N/A,FALSE,"BCE_GRAL-PASIVO-PATRIM";"CAJAS",#N/A,FALSE,"CAJA"}</definedName>
    <definedName name="DDDDDD" localSheetId="3" hidden="1">{"PYGS",#N/A,FALSE,"PYG";"ACTIS",#N/A,FALSE,"BCE_GRAL-ACTIVO";"PASIS",#N/A,FALSE,"BCE_GRAL-PASIVO-PATRIM";"CAJAS",#N/A,FALSE,"CAJA"}</definedName>
    <definedName name="DDDDDD" localSheetId="2" hidden="1">{"PYGS",#N/A,FALSE,"PYG";"ACTIS",#N/A,FALSE,"BCE_GRAL-ACTIVO";"PASIS",#N/A,FALSE,"BCE_GRAL-PASIVO-PATRIM";"CAJAS",#N/A,FALSE,"CAJA"}</definedName>
    <definedName name="DDDDDD" hidden="1">{"PYGS",#N/A,FALSE,"PYG";"ACTIS",#N/A,FALSE,"BCE_GRAL-ACTIVO";"PASIS",#N/A,FALSE,"BCE_GRAL-PASIVO-PATRIM";"CAJAS",#N/A,FALSE,"CAJA"}</definedName>
    <definedName name="ddddddd" localSheetId="4" hidden="1">{#N/A,#N/A,TRUE,"Cond";#N/A,#N/A,TRUE,"Bce_hold";#N/A,#N/A,TRUE,"eerr_hold";#N/A,#N/A,TRUE,"eerr_prod";#N/A,#N/A,TRUE,"eerr_tipogtos";#N/A,#N/A,TRUE,"Flujo";#N/A,#N/A,TRUE,"Var_Ebit";#N/A,#N/A,TRUE,"Noa";#N/A,#N/A,TRUE,"Var_Noa"}</definedName>
    <definedName name="ddddddd" localSheetId="3" hidden="1">{#N/A,#N/A,TRUE,"Cond";#N/A,#N/A,TRUE,"Bce_hold";#N/A,#N/A,TRUE,"eerr_hold";#N/A,#N/A,TRUE,"eerr_prod";#N/A,#N/A,TRUE,"eerr_tipogtos";#N/A,#N/A,TRUE,"Flujo";#N/A,#N/A,TRUE,"Var_Ebit";#N/A,#N/A,TRUE,"Noa";#N/A,#N/A,TRUE,"Var_Noa"}</definedName>
    <definedName name="ddddddd" localSheetId="2" hidden="1">{#N/A,#N/A,TRUE,"Cond";#N/A,#N/A,TRUE,"Bce_hold";#N/A,#N/A,TRUE,"eerr_hold";#N/A,#N/A,TRUE,"eerr_prod";#N/A,#N/A,TRUE,"eerr_tipogtos";#N/A,#N/A,TRUE,"Flujo";#N/A,#N/A,TRUE,"Var_Ebit";#N/A,#N/A,TRUE,"Noa";#N/A,#N/A,TRUE,"Var_Noa"}</definedName>
    <definedName name="ddddddd" hidden="1">{#N/A,#N/A,TRUE,"Cond";#N/A,#N/A,TRUE,"Bce_hold";#N/A,#N/A,TRUE,"eerr_hold";#N/A,#N/A,TRUE,"eerr_prod";#N/A,#N/A,TRUE,"eerr_tipogtos";#N/A,#N/A,TRUE,"Flujo";#N/A,#N/A,TRUE,"Var_Ebit";#N/A,#N/A,TRUE,"Noa";#N/A,#N/A,TRUE,"Var_Noa"}</definedName>
    <definedName name="ddr" localSheetId="6" hidden="1">{#N/A,#N/A,FALSE,"balance";#N/A,#N/A,FALSE,"PYG"}</definedName>
    <definedName name="ddr" localSheetId="1" hidden="1">{#N/A,#N/A,FALSE,"balance";#N/A,#N/A,FALSE,"PYG"}</definedName>
    <definedName name="ddr" localSheetId="4" hidden="1">{#N/A,#N/A,FALSE,"balance";#N/A,#N/A,FALSE,"PYG"}</definedName>
    <definedName name="ddr" localSheetId="0" hidden="1">{#N/A,#N/A,FALSE,"balance";#N/A,#N/A,FALSE,"PYG"}</definedName>
    <definedName name="ddr" localSheetId="3" hidden="1">{#N/A,#N/A,FALSE,"balance";#N/A,#N/A,FALSE,"PYG"}</definedName>
    <definedName name="ddr" localSheetId="2" hidden="1">{#N/A,#N/A,FALSE,"balance";#N/A,#N/A,FALSE,"PYG"}</definedName>
    <definedName name="ddr" localSheetId="5" hidden="1">{#N/A,#N/A,FALSE,"balance";#N/A,#N/A,FALSE,"PYG"}</definedName>
    <definedName name="ddr" localSheetId="7" hidden="1">{#N/A,#N/A,FALSE,"balance";#N/A,#N/A,FALSE,"PYG"}</definedName>
    <definedName name="ddr" hidden="1">{#N/A,#N/A,FALSE,"balance";#N/A,#N/A,FALSE,"PYG"}</definedName>
    <definedName name="ddsddsa" localSheetId="4" hidden="1">{#N/A,#N/A,TRUE,"TAPA ";"INDICE_CLP",#N/A,TRUE,"Indice";#N/A,#N/A,TRUE,"Cond";#N/A,#N/A,TRUE,"Bce_hold";#N/A,#N/A,TRUE,"eerr_hold";#N/A,#N/A,TRUE,"eerr_prod";#N/A,#N/A,TRUE,"eerr_tipogtos";#N/A,#N/A,TRUE,"Flujo";#N/A,#N/A,TRUE,"Var_Ebit";#N/A,#N/A,TRUE,"Noa";#N/A,#N/A,TRUE,"Var_Noa"}</definedName>
    <definedName name="ddsddsa" localSheetId="3" hidden="1">{#N/A,#N/A,TRUE,"TAPA ";"INDICE_CLP",#N/A,TRUE,"Indice";#N/A,#N/A,TRUE,"Cond";#N/A,#N/A,TRUE,"Bce_hold";#N/A,#N/A,TRUE,"eerr_hold";#N/A,#N/A,TRUE,"eerr_prod";#N/A,#N/A,TRUE,"eerr_tipogtos";#N/A,#N/A,TRUE,"Flujo";#N/A,#N/A,TRUE,"Var_Ebit";#N/A,#N/A,TRUE,"Noa";#N/A,#N/A,TRUE,"Var_Noa"}</definedName>
    <definedName name="ddsddsa" localSheetId="2" hidden="1">{#N/A,#N/A,TRUE,"TAPA ";"INDICE_CLP",#N/A,TRUE,"Indice";#N/A,#N/A,TRUE,"Cond";#N/A,#N/A,TRUE,"Bce_hold";#N/A,#N/A,TRUE,"eerr_hold";#N/A,#N/A,TRUE,"eerr_prod";#N/A,#N/A,TRUE,"eerr_tipogtos";#N/A,#N/A,TRUE,"Flujo";#N/A,#N/A,TRUE,"Var_Ebit";#N/A,#N/A,TRUE,"Noa";#N/A,#N/A,TRUE,"Var_Noa"}</definedName>
    <definedName name="ddsddsa" hidden="1">{#N/A,#N/A,TRUE,"TAPA ";"INDICE_CLP",#N/A,TRUE,"Indice";#N/A,#N/A,TRUE,"Cond";#N/A,#N/A,TRUE,"Bce_hold";#N/A,#N/A,TRUE,"eerr_hold";#N/A,#N/A,TRUE,"eerr_prod";#N/A,#N/A,TRUE,"eerr_tipogtos";#N/A,#N/A,TRUE,"Flujo";#N/A,#N/A,TRUE,"Var_Ebit";#N/A,#N/A,TRUE,"Noa";#N/A,#N/A,TRUE,"Var_Noa"}</definedName>
    <definedName name="de" localSheetId="4" hidden="1">{"'S. C. B.'!$E$207"}</definedName>
    <definedName name="de" localSheetId="3" hidden="1">{"'S. C. B.'!$E$207"}</definedName>
    <definedName name="de" localSheetId="2" hidden="1">{"'S. C. B.'!$E$207"}</definedName>
    <definedName name="de" hidden="1">{"'S. C. B.'!$E$207"}</definedName>
    <definedName name="DEOL" localSheetId="4" hidden="1">{"'S. C. B.'!$E$207"}</definedName>
    <definedName name="DEOL" localSheetId="3" hidden="1">{"'S. C. B.'!$E$207"}</definedName>
    <definedName name="DEOL" localSheetId="2" hidden="1">{"'S. C. B.'!$E$207"}</definedName>
    <definedName name="DEOL" hidden="1">{"'S. C. B.'!$E$207"}</definedName>
    <definedName name="DESFRE" hidden="1">{#N/A,#N/A,FALSE,"GRAFICO";#N/A,#N/A,FALSE,"CAJA (2)";#N/A,#N/A,FALSE,"TERCEROS-PROMEDIO";#N/A,#N/A,FALSE,"CAJA";#N/A,#N/A,FALSE,"INGRESOS1995-2003";#N/A,#N/A,FALSE,"GASTOS1995-2003"}</definedName>
    <definedName name="DEVOLUCIONES" localSheetId="4" hidden="1">{"'S. C. B.'!$E$207"}</definedName>
    <definedName name="DEVOLUCIONES" localSheetId="3" hidden="1">{"'S. C. B.'!$E$207"}</definedName>
    <definedName name="DEVOLUCIONES" localSheetId="2" hidden="1">{"'S. C. B.'!$E$207"}</definedName>
    <definedName name="DEVOLUCIONES" hidden="1">{"'S. C. B.'!$E$207"}</definedName>
    <definedName name="df" localSheetId="4" hidden="1">{#N/A,#N/A,TRUE,"TAPA ";"INDICE_CLP",#N/A,TRUE,"Indice";#N/A,#N/A,TRUE,"Cond";#N/A,#N/A,TRUE,"Bce_hold";#N/A,#N/A,TRUE,"eerr_hold";#N/A,#N/A,TRUE,"eerr_prod";#N/A,#N/A,TRUE,"eerr_tipogtos";#N/A,#N/A,TRUE,"Flujo";#N/A,#N/A,TRUE,"Var_Ebit";#N/A,#N/A,TRUE,"Noa";#N/A,#N/A,TRUE,"Var_Noa"}</definedName>
    <definedName name="df" localSheetId="3" hidden="1">{#N/A,#N/A,TRUE,"TAPA ";"INDICE_CLP",#N/A,TRUE,"Indice";#N/A,#N/A,TRUE,"Cond";#N/A,#N/A,TRUE,"Bce_hold";#N/A,#N/A,TRUE,"eerr_hold";#N/A,#N/A,TRUE,"eerr_prod";#N/A,#N/A,TRUE,"eerr_tipogtos";#N/A,#N/A,TRUE,"Flujo";#N/A,#N/A,TRUE,"Var_Ebit";#N/A,#N/A,TRUE,"Noa";#N/A,#N/A,TRUE,"Var_Noa"}</definedName>
    <definedName name="df" localSheetId="2" hidden="1">{#N/A,#N/A,TRUE,"TAPA ";"INDICE_CLP",#N/A,TRUE,"Indice";#N/A,#N/A,TRUE,"Cond";#N/A,#N/A,TRUE,"Bce_hold";#N/A,#N/A,TRUE,"eerr_hold";#N/A,#N/A,TRUE,"eerr_prod";#N/A,#N/A,TRUE,"eerr_tipogtos";#N/A,#N/A,TRUE,"Flujo";#N/A,#N/A,TRUE,"Var_Ebit";#N/A,#N/A,TRUE,"Noa";#N/A,#N/A,TRUE,"Var_Noa"}</definedName>
    <definedName name="df" hidden="1">{#N/A,#N/A,TRUE,"TAPA ";"INDICE_CLP",#N/A,TRUE,"Indice";#N/A,#N/A,TRUE,"Cond";#N/A,#N/A,TRUE,"Bce_hold";#N/A,#N/A,TRUE,"eerr_hold";#N/A,#N/A,TRUE,"eerr_prod";#N/A,#N/A,TRUE,"eerr_tipogtos";#N/A,#N/A,TRUE,"Flujo";#N/A,#N/A,TRUE,"Var_Ebit";#N/A,#N/A,TRUE,"Noa";#N/A,#N/A,TRUE,"Var_Noa"}</definedName>
    <definedName name="dffff" localSheetId="6" hidden="1">{#N/A,#N/A,FALSE,"balance";#N/A,#N/A,FALSE,"PYG"}</definedName>
    <definedName name="dffff" localSheetId="1" hidden="1">{#N/A,#N/A,FALSE,"balance";#N/A,#N/A,FALSE,"PYG"}</definedName>
    <definedName name="dffff" localSheetId="4" hidden="1">{#N/A,#N/A,FALSE,"balance";#N/A,#N/A,FALSE,"PYG"}</definedName>
    <definedName name="dffff" localSheetId="0" hidden="1">{#N/A,#N/A,FALSE,"balance";#N/A,#N/A,FALSE,"PYG"}</definedName>
    <definedName name="dffff" localSheetId="3" hidden="1">{#N/A,#N/A,FALSE,"balance";#N/A,#N/A,FALSE,"PYG"}</definedName>
    <definedName name="dffff" localSheetId="2" hidden="1">{#N/A,#N/A,FALSE,"balance";#N/A,#N/A,FALSE,"PYG"}</definedName>
    <definedName name="dffff" localSheetId="5" hidden="1">{#N/A,#N/A,FALSE,"balance";#N/A,#N/A,FALSE,"PYG"}</definedName>
    <definedName name="dffff" localSheetId="7" hidden="1">{#N/A,#N/A,FALSE,"balance";#N/A,#N/A,FALSE,"PYG"}</definedName>
    <definedName name="dffff" hidden="1">{#N/A,#N/A,FALSE,"balance";#N/A,#N/A,FALSE,"PYG"}</definedName>
    <definedName name="dfg" localSheetId="6" hidden="1">{#N/A,#N/A,FALSE,"balance";#N/A,#N/A,FALSE,"PYG"}</definedName>
    <definedName name="dfg" localSheetId="1" hidden="1">{#N/A,#N/A,FALSE,"balance";#N/A,#N/A,FALSE,"PYG"}</definedName>
    <definedName name="dfg" localSheetId="4" hidden="1">{#N/A,#N/A,FALSE,"balance";#N/A,#N/A,FALSE,"PYG"}</definedName>
    <definedName name="dfg" localSheetId="0" hidden="1">{#N/A,#N/A,FALSE,"balance";#N/A,#N/A,FALSE,"PYG"}</definedName>
    <definedName name="dfg" localSheetId="3" hidden="1">{#N/A,#N/A,FALSE,"balance";#N/A,#N/A,FALSE,"PYG"}</definedName>
    <definedName name="dfg" localSheetId="2" hidden="1">{#N/A,#N/A,FALSE,"balance";#N/A,#N/A,FALSE,"PYG"}</definedName>
    <definedName name="dfg" localSheetId="5" hidden="1">{#N/A,#N/A,FALSE,"balance";#N/A,#N/A,FALSE,"PYG"}</definedName>
    <definedName name="dfg" localSheetId="7" hidden="1">{#N/A,#N/A,FALSE,"balance";#N/A,#N/A,FALSE,"PYG"}</definedName>
    <definedName name="dfg" hidden="1">{#N/A,#N/A,FALSE,"balance";#N/A,#N/A,FALSE,"PYG"}</definedName>
    <definedName name="DiasDaSemana" localSheetId="9">{"SEGUNDA-FEIRA","TERÇA-FEIRA","QUARTA-FEIRA","QUINTA-FEIRA","SEXTA-FEIRA","Sábado","Domingo"}</definedName>
    <definedName name="DiasDaSemana">{"SEGUNDA-FEIRA","TERÇA-FEIRA","QUARTA-FEIRA","QUINTA-FEIRA","SEXTA-FEIRA","Sábado","Domingo"}</definedName>
    <definedName name="DiasESemanas" localSheetId="9">{0,1,2,3,4,5,6} + {0;1;2;3;4;5}*7</definedName>
    <definedName name="DiasESemanas">{0,1,2,3,4,5,6} + {0;1;2;3;4;5}*7</definedName>
    <definedName name="Discount" localSheetId="4" hidden="1">#REF!</definedName>
    <definedName name="Discount" localSheetId="3" hidden="1">#REF!</definedName>
    <definedName name="Discount" localSheetId="2" hidden="1">#REF!</definedName>
    <definedName name="Discount" hidden="1">#REF!</definedName>
    <definedName name="display_area_2" localSheetId="4" hidden="1">#REF!</definedName>
    <definedName name="display_area_2" localSheetId="3" hidden="1">#REF!</definedName>
    <definedName name="display_area_2" localSheetId="2" hidden="1">#REF!</definedName>
    <definedName name="display_area_2" hidden="1">#REF!</definedName>
    <definedName name="divi" localSheetId="4" hidden="1">{"'S. C. B.'!$E$207"}</definedName>
    <definedName name="divi" localSheetId="3" hidden="1">{"'S. C. B.'!$E$207"}</definedName>
    <definedName name="divi" localSheetId="2" hidden="1">{"'S. C. B.'!$E$207"}</definedName>
    <definedName name="divi" hidden="1">{"'S. C. B.'!$E$207"}</definedName>
    <definedName name="DME_Dirty" hidden="1">"Falso"</definedName>
    <definedName name="DME_DocumentFlags" hidden="1">"1"</definedName>
    <definedName name="DME_DocumentID" hidden="1">"::ODMA\DME-MSE\PC-37552"</definedName>
    <definedName name="DME_DocumentOpened" hidden="1">"Verdadero"</definedName>
    <definedName name="DME_DocumentTitle" hidden="1">"PC-37552 - formulario readquisición de acciones - epsa"</definedName>
    <definedName name="DME_LocalFile" hidden="1">"Falso"</definedName>
    <definedName name="DME_NextWindowNumber" hidden="1">"2"</definedName>
    <definedName name="Dos" hidden="1">{#N/A,#N/A,FALSE,"SMT1";#N/A,#N/A,FALSE,"SMT2";#N/A,#N/A,FALSE,"Summary";#N/A,#N/A,FALSE,"Graphs";#N/A,#N/A,FALSE,"4 Panel"}</definedName>
    <definedName name="dreant" localSheetId="4" hidden="1">{#N/A,#N/A,FALSE,"VENTAS";#N/A,#N/A,FALSE,"U. BRUTA";#N/A,#N/A,FALSE,"G. PERSONAL";#N/A,#N/A,FALSE,"G. OPERACION";#N/A,#N/A,FALSE,"G. DEPYAM";#N/A,#N/A,FALSE,"INGRESOS";#N/A,#N/A,FALSE,"G.o P.1";#N/A,#N/A,FALSE,"3%Informe Junta";#N/A,#N/A,FALSE,"P Y G (2)";#N/A,#N/A,FALSE,"CART. PROV.";#N/A,#N/A,FALSE,"Usecmes";#N/A,#N/A,FALSE,"Usecacu"}</definedName>
    <definedName name="dreant" localSheetId="3" hidden="1">{#N/A,#N/A,FALSE,"VENTAS";#N/A,#N/A,FALSE,"U. BRUTA";#N/A,#N/A,FALSE,"G. PERSONAL";#N/A,#N/A,FALSE,"G. OPERACION";#N/A,#N/A,FALSE,"G. DEPYAM";#N/A,#N/A,FALSE,"INGRESOS";#N/A,#N/A,FALSE,"G.o P.1";#N/A,#N/A,FALSE,"3%Informe Junta";#N/A,#N/A,FALSE,"P Y G (2)";#N/A,#N/A,FALSE,"CART. PROV.";#N/A,#N/A,FALSE,"Usecmes";#N/A,#N/A,FALSE,"Usecacu"}</definedName>
    <definedName name="dreant" localSheetId="2" hidden="1">{#N/A,#N/A,FALSE,"VENTAS";#N/A,#N/A,FALSE,"U. BRUTA";#N/A,#N/A,FALSE,"G. PERSONAL";#N/A,#N/A,FALSE,"G. OPERACION";#N/A,#N/A,FALSE,"G. DEPYAM";#N/A,#N/A,FALSE,"INGRESOS";#N/A,#N/A,FALSE,"G.o P.1";#N/A,#N/A,FALSE,"3%Informe Junta";#N/A,#N/A,FALSE,"P Y G (2)";#N/A,#N/A,FALSE,"CART. PROV.";#N/A,#N/A,FALSE,"Usecmes";#N/A,#N/A,FALSE,"Usecacu"}</definedName>
    <definedName name="dreant" hidden="1">{#N/A,#N/A,FALSE,"VENTAS";#N/A,#N/A,FALSE,"U. BRUTA";#N/A,#N/A,FALSE,"G. PERSONAL";#N/A,#N/A,FALSE,"G. OPERACION";#N/A,#N/A,FALSE,"G. DEPYAM";#N/A,#N/A,FALSE,"INGRESOS";#N/A,#N/A,FALSE,"G.o P.1";#N/A,#N/A,FALSE,"3%Informe Junta";#N/A,#N/A,FALSE,"P Y G (2)";#N/A,#N/A,FALSE,"CART. PROV.";#N/A,#N/A,FALSE,"Usecmes";#N/A,#N/A,FALSE,"Usecacu"}</definedName>
    <definedName name="droger" localSheetId="4" hidden="1">{#N/A,#N/A,FALSE,"VENTAS";#N/A,#N/A,FALSE,"U. BRUTA";#N/A,#N/A,FALSE,"G. PERSONAL";#N/A,#N/A,FALSE,"G. OPERACION";#N/A,#N/A,FALSE,"G. DEPYAM";#N/A,#N/A,FALSE,"INGRESOS";#N/A,#N/A,FALSE,"G.o P.1";#N/A,#N/A,FALSE,"3%Informe Junta";#N/A,#N/A,FALSE,"P Y G (2)";#N/A,#N/A,FALSE,"CART. PROV.";#N/A,#N/A,FALSE,"Usecmes";#N/A,#N/A,FALSE,"Usecacu"}</definedName>
    <definedName name="droger" localSheetId="3" hidden="1">{#N/A,#N/A,FALSE,"VENTAS";#N/A,#N/A,FALSE,"U. BRUTA";#N/A,#N/A,FALSE,"G. PERSONAL";#N/A,#N/A,FALSE,"G. OPERACION";#N/A,#N/A,FALSE,"G. DEPYAM";#N/A,#N/A,FALSE,"INGRESOS";#N/A,#N/A,FALSE,"G.o P.1";#N/A,#N/A,FALSE,"3%Informe Junta";#N/A,#N/A,FALSE,"P Y G (2)";#N/A,#N/A,FALSE,"CART. PROV.";#N/A,#N/A,FALSE,"Usecmes";#N/A,#N/A,FALSE,"Usecacu"}</definedName>
    <definedName name="droger" localSheetId="2" hidden="1">{#N/A,#N/A,FALSE,"VENTAS";#N/A,#N/A,FALSE,"U. BRUTA";#N/A,#N/A,FALSE,"G. PERSONAL";#N/A,#N/A,FALSE,"G. OPERACION";#N/A,#N/A,FALSE,"G. DEPYAM";#N/A,#N/A,FALSE,"INGRESOS";#N/A,#N/A,FALSE,"G.o P.1";#N/A,#N/A,FALSE,"3%Informe Junta";#N/A,#N/A,FALSE,"P Y G (2)";#N/A,#N/A,FALSE,"CART. PROV.";#N/A,#N/A,FALSE,"Usecmes";#N/A,#N/A,FALSE,"Usecacu"}</definedName>
    <definedName name="droger" hidden="1">{#N/A,#N/A,FALSE,"VENTAS";#N/A,#N/A,FALSE,"U. BRUTA";#N/A,#N/A,FALSE,"G. PERSONAL";#N/A,#N/A,FALSE,"G. OPERACION";#N/A,#N/A,FALSE,"G. DEPYAM";#N/A,#N/A,FALSE,"INGRESOS";#N/A,#N/A,FALSE,"G.o P.1";#N/A,#N/A,FALSE,"3%Informe Junta";#N/A,#N/A,FALSE,"P Y G (2)";#N/A,#N/A,FALSE,"CART. PROV.";#N/A,#N/A,FALSE,"Usecmes";#N/A,#N/A,FALSE,"Usecacu"}</definedName>
    <definedName name="DS" hidden="1">{#N/A,#N/A,FALSE,"Aging Summary";#N/A,#N/A,FALSE,"Ratio Analysis";#N/A,#N/A,FALSE,"Test 120 Day Accts";#N/A,#N/A,FALSE,"Tickmarks"}</definedName>
    <definedName name="dsdsddsd" localSheetId="4" hidden="1">{"INDICE_USD",#N/A,FALSE,"Indice";#N/A,#N/A,FALSE,"Condusd";#N/A,#N/A,FALSE,"Bce_holdusd";#N/A,#N/A,FALSE,"eerr_holdusd";#N/A,#N/A,FALSE,"eerr_produsd";#N/A,#N/A,FALSE,"eerr_tipogtosusd";#N/A,#N/A,FALSE,"Flujousd";#N/A,#N/A,FALSE,"Var_Ebitusd";#N/A,#N/A,FALSE,"Noausd";#N/A,#N/A,FALSE,"Var_Noausd"}</definedName>
    <definedName name="dsdsddsd" localSheetId="3" hidden="1">{"INDICE_USD",#N/A,FALSE,"Indice";#N/A,#N/A,FALSE,"Condusd";#N/A,#N/A,FALSE,"Bce_holdusd";#N/A,#N/A,FALSE,"eerr_holdusd";#N/A,#N/A,FALSE,"eerr_produsd";#N/A,#N/A,FALSE,"eerr_tipogtosusd";#N/A,#N/A,FALSE,"Flujousd";#N/A,#N/A,FALSE,"Var_Ebitusd";#N/A,#N/A,FALSE,"Noausd";#N/A,#N/A,FALSE,"Var_Noausd"}</definedName>
    <definedName name="dsdsddsd" localSheetId="2" hidden="1">{"INDICE_USD",#N/A,FALSE,"Indice";#N/A,#N/A,FALSE,"Condusd";#N/A,#N/A,FALSE,"Bce_holdusd";#N/A,#N/A,FALSE,"eerr_holdusd";#N/A,#N/A,FALSE,"eerr_produsd";#N/A,#N/A,FALSE,"eerr_tipogtosusd";#N/A,#N/A,FALSE,"Flujousd";#N/A,#N/A,FALSE,"Var_Ebitusd";#N/A,#N/A,FALSE,"Noausd";#N/A,#N/A,FALSE,"Var_Noausd"}</definedName>
    <definedName name="dsdsddsd" hidden="1">{"INDICE_USD",#N/A,FALSE,"Indice";#N/A,#N/A,FALSE,"Condusd";#N/A,#N/A,FALSE,"Bce_holdusd";#N/A,#N/A,FALSE,"eerr_holdusd";#N/A,#N/A,FALSE,"eerr_produsd";#N/A,#N/A,FALSE,"eerr_tipogtosusd";#N/A,#N/A,FALSE,"Flujousd";#N/A,#N/A,FALSE,"Var_Ebitusd";#N/A,#N/A,FALSE,"Noausd";#N/A,#N/A,FALSE,"Var_Noausd"}</definedName>
    <definedName name="DTF" localSheetId="4" hidden="1">{#N/A,#N/A,FALSE,"Aging Summary";#N/A,#N/A,FALSE,"Ratio Analysis";#N/A,#N/A,FALSE,"Test 120 Day Accts";#N/A,#N/A,FALSE,"Tickmarks"}</definedName>
    <definedName name="DTF" localSheetId="3" hidden="1">{#N/A,#N/A,FALSE,"Aging Summary";#N/A,#N/A,FALSE,"Ratio Analysis";#N/A,#N/A,FALSE,"Test 120 Day Accts";#N/A,#N/A,FALSE,"Tickmarks"}</definedName>
    <definedName name="DTF" localSheetId="2" hidden="1">{#N/A,#N/A,FALSE,"Aging Summary";#N/A,#N/A,FALSE,"Ratio Analysis";#N/A,#N/A,FALSE,"Test 120 Day Accts";#N/A,#N/A,FALSE,"Tickmarks"}</definedName>
    <definedName name="DTF" hidden="1">{#N/A,#N/A,FALSE,"Aging Summary";#N/A,#N/A,FALSE,"Ratio Analysis";#N/A,#N/A,FALSE,"Test 120 Day Accts";#N/A,#N/A,FALSE,"Tickmarks"}</definedName>
    <definedName name="ear" localSheetId="6" hidden="1">{#N/A,#N/A,FALSE,"balance";#N/A,#N/A,FALSE,"PYG"}</definedName>
    <definedName name="ear" localSheetId="1" hidden="1">{#N/A,#N/A,FALSE,"balance";#N/A,#N/A,FALSE,"PYG"}</definedName>
    <definedName name="ear" localSheetId="4" hidden="1">{#N/A,#N/A,FALSE,"balance";#N/A,#N/A,FALSE,"PYG"}</definedName>
    <definedName name="ear" localSheetId="0" hidden="1">{#N/A,#N/A,FALSE,"balance";#N/A,#N/A,FALSE,"PYG"}</definedName>
    <definedName name="ear" localSheetId="3" hidden="1">{#N/A,#N/A,FALSE,"balance";#N/A,#N/A,FALSE,"PYG"}</definedName>
    <definedName name="ear" localSheetId="2" hidden="1">{#N/A,#N/A,FALSE,"balance";#N/A,#N/A,FALSE,"PYG"}</definedName>
    <definedName name="ear" localSheetId="5" hidden="1">{#N/A,#N/A,FALSE,"balance";#N/A,#N/A,FALSE,"PYG"}</definedName>
    <definedName name="ear" localSheetId="7" hidden="1">{#N/A,#N/A,FALSE,"balance";#N/A,#N/A,FALSE,"PYG"}</definedName>
    <definedName name="ear" hidden="1">{#N/A,#N/A,FALSE,"balance";#N/A,#N/A,FALSE,"PYG"}</definedName>
    <definedName name="Ebitda" localSheetId="4" hidden="1">{#N/A,#N/A,FALSE,"GRAFICO";#N/A,#N/A,FALSE,"CAJA (2)";#N/A,#N/A,FALSE,"TERCEROS-PROMEDIO";#N/A,#N/A,FALSE,"CAJA";#N/A,#N/A,FALSE,"INGRESOS1995-2003";#N/A,#N/A,FALSE,"GASTOS1995-2003"}</definedName>
    <definedName name="Ebitda" localSheetId="3" hidden="1">{#N/A,#N/A,FALSE,"GRAFICO";#N/A,#N/A,FALSE,"CAJA (2)";#N/A,#N/A,FALSE,"TERCEROS-PROMEDIO";#N/A,#N/A,FALSE,"CAJA";#N/A,#N/A,FALSE,"INGRESOS1995-2003";#N/A,#N/A,FALSE,"GASTOS1995-2003"}</definedName>
    <definedName name="Ebitda" localSheetId="2" hidden="1">{#N/A,#N/A,FALSE,"GRAFICO";#N/A,#N/A,FALSE,"CAJA (2)";#N/A,#N/A,FALSE,"TERCEROS-PROMEDIO";#N/A,#N/A,FALSE,"CAJA";#N/A,#N/A,FALSE,"INGRESOS1995-2003";#N/A,#N/A,FALSE,"GASTOS1995-2003"}</definedName>
    <definedName name="Ebitda" hidden="1">{#N/A,#N/A,FALSE,"GRAFICO";#N/A,#N/A,FALSE,"CAJA (2)";#N/A,#N/A,FALSE,"TERCEROS-PROMEDIO";#N/A,#N/A,FALSE,"CAJA";#N/A,#N/A,FALSE,"INGRESOS1995-2003";#N/A,#N/A,FALSE,"GASTOS1995-2003"}</definedName>
    <definedName name="ee" localSheetId="6" hidden="1">{#N/A,#N/A,FALSE,"balance";#N/A,#N/A,FALSE,"PYG"}</definedName>
    <definedName name="ee" localSheetId="1" hidden="1">{#N/A,#N/A,FALSE,"balance";#N/A,#N/A,FALSE,"PYG"}</definedName>
    <definedName name="ee" localSheetId="4" hidden="1">{#N/A,#N/A,FALSE,"balance";#N/A,#N/A,FALSE,"PYG"}</definedName>
    <definedName name="ee" localSheetId="0" hidden="1">{#N/A,#N/A,FALSE,"balance";#N/A,#N/A,FALSE,"PYG"}</definedName>
    <definedName name="ee" localSheetId="3" hidden="1">{#N/A,#N/A,FALSE,"balance";#N/A,#N/A,FALSE,"PYG"}</definedName>
    <definedName name="ee" localSheetId="2" hidden="1">{#N/A,#N/A,FALSE,"balance";#N/A,#N/A,FALSE,"PYG"}</definedName>
    <definedName name="ee" localSheetId="5" hidden="1">{#N/A,#N/A,FALSE,"balance";#N/A,#N/A,FALSE,"PYG"}</definedName>
    <definedName name="ee" localSheetId="7" hidden="1">{#N/A,#N/A,FALSE,"balance";#N/A,#N/A,FALSE,"PYG"}</definedName>
    <definedName name="ee" hidden="1">{#N/A,#N/A,FALSE,"balance";#N/A,#N/A,FALSE,"PYG"}</definedName>
    <definedName name="eeeeeee" localSheetId="4" hidden="1">{#N/A,#N/A,TRUE,"TAPA ";"INDICE_CLP",#N/A,TRUE,"Indice";#N/A,#N/A,TRUE,"Cond";#N/A,#N/A,TRUE,"Bce_hold";#N/A,#N/A,TRUE,"eerr_hold";#N/A,#N/A,TRUE,"eerr_prod";#N/A,#N/A,TRUE,"eerr_tipogtos";#N/A,#N/A,TRUE,"Flujo";#N/A,#N/A,TRUE,"Var_Ebit";#N/A,#N/A,TRUE,"Noa";#N/A,#N/A,TRUE,"Var_Noa"}</definedName>
    <definedName name="eeeeeee" localSheetId="3" hidden="1">{#N/A,#N/A,TRUE,"TAPA ";"INDICE_CLP",#N/A,TRUE,"Indice";#N/A,#N/A,TRUE,"Cond";#N/A,#N/A,TRUE,"Bce_hold";#N/A,#N/A,TRUE,"eerr_hold";#N/A,#N/A,TRUE,"eerr_prod";#N/A,#N/A,TRUE,"eerr_tipogtos";#N/A,#N/A,TRUE,"Flujo";#N/A,#N/A,TRUE,"Var_Ebit";#N/A,#N/A,TRUE,"Noa";#N/A,#N/A,TRUE,"Var_Noa"}</definedName>
    <definedName name="eeeeeee" localSheetId="2" hidden="1">{#N/A,#N/A,TRUE,"TAPA ";"INDICE_CLP",#N/A,TRUE,"Indice";#N/A,#N/A,TRUE,"Cond";#N/A,#N/A,TRUE,"Bce_hold";#N/A,#N/A,TRUE,"eerr_hold";#N/A,#N/A,TRUE,"eerr_prod";#N/A,#N/A,TRUE,"eerr_tipogtos";#N/A,#N/A,TRUE,"Flujo";#N/A,#N/A,TRUE,"Var_Ebit";#N/A,#N/A,TRUE,"Noa";#N/A,#N/A,TRUE,"Var_Noa"}</definedName>
    <definedName name="eeeeeee" hidden="1">{#N/A,#N/A,TRUE,"TAPA ";"INDICE_CLP",#N/A,TRUE,"Indice";#N/A,#N/A,TRUE,"Cond";#N/A,#N/A,TRUE,"Bce_hold";#N/A,#N/A,TRUE,"eerr_hold";#N/A,#N/A,TRUE,"eerr_prod";#N/A,#N/A,TRUE,"eerr_tipogtos";#N/A,#N/A,TRUE,"Flujo";#N/A,#N/A,TRUE,"Var_Ebit";#N/A,#N/A,TRUE,"Noa";#N/A,#N/A,TRUE,"Var_Noa"}</definedName>
    <definedName name="eeeeeeee" localSheetId="4" hidden="1">{#N/A,#N/A,TRUE,"Cond";#N/A,#N/A,TRUE,"Bce_hold";#N/A,#N/A,TRUE,"eerr_hold";#N/A,#N/A,TRUE,"eerr_prod";#N/A,#N/A,TRUE,"eerr_tipogtos";#N/A,#N/A,TRUE,"Flujo";#N/A,#N/A,TRUE,"Var_Ebit";#N/A,#N/A,TRUE,"Noa";#N/A,#N/A,TRUE,"Var_Noa"}</definedName>
    <definedName name="eeeeeeee" localSheetId="3" hidden="1">{#N/A,#N/A,TRUE,"Cond";#N/A,#N/A,TRUE,"Bce_hold";#N/A,#N/A,TRUE,"eerr_hold";#N/A,#N/A,TRUE,"eerr_prod";#N/A,#N/A,TRUE,"eerr_tipogtos";#N/A,#N/A,TRUE,"Flujo";#N/A,#N/A,TRUE,"Var_Ebit";#N/A,#N/A,TRUE,"Noa";#N/A,#N/A,TRUE,"Var_Noa"}</definedName>
    <definedName name="eeeeeeee" localSheetId="2" hidden="1">{#N/A,#N/A,TRUE,"Cond";#N/A,#N/A,TRUE,"Bce_hold";#N/A,#N/A,TRUE,"eerr_hold";#N/A,#N/A,TRUE,"eerr_prod";#N/A,#N/A,TRUE,"eerr_tipogtos";#N/A,#N/A,TRUE,"Flujo";#N/A,#N/A,TRUE,"Var_Ebit";#N/A,#N/A,TRUE,"Noa";#N/A,#N/A,TRUE,"Var_Noa"}</definedName>
    <definedName name="eeeeeeee" hidden="1">{#N/A,#N/A,TRUE,"Cond";#N/A,#N/A,TRUE,"Bce_hold";#N/A,#N/A,TRUE,"eerr_hold";#N/A,#N/A,TRUE,"eerr_prod";#N/A,#N/A,TRUE,"eerr_tipogtos";#N/A,#N/A,TRUE,"Flujo";#N/A,#N/A,TRUE,"Var_Ebit";#N/A,#N/A,TRUE,"Noa";#N/A,#N/A,TRUE,"Var_Noa"}</definedName>
    <definedName name="ejecut" localSheetId="4" hidden="1">{"KWHTONTOTAL",#N/A,FALSE,"KWHTON"}</definedName>
    <definedName name="ejecut" localSheetId="3" hidden="1">{"KWHTONTOTAL",#N/A,FALSE,"KWHTON"}</definedName>
    <definedName name="ejecut" localSheetId="2" hidden="1">{"KWHTONTOTAL",#N/A,FALSE,"KWHTON"}</definedName>
    <definedName name="ejecut" hidden="1">{"KWHTONTOTAL",#N/A,FALSE,"KWHTON"}</definedName>
    <definedName name="electricaribeLP" localSheetId="4" hidden="1">{#N/A,#N/A,FALSE,"Aging Summary";#N/A,#N/A,FALSE,"Ratio Analysis";#N/A,#N/A,FALSE,"Test 120 Day Accts";#N/A,#N/A,FALSE,"Tickmarks"}</definedName>
    <definedName name="electricaribeLP" localSheetId="3" hidden="1">{#N/A,#N/A,FALSE,"Aging Summary";#N/A,#N/A,FALSE,"Ratio Analysis";#N/A,#N/A,FALSE,"Test 120 Day Accts";#N/A,#N/A,FALSE,"Tickmarks"}</definedName>
    <definedName name="electricaribeLP" localSheetId="2" hidden="1">{#N/A,#N/A,FALSE,"Aging Summary";#N/A,#N/A,FALSE,"Ratio Analysis";#N/A,#N/A,FALSE,"Test 120 Day Accts";#N/A,#N/A,FALSE,"Tickmarks"}</definedName>
    <definedName name="electricaribeLP" hidden="1">{#N/A,#N/A,FALSE,"Aging Summary";#N/A,#N/A,FALSE,"Ratio Analysis";#N/A,#N/A,FALSE,"Test 120 Day Accts";#N/A,#N/A,FALSE,"Tickmarks"}</definedName>
    <definedName name="ENANO" hidden="1">{#N/A,#N/A,FALSE,"Aging Summary";#N/A,#N/A,FALSE,"Ratio Analysis";#N/A,#N/A,FALSE,"Test 120 Day Accts";#N/A,#N/A,FALSE,"Tickmarks"}</definedName>
    <definedName name="EPMWorkbookOptions_1" hidden="1">"dgEAAB+LCAAAAAAABADtvQdgHEmWJSYvbcp7f0r1StfgdKEIgGATJNiQQBDswYjN5pLsHWlHIymrKoHKZVZlXWYWQMztnbz33nvvvffee++997o7nU4n99//P1xmZAFs9s5K2smeIYCqyB8/fnwfPyIe/x7vFmV6mddNUS0/+2h3vPNRmi+n1axYXnz20bo939799KPf4+g3Th5/t6rfTqrq7Zerlpo2Kb23bB69a4rPPpq37erR3btXV1fj"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10" hidden="1">"X744fXpMi98vv7Y2o5jr00/v3XuPoGv//3/qzNFRsgInX/681WJdUjw/+RElhBJfvf5/08LJ1yLF/3s01+vTz78gk/D1vbD3z+vefw+99f+RcNNQMTSxEk7Rdz9fJbdPlj0hy/8vnLH/FwnxlydnpCKf/hCF+NP3EOL/jzgfhooht568/vL/64z6DRPky52dH1GkQ5H/z8dS3zhF9n5EkZAiL35k87rNbtUqPhzYPAoJnh+f/BCN3oP3MHr/"</definedName>
    <definedName name="EPMWorkbookOptions_11" hidden="1">"X/FcDRljrusZ5cJfnfx/3v79v4hpv3pCiuDk9OUPNeA6eA+2/f+Kr+YIGTLus4cP/7/Ort84TU5f/ChhEjS7VasBEX5zdvrFByxavb/0Pvz/n/QKDUMm3dvZvT/+/8X66jdOlZ39H5EkIMn+jxglzig/b8PQYZL8fz4O/X+P6fvi9Pj1V69OX/8Qjd/uzntYv/+PhFyGjLKa9fu8+ZFz9l6NAmzijR7fPV6tymKatQTHfh58apoTtGq5JMTp"</definedName>
    <definedName name="EPMWorkbookOptions_12" hidden="1">"s6dZm5mPo5/S50K1RblsPvto3rarR3fvtvlita6LcVVf3P2qyWuH0/hdM/vo6Pd/9vKL3//Jy5MX393d+f2/py/tPtgb7z4c797bHT94dLCzs3O3yVZ3J6vp3e///t/7/NVXL7/8/Y9fff7la/qLUGmqsphlU8JGVk5+/++dZ2WTE+MEzPLYH+B7YulRL0Y8O/ijPjodLIR+bo46XOV/9e1iNsuXdsqbDU038MzreXXVUShg58d3I19sepVH"</definedName>
    <definedName name="EPMWorkbookOptions_13" hidden="1">"EXkzIpD8IlGizd+1z7LLqi5awosnRV7ufXeL958VddN6CMS/7wC6UV5u32pA7Z8cvzn9/MtXZ8c/RL3//x21f2u1b8koev/l8+MXP1L8frNbtRri0a/I6/sABt3Z2SclfHv+3P3/n1siJAxd6JOXP2JRv9mtWg2w6DPQ9/T3f3r85suv70Hfu3f//v7+/u0Zde//f4zqEzJk1+Ovnp69+XmdGojTZi+gjbiQPyJQh0Cvj58//ZKWvF5+9eZH"</definedName>
    <definedName name="EPMWorkbookOptions_14" hidden="1">"xOkS50dkiQvVd35/u9z//3Hi/L/HUHL0+7Ut5KcPdncODh7c3kLe+/+fhWQKhqbx89//521uOE6Nn9dWMEKSF1+++P0/f/XlVz/y+INmt2o1oMi++PIFWYbf/9Xpy6+tzSgw/fTTe/feIzLdfw919v+R5WJHR0mdnHz5/3km/aZI8fzk/+uU+H+PuL4+/fwL0oZf3/V4/zTn/fcQ1v+P+B6GiqF1kcCTvvv/Ort+s2Q5e/HFl0/+v06S/xdJ"</definedName>
    <definedName name="EPMWorkbookOptions_15" hidden="1">"sMZiP0QJ/vT/hxJsItowFfz6yx8xqt/sVq2GGZVs+PPjkx8ipz74/yWnChljxuaMcjavTn7EtEGzW7UaYtqvnpx8+eLk9OUP1UU6+P8h2zpChox7+uL/82nEb5wmzx4+/H81TdKbafL/HhF+c3b6xQfkVt9feh++h/T+fyQbITQMmXRvZ/f+eHfv/+uM+g2TZG/883otdpBRdnZ/RJIOSX7EKH2q7P//gyr/77F+X5wev/7q1enrH6L92915"</definedName>
    <definedName name="EPMWorkbookOptions_16" hidden="1">"DwP4/xH31ZBRMtC/z5v/z/us3yCH3qJRgE280eO7x6tVWUyzluDYz4NPTXOCVi2XhDh99jRrM/7Y//BN1R3841f5eZ038y+XX67y5REo9/hu+Bk3OynzrAbML5evs8tcG3Y/5abfreq3k6p6S0zZMhGPzrOyodb9L8L2VzOds8dnzU9mdZFNyvyLvL5wEHqf/8aJA/vlSmjx/wAOutHrhYsAAA=="</definedName>
    <definedName name="EPMWorkbookOptions_2" hidden="1">"q3vjqr64u7ezs3v39/7i+evpPF9k28WyabPlNP/IvjW7+a2PqNc0ffwqP6/zZv7l8stVvjw6z8omf3w3/JDbnZR5Vj/N2uzL5evsMjctux9zWzOWl3XV5tM2n5nW/S/C9lez9K58dNb8ZFYX2aTMv8jrCweh9zmRzoJV2h39P45h/1l2AQAA"</definedName>
    <definedName name="EPMWorkbookOptions_3">"XeDjsDtercpimnmUvDWWBkYIxftYB3/UR6eDhdCvR9JbfEVffpEvJnn91bL4ReucoX7v9ZcnZ6dPj59+f/y9l8evTl+8+fYu/Xry5c4ODb/XvAfw20VeZ/V0fu0apcRdj5ZF+dlHbb0m5rnbf+tpsciX4N3bv/X47jc35jdnp1+8/DIc8d7O7v3xT+z/f2XQG77xvvh2MZvlS9tx0+nAb+oYtuki8XpeXVkYJ1VZ1UdA9/HdyBebXmViRt6M"</definedName>
    <definedName name="EPMWorkbookOptions_4" hidden="1">"j7L84eThw/2H27PJ5N72/v3dg+3J+YNsO/t0dm/y8N79vb3zGXoO34oAfp417eu8JNHPZ1/kiwlpsEizkC2jDaiJvO+R6XuWjN8ff4/+9+r0+DlJcK/dALxvF3md1dP5tWuakqJ8tCzKzz4Cy3zUkR3v3cis3e7dx3dvGuk3QoqXr05ff/Xyq9PXb778/zpFHt+9DRN5cvCzJ7Vfnb548wEiu7OzT6bp9hK7+x4Su3v/0/vn+eR8+/6ns/3t"</definedName>
    <definedName name="EPMWorkbookOptions_5" hidden="1">"/b3zh9sH9/N8eyfL9/Znkwf7Dyb3/t8gsUxCMOjxK/rt27v068nLH7Go3+xWrQZY9Bnoe/r7Pz1+8+Xrr82o9+7dv7+/v397Rt37/x+j+oQM2fX4q6dnb958+eb/+7bm/z1syx761+bXTx/s7hwcPLg9v977/x+/MgVDRv3897/3/3UO/Uapsfv/dWr8v0dev/jyxenT49//1enLry205A19+um9e+/hDu3//09qHR3FbT/58ke+UNDsVq0G"</definedName>
    <definedName name="EPMWorkbookOptions_6" hidden="1">"mPT16edfkPR/fbvy/jH2/f//saihYqhN2f/5/em7H7Gr3+xWrYbY9cuTM1IGT3+I7Prp/w/ZVakYsuu3kVX9/zqrfrMkOflyZ+9HFOlQZOdHFAko8vpH2cOg2a1aDet3cvSeH5/8EBX8g/9fKnghY8whOaOczauTHzFt0OxWrYaY9qsnJ1++ODl9+UN1ow/+f8i2jpAh456+eHozu1rAP2LXfjuPzG/OTr/4gETivb0Hnx7cnk0fvgeb/n9k"</definedName>
    <definedName name="EPMWorkbookOptions_7" hidden="1">"RVUIGHLoHknvePfnrbM4QJK98Y/WAL5R2f3i9Pj1V7Rs/bWl9/3tzO7Oe0jw/0cMjSGjJBR/nzc/si7v1SjAJt7o8d3j1aospllLcOznwaemOUGrlktCnD57mrWZ+Tj6KX0uVFuUy+azj+Ztu3p0926bL1bruhhX9cXdr5q8djiN3zWzj45+/2cvv/j9n7w8efHd3Z3f/3v60mS2+9Pr1c7u+KJer6qsvqia8bRaPDrY2dm522Sru5PV9O73"</definedName>
    <definedName name="EPMWorkbookOptions_8" hidden="1">"f39ZJ/n9j199Toucv//3CKumKotZNi3+0b91efbsFT48z8omJx4K+OaxP9b3RNgjZIyOlg5HfXQ6WAgp3XR1GMz/6tvFbJYv7ew3G5puYJ/X8+qqo1vA2Y/vRr7Y9CqPIvJmRDb5RaJEm79rn2WXVV20hBdPirzc++4W7z8r6qb1EIh/3wF0o+jcvtWABTg5fnP6+Zevzo5/iCbg/4cWwJJRTMCr0//veynfEClePj9+8f91UnyD5vBDxfUr"</definedName>
    <definedName name="EPMWorkbookOptions_9" hidden="1">"coc/QFZ3dvbJHt1eVHf/fyiqTEIXW9ynX2Hovnpx+ubn7XpFlyicif7RunjQ7FatBuT2Geh7+vs/PX7z5dcPtu7du39/f3//9tK79/8/6fUJGbLr2YuXX735/zrHfrNk2aNfj796evZGM/WILn5EoA7fOAL9f502/+9Rdxzjfm099+mD3Z2Dgwe313P33kPP/X8kKcwUDBn1xZcvfv/PX3351f/nzfI3SJPPf/97P6/VWpwk/1+nxv97FNkX"</definedName>
    <definedName name="er" localSheetId="6" hidden="1">{#N/A,#N/A,FALSE,"balance";#N/A,#N/A,FALSE,"PYG"}</definedName>
    <definedName name="er" localSheetId="1" hidden="1">{#N/A,#N/A,FALSE,"balance";#N/A,#N/A,FALSE,"PYG"}</definedName>
    <definedName name="er" localSheetId="4" hidden="1">{#N/A,#N/A,FALSE,"balance";#N/A,#N/A,FALSE,"PYG"}</definedName>
    <definedName name="er" localSheetId="0" hidden="1">{#N/A,#N/A,FALSE,"balance";#N/A,#N/A,FALSE,"PYG"}</definedName>
    <definedName name="er" localSheetId="3" hidden="1">{#N/A,#N/A,FALSE,"balance";#N/A,#N/A,FALSE,"PYG"}</definedName>
    <definedName name="er" localSheetId="2" hidden="1">{#N/A,#N/A,FALSE,"balance";#N/A,#N/A,FALSE,"PYG"}</definedName>
    <definedName name="er" localSheetId="5" hidden="1">{#N/A,#N/A,FALSE,"balance";#N/A,#N/A,FALSE,"PYG"}</definedName>
    <definedName name="er" localSheetId="7" hidden="1">{#N/A,#N/A,FALSE,"balance";#N/A,#N/A,FALSE,"PYG"}</definedName>
    <definedName name="er" hidden="1">{#N/A,#N/A,FALSE,"balance";#N/A,#N/A,FALSE,"PYG"}</definedName>
    <definedName name="ERD" hidden="1">{#N/A,#N/A,FALSE,"Aging Summary";#N/A,#N/A,FALSE,"Ratio Analysis";#N/A,#N/A,FALSE,"Test 120 Day Accts";#N/A,#N/A,FALSE,"Tickmarks"}</definedName>
    <definedName name="ERE" hidden="1">{"'18'!$A$5:$M$18"}</definedName>
    <definedName name="ert" localSheetId="6" hidden="1">{#N/A,#N/A,FALSE,"balance";#N/A,#N/A,FALSE,"PYG"}</definedName>
    <definedName name="ert" localSheetId="1" hidden="1">{#N/A,#N/A,FALSE,"balance";#N/A,#N/A,FALSE,"PYG"}</definedName>
    <definedName name="ert" localSheetId="4" hidden="1">{#N/A,#N/A,FALSE,"balance";#N/A,#N/A,FALSE,"PYG"}</definedName>
    <definedName name="ert" localSheetId="0" hidden="1">{#N/A,#N/A,FALSE,"balance";#N/A,#N/A,FALSE,"PYG"}</definedName>
    <definedName name="ert" localSheetId="3" hidden="1">{#N/A,#N/A,FALSE,"balance";#N/A,#N/A,FALSE,"PYG"}</definedName>
    <definedName name="ert" localSheetId="2" hidden="1">{#N/A,#N/A,FALSE,"balance";#N/A,#N/A,FALSE,"PYG"}</definedName>
    <definedName name="ert" localSheetId="5" hidden="1">{#N/A,#N/A,FALSE,"balance";#N/A,#N/A,FALSE,"PYG"}</definedName>
    <definedName name="ert" localSheetId="7" hidden="1">{#N/A,#N/A,FALSE,"balance";#N/A,#N/A,FALSE,"PYG"}</definedName>
    <definedName name="ert" hidden="1">{#N/A,#N/A,FALSE,"balance";#N/A,#N/A,FALSE,"PYG"}</definedName>
    <definedName name="ESCENARIO" localSheetId="4" hidden="1">{#N/A,#N/A,FALSE,"GRAFICO";#N/A,#N/A,FALSE,"CAJA (2)";#N/A,#N/A,FALSE,"TERCEROS-PROMEDIO";#N/A,#N/A,FALSE,"CAJA";#N/A,#N/A,FALSE,"INGRESOS1995-2003";#N/A,#N/A,FALSE,"GASTOS1995-2003"}</definedName>
    <definedName name="ESCENARIO" localSheetId="3" hidden="1">{#N/A,#N/A,FALSE,"GRAFICO";#N/A,#N/A,FALSE,"CAJA (2)";#N/A,#N/A,FALSE,"TERCEROS-PROMEDIO";#N/A,#N/A,FALSE,"CAJA";#N/A,#N/A,FALSE,"INGRESOS1995-2003";#N/A,#N/A,FALSE,"GASTOS1995-2003"}</definedName>
    <definedName name="ESCENARIO" localSheetId="2" hidden="1">{#N/A,#N/A,FALSE,"GRAFICO";#N/A,#N/A,FALSE,"CAJA (2)";#N/A,#N/A,FALSE,"TERCEROS-PROMEDIO";#N/A,#N/A,FALSE,"CAJA";#N/A,#N/A,FALSE,"INGRESOS1995-2003";#N/A,#N/A,FALSE,"GASTOS1995-2003"}</definedName>
    <definedName name="ESCENARIO" hidden="1">{#N/A,#N/A,FALSE,"GRAFICO";#N/A,#N/A,FALSE,"CAJA (2)";#N/A,#N/A,FALSE,"TERCEROS-PROMEDIO";#N/A,#N/A,FALSE,"CAJA";#N/A,#N/A,FALSE,"INGRESOS1995-2003";#N/A,#N/A,FALSE,"GASTOS1995-2003"}</definedName>
    <definedName name="esd" localSheetId="4" hidden="1">{#N/A,#N/A,TRUE,"Cond";#N/A,#N/A,TRUE,"Bce_hold";#N/A,#N/A,TRUE,"eerr_hold";#N/A,#N/A,TRUE,"eerr_prod";#N/A,#N/A,TRUE,"eerr_tipogtos";#N/A,#N/A,TRUE,"Flujo";#N/A,#N/A,TRUE,"Var_Ebit";#N/A,#N/A,TRUE,"Noa";#N/A,#N/A,TRUE,"Var_Noa"}</definedName>
    <definedName name="esd" localSheetId="3" hidden="1">{#N/A,#N/A,TRUE,"Cond";#N/A,#N/A,TRUE,"Bce_hold";#N/A,#N/A,TRUE,"eerr_hold";#N/A,#N/A,TRUE,"eerr_prod";#N/A,#N/A,TRUE,"eerr_tipogtos";#N/A,#N/A,TRUE,"Flujo";#N/A,#N/A,TRUE,"Var_Ebit";#N/A,#N/A,TRUE,"Noa";#N/A,#N/A,TRUE,"Var_Noa"}</definedName>
    <definedName name="esd" localSheetId="2" hidden="1">{#N/A,#N/A,TRUE,"Cond";#N/A,#N/A,TRUE,"Bce_hold";#N/A,#N/A,TRUE,"eerr_hold";#N/A,#N/A,TRUE,"eerr_prod";#N/A,#N/A,TRUE,"eerr_tipogtos";#N/A,#N/A,TRUE,"Flujo";#N/A,#N/A,TRUE,"Var_Ebit";#N/A,#N/A,TRUE,"Noa";#N/A,#N/A,TRUE,"Var_Noa"}</definedName>
    <definedName name="esd" hidden="1">{#N/A,#N/A,TRUE,"Cond";#N/A,#N/A,TRUE,"Bce_hold";#N/A,#N/A,TRUE,"eerr_hold";#N/A,#N/A,TRUE,"eerr_prod";#N/A,#N/A,TRUE,"eerr_tipogtos";#N/A,#N/A,TRUE,"Flujo";#N/A,#N/A,TRUE,"Var_Ebit";#N/A,#N/A,TRUE,"Noa";#N/A,#N/A,TRUE,"Var_Noa"}</definedName>
    <definedName name="este" hidden="1">{"PYGT",#N/A,FALSE,"PYG";"ACTIT",#N/A,FALSE,"BCE_GRAL-ACTIVO";"PASIT",#N/A,FALSE,"BCE_GRAL-PASIVO-PATRIM";"CAJAT",#N/A,FALSE,"CAJA"}</definedName>
    <definedName name="ESTEWW" hidden="1">{#N/A,#N/A,FALSE,"GRAFICO";#N/A,#N/A,FALSE,"CAJA (2)";#N/A,#N/A,FALSE,"TERCEROS-PROMEDIO";#N/A,#N/A,FALSE,"CAJA";#N/A,#N/A,FALSE,"INGRESOS1995-2003";#N/A,#N/A,FALSE,"GASTOS1995-2003"}</definedName>
    <definedName name="Estoquees" localSheetId="4" hidden="1">{#N/A,#N/A,FALSE,"Aging Summary";#N/A,#N/A,FALSE,"Ratio Analysis";#N/A,#N/A,FALSE,"Test 120 Day Accts";#N/A,#N/A,FALSE,"Tickmarks"}</definedName>
    <definedName name="Estoquees" localSheetId="3" hidden="1">{#N/A,#N/A,FALSE,"Aging Summary";#N/A,#N/A,FALSE,"Ratio Analysis";#N/A,#N/A,FALSE,"Test 120 Day Accts";#N/A,#N/A,FALSE,"Tickmarks"}</definedName>
    <definedName name="Estoquees" localSheetId="2" hidden="1">{#N/A,#N/A,FALSE,"Aging Summary";#N/A,#N/A,FALSE,"Ratio Analysis";#N/A,#N/A,FALSE,"Test 120 Day Accts";#N/A,#N/A,FALSE,"Tickmarks"}</definedName>
    <definedName name="Estoquees" hidden="1">{#N/A,#N/A,FALSE,"Aging Summary";#N/A,#N/A,FALSE,"Ratio Analysis";#N/A,#N/A,FALSE,"Test 120 Day Accts";#N/A,#N/A,FALSE,"Tickmarks"}</definedName>
    <definedName name="estoquees1" localSheetId="4" hidden="1">{#N/A,#N/A,FALSE,"Aging Summary";#N/A,#N/A,FALSE,"Ratio Analysis";#N/A,#N/A,FALSE,"Test 120 Day Accts";#N/A,#N/A,FALSE,"Tickmarks"}</definedName>
    <definedName name="estoquees1" localSheetId="3" hidden="1">{#N/A,#N/A,FALSE,"Aging Summary";#N/A,#N/A,FALSE,"Ratio Analysis";#N/A,#N/A,FALSE,"Test 120 Day Accts";#N/A,#N/A,FALSE,"Tickmarks"}</definedName>
    <definedName name="estoquees1" localSheetId="2" hidden="1">{#N/A,#N/A,FALSE,"Aging Summary";#N/A,#N/A,FALSE,"Ratio Analysis";#N/A,#N/A,FALSE,"Test 120 Day Accts";#N/A,#N/A,FALSE,"Tickmarks"}</definedName>
    <definedName name="estoquees1" hidden="1">{#N/A,#N/A,FALSE,"Aging Summary";#N/A,#N/A,FALSE,"Ratio Analysis";#N/A,#N/A,FALSE,"Test 120 Day Accts";#N/A,#N/A,FALSE,"Tickmarks"}</definedName>
    <definedName name="estoquees2" localSheetId="4" hidden="1">{#N/A,#N/A,FALSE,"Aging Summary";#N/A,#N/A,FALSE,"Ratio Analysis";#N/A,#N/A,FALSE,"Test 120 Day Accts";#N/A,#N/A,FALSE,"Tickmarks"}</definedName>
    <definedName name="estoquees2" localSheetId="3" hidden="1">{#N/A,#N/A,FALSE,"Aging Summary";#N/A,#N/A,FALSE,"Ratio Analysis";#N/A,#N/A,FALSE,"Test 120 Day Accts";#N/A,#N/A,FALSE,"Tickmarks"}</definedName>
    <definedName name="estoquees2" localSheetId="2" hidden="1">{#N/A,#N/A,FALSE,"Aging Summary";#N/A,#N/A,FALSE,"Ratio Analysis";#N/A,#N/A,FALSE,"Test 120 Day Accts";#N/A,#N/A,FALSE,"Tickmarks"}</definedName>
    <definedName name="estoquees2" hidden="1">{#N/A,#N/A,FALSE,"Aging Summary";#N/A,#N/A,FALSE,"Ratio Analysis";#N/A,#N/A,FALSE,"Test 120 Day Accts";#N/A,#N/A,FALSE,"Tickmarks"}</definedName>
    <definedName name="estre" hidden="1">{#N/A,#N/A,FALSE,"GRAFICO";#N/A,#N/A,FALSE,"CAJA (2)";#N/A,#N/A,FALSE,"TERCEROS-PROMEDIO";#N/A,#N/A,FALSE,"CAJA";#N/A,#N/A,FALSE,"INGRESOS1995-2003";#N/A,#N/A,FALSE,"GASTOS1995-2003"}</definedName>
    <definedName name="ev.Calculation" hidden="1">-4135</definedName>
    <definedName name="ev.Initialized" hidden="1">FALSE</definedName>
    <definedName name="ewew" hidden="1">{"'18'!$A$5:$M$18"}</definedName>
    <definedName name="EWQ" hidden="1">{#N/A,#N/A,FALSE,"Aging Summary";#N/A,#N/A,FALSE,"Ratio Analysis";#N/A,#N/A,FALSE,"Test 120 Day Accts";#N/A,#N/A,FALSE,"Tickmarks"}</definedName>
    <definedName name="ewwwwww" localSheetId="4" hidden="1">{"INDICE_USD",#N/A,FALSE,"Indice";#N/A,#N/A,FALSE,"Condusd";#N/A,#N/A,FALSE,"Bce_holdusd";#N/A,#N/A,FALSE,"eerr_holdusd";#N/A,#N/A,FALSE,"eerr_produsd";#N/A,#N/A,FALSE,"eerr_tipogtosusd";#N/A,#N/A,FALSE,"Flujousd";#N/A,#N/A,FALSE,"Var_Ebitusd";#N/A,#N/A,FALSE,"Noausd";#N/A,#N/A,FALSE,"Var_Noausd"}</definedName>
    <definedName name="ewwwwww" localSheetId="3" hidden="1">{"INDICE_USD",#N/A,FALSE,"Indice";#N/A,#N/A,FALSE,"Condusd";#N/A,#N/A,FALSE,"Bce_holdusd";#N/A,#N/A,FALSE,"eerr_holdusd";#N/A,#N/A,FALSE,"eerr_produsd";#N/A,#N/A,FALSE,"eerr_tipogtosusd";#N/A,#N/A,FALSE,"Flujousd";#N/A,#N/A,FALSE,"Var_Ebitusd";#N/A,#N/A,FALSE,"Noausd";#N/A,#N/A,FALSE,"Var_Noausd"}</definedName>
    <definedName name="ewwwwww" localSheetId="2" hidden="1">{"INDICE_USD",#N/A,FALSE,"Indice";#N/A,#N/A,FALSE,"Condusd";#N/A,#N/A,FALSE,"Bce_holdusd";#N/A,#N/A,FALSE,"eerr_holdusd";#N/A,#N/A,FALSE,"eerr_produsd";#N/A,#N/A,FALSE,"eerr_tipogtosusd";#N/A,#N/A,FALSE,"Flujousd";#N/A,#N/A,FALSE,"Var_Ebitusd";#N/A,#N/A,FALSE,"Noausd";#N/A,#N/A,FALSE,"Var_Noausd"}</definedName>
    <definedName name="ewwwwww" hidden="1">{"INDICE_USD",#N/A,FALSE,"Indice";#N/A,#N/A,FALSE,"Condusd";#N/A,#N/A,FALSE,"Bce_holdusd";#N/A,#N/A,FALSE,"eerr_holdusd";#N/A,#N/A,FALSE,"eerr_produsd";#N/A,#N/A,FALSE,"eerr_tipogtosusd";#N/A,#N/A,FALSE,"Flujousd";#N/A,#N/A,FALSE,"Var_Ebitusd";#N/A,#N/A,FALSE,"Noausd";#N/A,#N/A,FALSE,"Var_Noausd"}</definedName>
    <definedName name="FAROL" hidden="1">{"PYGT",#N/A,FALSE,"PYG";"ACTIT",#N/A,FALSE,"BCE_GRAL-ACTIVO";"PASIT",#N/A,FALSE,"BCE_GRAL-PASIVO-PATRIM";"CAJAT",#N/A,FALSE,"CAJA"}</definedName>
    <definedName name="FCode" localSheetId="4" hidden="1">#REF!</definedName>
    <definedName name="FCode" localSheetId="3" hidden="1">#REF!</definedName>
    <definedName name="FCode" localSheetId="2" hidden="1">#REF!</definedName>
    <definedName name="FCode" hidden="1">#REF!</definedName>
    <definedName name="FD156d" localSheetId="6" hidden="1">{#N/A,#N/A,FALSE,"balance";#N/A,#N/A,FALSE,"PYG"}</definedName>
    <definedName name="FD156d" localSheetId="1" hidden="1">{#N/A,#N/A,FALSE,"balance";#N/A,#N/A,FALSE,"PYG"}</definedName>
    <definedName name="FD156d" localSheetId="4" hidden="1">{#N/A,#N/A,FALSE,"balance";#N/A,#N/A,FALSE,"PYG"}</definedName>
    <definedName name="FD156d" localSheetId="0" hidden="1">{#N/A,#N/A,FALSE,"balance";#N/A,#N/A,FALSE,"PYG"}</definedName>
    <definedName name="FD156d" localSheetId="3" hidden="1">{#N/A,#N/A,FALSE,"balance";#N/A,#N/A,FALSE,"PYG"}</definedName>
    <definedName name="FD156d" localSheetId="2" hidden="1">{#N/A,#N/A,FALSE,"balance";#N/A,#N/A,FALSE,"PYG"}</definedName>
    <definedName name="FD156d" localSheetId="5" hidden="1">{#N/A,#N/A,FALSE,"balance";#N/A,#N/A,FALSE,"PYG"}</definedName>
    <definedName name="FD156d" localSheetId="7" hidden="1">{#N/A,#N/A,FALSE,"balance";#N/A,#N/A,FALSE,"PYG"}</definedName>
    <definedName name="FD156d" hidden="1">{#N/A,#N/A,FALSE,"balance";#N/A,#N/A,FALSE,"PYG"}</definedName>
    <definedName name="fdhadhasdghadgh" hidden="1">[1]Assumptions!#REF!</definedName>
    <definedName name="Fecha_Cierre_Act">[7]Entidad!$C$9</definedName>
    <definedName name="Fecha_Cierre_Ant">[7]Entidad!$C$10</definedName>
    <definedName name="felipe" localSheetId="4" hidden="1">{#N/A,#N/A,FALSE,"VENTAS";#N/A,#N/A,FALSE,"U. BRUTA";#N/A,#N/A,FALSE,"G. PERSONAL";#N/A,#N/A,FALSE,"G. OPERACION";#N/A,#N/A,FALSE,"G. DEPYAM";#N/A,#N/A,FALSE,"INGRESOS";#N/A,#N/A,FALSE,"G.o P.1";#N/A,#N/A,FALSE,"3%Informe Junta";#N/A,#N/A,FALSE,"P Y G (2)";#N/A,#N/A,FALSE,"CART. PROV.";#N/A,#N/A,FALSE,"Usecmes";#N/A,#N/A,FALSE,"Usecacu"}</definedName>
    <definedName name="felipe" localSheetId="3" hidden="1">{#N/A,#N/A,FALSE,"VENTAS";#N/A,#N/A,FALSE,"U. BRUTA";#N/A,#N/A,FALSE,"G. PERSONAL";#N/A,#N/A,FALSE,"G. OPERACION";#N/A,#N/A,FALSE,"G. DEPYAM";#N/A,#N/A,FALSE,"INGRESOS";#N/A,#N/A,FALSE,"G.o P.1";#N/A,#N/A,FALSE,"3%Informe Junta";#N/A,#N/A,FALSE,"P Y G (2)";#N/A,#N/A,FALSE,"CART. PROV.";#N/A,#N/A,FALSE,"Usecmes";#N/A,#N/A,FALSE,"Usecacu"}</definedName>
    <definedName name="felipe" localSheetId="2" hidden="1">{#N/A,#N/A,FALSE,"VENTAS";#N/A,#N/A,FALSE,"U. BRUTA";#N/A,#N/A,FALSE,"G. PERSONAL";#N/A,#N/A,FALSE,"G. OPERACION";#N/A,#N/A,FALSE,"G. DEPYAM";#N/A,#N/A,FALSE,"INGRESOS";#N/A,#N/A,FALSE,"G.o P.1";#N/A,#N/A,FALSE,"3%Informe Junta";#N/A,#N/A,FALSE,"P Y G (2)";#N/A,#N/A,FALSE,"CART. PROV.";#N/A,#N/A,FALSE,"Usecmes";#N/A,#N/A,FALSE,"Usecacu"}</definedName>
    <definedName name="felipe" hidden="1">{#N/A,#N/A,FALSE,"VENTAS";#N/A,#N/A,FALSE,"U. BRUTA";#N/A,#N/A,FALSE,"G. PERSONAL";#N/A,#N/A,FALSE,"G. OPERACION";#N/A,#N/A,FALSE,"G. DEPYAM";#N/A,#N/A,FALSE,"INGRESOS";#N/A,#N/A,FALSE,"G.o P.1";#N/A,#N/A,FALSE,"3%Informe Junta";#N/A,#N/A,FALSE,"P Y G (2)";#N/A,#N/A,FALSE,"CART. PROV.";#N/A,#N/A,FALSE,"Usecmes";#N/A,#N/A,FALSE,"Usecacu"}</definedName>
    <definedName name="ff" hidden="1">{#N/A,#N/A,FALSE,"GRAFICO";#N/A,#N/A,FALSE,"CAJA (2)";#N/A,#N/A,FALSE,"TERCEROS-PROMEDIO";#N/A,#N/A,FALSE,"CAJA";#N/A,#N/A,FALSE,"INGRESOS1995-2003";#N/A,#N/A,FALSE,"GASTOS1995-2003"}</definedName>
    <definedName name="fffffff" localSheetId="4" hidden="1">{#N/A,#N/A,TRUE,"Cond";#N/A,#N/A,TRUE,"Bce_hold";#N/A,#N/A,TRUE,"eerr_hold";#N/A,#N/A,TRUE,"eerr_prod";#N/A,#N/A,TRUE,"eerr_tipogtos";#N/A,#N/A,TRUE,"Flujo";#N/A,#N/A,TRUE,"Var_Ebit";#N/A,#N/A,TRUE,"Noa";#N/A,#N/A,TRUE,"Var_Noa"}</definedName>
    <definedName name="fffffff" localSheetId="3" hidden="1">{#N/A,#N/A,TRUE,"Cond";#N/A,#N/A,TRUE,"Bce_hold";#N/A,#N/A,TRUE,"eerr_hold";#N/A,#N/A,TRUE,"eerr_prod";#N/A,#N/A,TRUE,"eerr_tipogtos";#N/A,#N/A,TRUE,"Flujo";#N/A,#N/A,TRUE,"Var_Ebit";#N/A,#N/A,TRUE,"Noa";#N/A,#N/A,TRUE,"Var_Noa"}</definedName>
    <definedName name="fffffff" localSheetId="2" hidden="1">{#N/A,#N/A,TRUE,"Cond";#N/A,#N/A,TRUE,"Bce_hold";#N/A,#N/A,TRUE,"eerr_hold";#N/A,#N/A,TRUE,"eerr_prod";#N/A,#N/A,TRUE,"eerr_tipogtos";#N/A,#N/A,TRUE,"Flujo";#N/A,#N/A,TRUE,"Var_Ebit";#N/A,#N/A,TRUE,"Noa";#N/A,#N/A,TRUE,"Var_Noa"}</definedName>
    <definedName name="fffffff" hidden="1">{#N/A,#N/A,TRUE,"Cond";#N/A,#N/A,TRUE,"Bce_hold";#N/A,#N/A,TRUE,"eerr_hold";#N/A,#N/A,TRUE,"eerr_prod";#N/A,#N/A,TRUE,"eerr_tipogtos";#N/A,#N/A,TRUE,"Flujo";#N/A,#N/A,TRUE,"Var_Ebit";#N/A,#N/A,TRUE,"Noa";#N/A,#N/A,TRUE,"Var_Noa"}</definedName>
    <definedName name="fffffffff" localSheetId="4" hidden="1">{"INDICE_USD",#N/A,FALSE,"Indice";#N/A,#N/A,FALSE,"Condusd";#N/A,#N/A,FALSE,"Bce_holdusd";#N/A,#N/A,FALSE,"eerr_holdusd";#N/A,#N/A,FALSE,"eerr_produsd";#N/A,#N/A,FALSE,"eerr_tipogtosusd";#N/A,#N/A,FALSE,"Flujousd";#N/A,#N/A,FALSE,"Var_Ebitusd";#N/A,#N/A,FALSE,"Noausd";#N/A,#N/A,FALSE,"Var_Noausd"}</definedName>
    <definedName name="fffffffff" localSheetId="3" hidden="1">{"INDICE_USD",#N/A,FALSE,"Indice";#N/A,#N/A,FALSE,"Condusd";#N/A,#N/A,FALSE,"Bce_holdusd";#N/A,#N/A,FALSE,"eerr_holdusd";#N/A,#N/A,FALSE,"eerr_produsd";#N/A,#N/A,FALSE,"eerr_tipogtosusd";#N/A,#N/A,FALSE,"Flujousd";#N/A,#N/A,FALSE,"Var_Ebitusd";#N/A,#N/A,FALSE,"Noausd";#N/A,#N/A,FALSE,"Var_Noausd"}</definedName>
    <definedName name="fffffffff" localSheetId="2" hidden="1">{"INDICE_USD",#N/A,FALSE,"Indice";#N/A,#N/A,FALSE,"Condusd";#N/A,#N/A,FALSE,"Bce_holdusd";#N/A,#N/A,FALSE,"eerr_holdusd";#N/A,#N/A,FALSE,"eerr_produsd";#N/A,#N/A,FALSE,"eerr_tipogtosusd";#N/A,#N/A,FALSE,"Flujousd";#N/A,#N/A,FALSE,"Var_Ebitusd";#N/A,#N/A,FALSE,"Noausd";#N/A,#N/A,FALSE,"Var_Noausd"}</definedName>
    <definedName name="fffffffff" hidden="1">{"INDICE_USD",#N/A,FALSE,"Indice";#N/A,#N/A,FALSE,"Condusd";#N/A,#N/A,FALSE,"Bce_holdusd";#N/A,#N/A,FALSE,"eerr_holdusd";#N/A,#N/A,FALSE,"eerr_produsd";#N/A,#N/A,FALSE,"eerr_tipogtosusd";#N/A,#N/A,FALSE,"Flujousd";#N/A,#N/A,FALSE,"Var_Ebitusd";#N/A,#N/A,FALSE,"Noausd";#N/A,#N/A,FALSE,"Var_Noausd"}</definedName>
    <definedName name="ffgh" hidden="1">{#N/A,#N/A,FALSE,"Aging Summary";#N/A,#N/A,FALSE,"Ratio Analysis";#N/A,#N/A,FALSE,"Test 120 Day Accts";#N/A,#N/A,FALSE,"Tickmarks"}</definedName>
    <definedName name="ffsfddd" localSheetId="4" hidden="1">{#N/A,#N/A,TRUE,"TAPA ";"INDICE_CLP",#N/A,TRUE,"Indice";#N/A,#N/A,TRUE,"Cond";#N/A,#N/A,TRUE,"Bce_hold";#N/A,#N/A,TRUE,"eerr_hold";#N/A,#N/A,TRUE,"eerr_prod";#N/A,#N/A,TRUE,"eerr_tipogtos";#N/A,#N/A,TRUE,"Flujo";#N/A,#N/A,TRUE,"Var_Ebit";#N/A,#N/A,TRUE,"Noa";#N/A,#N/A,TRUE,"Var_Noa"}</definedName>
    <definedName name="ffsfddd" localSheetId="3" hidden="1">{#N/A,#N/A,TRUE,"TAPA ";"INDICE_CLP",#N/A,TRUE,"Indice";#N/A,#N/A,TRUE,"Cond";#N/A,#N/A,TRUE,"Bce_hold";#N/A,#N/A,TRUE,"eerr_hold";#N/A,#N/A,TRUE,"eerr_prod";#N/A,#N/A,TRUE,"eerr_tipogtos";#N/A,#N/A,TRUE,"Flujo";#N/A,#N/A,TRUE,"Var_Ebit";#N/A,#N/A,TRUE,"Noa";#N/A,#N/A,TRUE,"Var_Noa"}</definedName>
    <definedName name="ffsfddd" localSheetId="2" hidden="1">{#N/A,#N/A,TRUE,"TAPA ";"INDICE_CLP",#N/A,TRUE,"Indice";#N/A,#N/A,TRUE,"Cond";#N/A,#N/A,TRUE,"Bce_hold";#N/A,#N/A,TRUE,"eerr_hold";#N/A,#N/A,TRUE,"eerr_prod";#N/A,#N/A,TRUE,"eerr_tipogtos";#N/A,#N/A,TRUE,"Flujo";#N/A,#N/A,TRUE,"Var_Ebit";#N/A,#N/A,TRUE,"Noa";#N/A,#N/A,TRUE,"Var_Noa"}</definedName>
    <definedName name="ffsfddd" hidden="1">{#N/A,#N/A,TRUE,"TAPA ";"INDICE_CLP",#N/A,TRUE,"Indice";#N/A,#N/A,TRUE,"Cond";#N/A,#N/A,TRUE,"Bce_hold";#N/A,#N/A,TRUE,"eerr_hold";#N/A,#N/A,TRUE,"eerr_prod";#N/A,#N/A,TRUE,"eerr_tipogtos";#N/A,#N/A,TRUE,"Flujo";#N/A,#N/A,TRUE,"Var_Ebit";#N/A,#N/A,TRUE,"Noa";#N/A,#N/A,TRUE,"Var_Noa"}</definedName>
    <definedName name="fgf" hidden="1">{#N/A,#N/A,FALSE,"Aging Summary";#N/A,#N/A,FALSE,"Ratio Analysis";#N/A,#N/A,FALSE,"Test 120 Day Accts";#N/A,#N/A,FALSE,"Tickmarks"}</definedName>
    <definedName name="fhdfhdhdh" localSheetId="4" hidden="1">#REF!</definedName>
    <definedName name="fhdfhdhdh" localSheetId="3" hidden="1">#REF!</definedName>
    <definedName name="fhdfhdhdh" localSheetId="2" hidden="1">#REF!</definedName>
    <definedName name="fhdfhdhdh" hidden="1">#REF!</definedName>
    <definedName name="FIDUCIASOCTUBRE" localSheetId="4" hidden="1">{#N/A,#N/A,FALSE,"Aging Summary";#N/A,#N/A,FALSE,"Ratio Analysis";#N/A,#N/A,FALSE,"Test 120 Day Accts";#N/A,#N/A,FALSE,"Tickmarks"}</definedName>
    <definedName name="FIDUCIASOCTUBRE" localSheetId="3" hidden="1">{#N/A,#N/A,FALSE,"Aging Summary";#N/A,#N/A,FALSE,"Ratio Analysis";#N/A,#N/A,FALSE,"Test 120 Day Accts";#N/A,#N/A,FALSE,"Tickmarks"}</definedName>
    <definedName name="FIDUCIASOCTUBRE" localSheetId="2" hidden="1">{#N/A,#N/A,FALSE,"Aging Summary";#N/A,#N/A,FALSE,"Ratio Analysis";#N/A,#N/A,FALSE,"Test 120 Day Accts";#N/A,#N/A,FALSE,"Tickmarks"}</definedName>
    <definedName name="FIDUCIASOCTUBRE" hidden="1">{#N/A,#N/A,FALSE,"Aging Summary";#N/A,#N/A,FALSE,"Ratio Analysis";#N/A,#N/A,FALSE,"Test 120 Day Accts";#N/A,#N/A,FALSE,"Tickmarks"}</definedName>
    <definedName name="FIS" hidden="1">{"'S. C. B.'!$E$207"}</definedName>
    <definedName name="forward" hidden="1">{#N/A,#N/A,FALSE,"Aging Summary";#N/A,#N/A,FALSE,"Ratio Analysis";#N/A,#N/A,FALSE,"Test 120 Day Accts";#N/A,#N/A,FALSE,"Tickmarks"}</definedName>
    <definedName name="FR" localSheetId="4" hidden="1">{"'S. C. B.'!$E$207"}</definedName>
    <definedName name="FR" localSheetId="3" hidden="1">{"'S. C. B.'!$E$207"}</definedName>
    <definedName name="FR" localSheetId="2" hidden="1">{"'S. C. B.'!$E$207"}</definedName>
    <definedName name="FR" hidden="1">{"'S. C. B.'!$E$207"}</definedName>
    <definedName name="FREV" hidden="1">{"PYGT",#N/A,FALSE,"PYG";"ACTIT",#N/A,FALSE,"BCE_GRAL-ACTIVO";"PASIT",#N/A,FALSE,"BCE_GRAL-PASIVO-PATRIM";"CAJAT",#N/A,FALSE,"CAJA"}</definedName>
    <definedName name="fvb" hidden="1">{#N/A,#N/A,FALSE,"Aging Summary";#N/A,#N/A,FALSE,"Ratio Analysis";#N/A,#N/A,FALSE,"Test 120 Day Accts";#N/A,#N/A,FALSE,"Tickmarks"}</definedName>
    <definedName name="g" hidden="1">{"INDICE_USD",#N/A,FALSE,"Indice";#N/A,#N/A,FALSE,"Condusd";#N/A,#N/A,FALSE,"Bce_holdusd";#N/A,#N/A,FALSE,"eerr_holdusd";#N/A,#N/A,FALSE,"eerr_produsd";#N/A,#N/A,FALSE,"eerr_tipogtosusd";#N/A,#N/A,FALSE,"Flujousd";#N/A,#N/A,FALSE,"Var_Ebitusd";#N/A,#N/A,FALSE,"Noausd";#N/A,#N/A,FALSE,"Var_Noausd"}</definedName>
    <definedName name="gallo" hidden="1">{#N/A,#N/A,FALSE,"balance";#N/A,#N/A,FALSE,"PYG"}</definedName>
    <definedName name="Gastos" localSheetId="4" hidden="1">{#N/A,#N/A,FALSE,"GRAFICO";#N/A,#N/A,FALSE,"CAJA (2)";#N/A,#N/A,FALSE,"TERCEROS-PROMEDIO";#N/A,#N/A,FALSE,"CAJA";#N/A,#N/A,FALSE,"INGRESOS1995-2003";#N/A,#N/A,FALSE,"GASTOS1995-2003"}</definedName>
    <definedName name="Gastos" localSheetId="3" hidden="1">{#N/A,#N/A,FALSE,"GRAFICO";#N/A,#N/A,FALSE,"CAJA (2)";#N/A,#N/A,FALSE,"TERCEROS-PROMEDIO";#N/A,#N/A,FALSE,"CAJA";#N/A,#N/A,FALSE,"INGRESOS1995-2003";#N/A,#N/A,FALSE,"GASTOS1995-2003"}</definedName>
    <definedName name="Gastos" localSheetId="2" hidden="1">{#N/A,#N/A,FALSE,"GRAFICO";#N/A,#N/A,FALSE,"CAJA (2)";#N/A,#N/A,FALSE,"TERCEROS-PROMEDIO";#N/A,#N/A,FALSE,"CAJA";#N/A,#N/A,FALSE,"INGRESOS1995-2003";#N/A,#N/A,FALSE,"GASTOS1995-2003"}</definedName>
    <definedName name="Gastos" hidden="1">{#N/A,#N/A,FALSE,"GRAFICO";#N/A,#N/A,FALSE,"CAJA (2)";#N/A,#N/A,FALSE,"TERCEROS-PROMEDIO";#N/A,#N/A,FALSE,"CAJA";#N/A,#N/A,FALSE,"INGRESOS1995-2003";#N/A,#N/A,FALSE,"GASTOS1995-2003"}</definedName>
    <definedName name="GATO" hidden="1">{#N/A,#N/A,FALSE,"Aging Summary";#N/A,#N/A,FALSE,"Ratio Analysis";#N/A,#N/A,FALSE,"Test 120 Day Accts";#N/A,#N/A,FALSE,"Tickmarks"}</definedName>
    <definedName name="gfdf" localSheetId="6" hidden="1">{#N/A,#N/A,FALSE,"balance";#N/A,#N/A,FALSE,"PYG"}</definedName>
    <definedName name="gfdf" localSheetId="1" hidden="1">{#N/A,#N/A,FALSE,"balance";#N/A,#N/A,FALSE,"PYG"}</definedName>
    <definedName name="gfdf" localSheetId="4" hidden="1">{#N/A,#N/A,FALSE,"balance";#N/A,#N/A,FALSE,"PYG"}</definedName>
    <definedName name="gfdf" localSheetId="0" hidden="1">{#N/A,#N/A,FALSE,"balance";#N/A,#N/A,FALSE,"PYG"}</definedName>
    <definedName name="gfdf" localSheetId="3" hidden="1">{#N/A,#N/A,FALSE,"balance";#N/A,#N/A,FALSE,"PYG"}</definedName>
    <definedName name="gfdf" localSheetId="2" hidden="1">{#N/A,#N/A,FALSE,"balance";#N/A,#N/A,FALSE,"PYG"}</definedName>
    <definedName name="gfdf" localSheetId="5" hidden="1">{#N/A,#N/A,FALSE,"balance";#N/A,#N/A,FALSE,"PYG"}</definedName>
    <definedName name="gfdf" localSheetId="7" hidden="1">{#N/A,#N/A,FALSE,"balance";#N/A,#N/A,FALSE,"PYG"}</definedName>
    <definedName name="gfdf" hidden="1">{#N/A,#N/A,FALSE,"balance";#N/A,#N/A,FALSE,"PYG"}</definedName>
    <definedName name="GFDM" hidden="1">{#N/A,#N/A,FALSE,"Aging Summary";#N/A,#N/A,FALSE,"Ratio Analysis";#N/A,#N/A,FALSE,"Test 120 Day Accts";#N/A,#N/A,FALSE,"Tickmarks"}</definedName>
    <definedName name="gg" hidden="1">{#N/A,#N/A,FALSE,"balance";#N/A,#N/A,FALSE,"PYG"}</definedName>
    <definedName name="GGF" localSheetId="6" hidden="1">{#N/A,#N/A,FALSE,"balance";#N/A,#N/A,FALSE,"PYG"}</definedName>
    <definedName name="GGF" localSheetId="1" hidden="1">{#N/A,#N/A,FALSE,"balance";#N/A,#N/A,FALSE,"PYG"}</definedName>
    <definedName name="GGF" localSheetId="4" hidden="1">{#N/A,#N/A,FALSE,"balance";#N/A,#N/A,FALSE,"PYG"}</definedName>
    <definedName name="GGF" localSheetId="0" hidden="1">{#N/A,#N/A,FALSE,"balance";#N/A,#N/A,FALSE,"PYG"}</definedName>
    <definedName name="GGF" localSheetId="3" hidden="1">{#N/A,#N/A,FALSE,"balance";#N/A,#N/A,FALSE,"PYG"}</definedName>
    <definedName name="GGF" localSheetId="2" hidden="1">{#N/A,#N/A,FALSE,"balance";#N/A,#N/A,FALSE,"PYG"}</definedName>
    <definedName name="GGF" localSheetId="5" hidden="1">{#N/A,#N/A,FALSE,"balance";#N/A,#N/A,FALSE,"PYG"}</definedName>
    <definedName name="GGF" localSheetId="7" hidden="1">{#N/A,#N/A,FALSE,"balance";#N/A,#N/A,FALSE,"PYG"}</definedName>
    <definedName name="GGF" hidden="1">{#N/A,#N/A,FALSE,"balance";#N/A,#N/A,FALSE,"PYG"}</definedName>
    <definedName name="ggfa" localSheetId="6" hidden="1">{#N/A,#N/A,FALSE,"balance";#N/A,#N/A,FALSE,"PYG"}</definedName>
    <definedName name="ggfa" localSheetId="1" hidden="1">{#N/A,#N/A,FALSE,"balance";#N/A,#N/A,FALSE,"PYG"}</definedName>
    <definedName name="ggfa" localSheetId="4" hidden="1">{#N/A,#N/A,FALSE,"balance";#N/A,#N/A,FALSE,"PYG"}</definedName>
    <definedName name="ggfa" localSheetId="0" hidden="1">{#N/A,#N/A,FALSE,"balance";#N/A,#N/A,FALSE,"PYG"}</definedName>
    <definedName name="ggfa" localSheetId="3" hidden="1">{#N/A,#N/A,FALSE,"balance";#N/A,#N/A,FALSE,"PYG"}</definedName>
    <definedName name="ggfa" localSheetId="2" hidden="1">{#N/A,#N/A,FALSE,"balance";#N/A,#N/A,FALSE,"PYG"}</definedName>
    <definedName name="ggfa" localSheetId="5" hidden="1">{#N/A,#N/A,FALSE,"balance";#N/A,#N/A,FALSE,"PYG"}</definedName>
    <definedName name="ggfa" localSheetId="7" hidden="1">{#N/A,#N/A,FALSE,"balance";#N/A,#N/A,FALSE,"PYG"}</definedName>
    <definedName name="ggfa" hidden="1">{#N/A,#N/A,FALSE,"balance";#N/A,#N/A,FALSE,"PYG"}</definedName>
    <definedName name="ggggggg" localSheetId="4" hidden="1">{#N/A,#N/A,TRUE,"Cond";#N/A,#N/A,TRUE,"Bce_hold";#N/A,#N/A,TRUE,"eerr_hold";#N/A,#N/A,TRUE,"eerr_prod";#N/A,#N/A,TRUE,"eerr_tipogtos";#N/A,#N/A,TRUE,"Flujo";#N/A,#N/A,TRUE,"Var_Ebit";#N/A,#N/A,TRUE,"Noa";#N/A,#N/A,TRUE,"Var_Noa"}</definedName>
    <definedName name="ggggggg" localSheetId="3" hidden="1">{#N/A,#N/A,TRUE,"Cond";#N/A,#N/A,TRUE,"Bce_hold";#N/A,#N/A,TRUE,"eerr_hold";#N/A,#N/A,TRUE,"eerr_prod";#N/A,#N/A,TRUE,"eerr_tipogtos";#N/A,#N/A,TRUE,"Flujo";#N/A,#N/A,TRUE,"Var_Ebit";#N/A,#N/A,TRUE,"Noa";#N/A,#N/A,TRUE,"Var_Noa"}</definedName>
    <definedName name="ggggggg" localSheetId="2" hidden="1">{#N/A,#N/A,TRUE,"Cond";#N/A,#N/A,TRUE,"Bce_hold";#N/A,#N/A,TRUE,"eerr_hold";#N/A,#N/A,TRUE,"eerr_prod";#N/A,#N/A,TRUE,"eerr_tipogtos";#N/A,#N/A,TRUE,"Flujo";#N/A,#N/A,TRUE,"Var_Ebit";#N/A,#N/A,TRUE,"Noa";#N/A,#N/A,TRUE,"Var_Noa"}</definedName>
    <definedName name="ggggggg" hidden="1">{#N/A,#N/A,TRUE,"Cond";#N/A,#N/A,TRUE,"Bce_hold";#N/A,#N/A,TRUE,"eerr_hold";#N/A,#N/A,TRUE,"eerr_prod";#N/A,#N/A,TRUE,"eerr_tipogtos";#N/A,#N/A,TRUE,"Flujo";#N/A,#N/A,TRUE,"Var_Ebit";#N/A,#N/A,TRUE,"Noa";#N/A,#N/A,TRUE,"Var_Noa"}</definedName>
    <definedName name="gh" localSheetId="4" hidden="1">{#N/A,#N/A,TRUE,"TAPA ";"INDICE_CLP",#N/A,TRUE,"Indice";#N/A,#N/A,TRUE,"Cond";#N/A,#N/A,TRUE,"Bce_hold";#N/A,#N/A,TRUE,"eerr_hold";#N/A,#N/A,TRUE,"eerr_prod";#N/A,#N/A,TRUE,"eerr_tipogtos";#N/A,#N/A,TRUE,"Flujo";#N/A,#N/A,TRUE,"Var_Ebit";#N/A,#N/A,TRUE,"Noa";#N/A,#N/A,TRUE,"Var_Noa"}</definedName>
    <definedName name="gh" localSheetId="3" hidden="1">{#N/A,#N/A,TRUE,"TAPA ";"INDICE_CLP",#N/A,TRUE,"Indice";#N/A,#N/A,TRUE,"Cond";#N/A,#N/A,TRUE,"Bce_hold";#N/A,#N/A,TRUE,"eerr_hold";#N/A,#N/A,TRUE,"eerr_prod";#N/A,#N/A,TRUE,"eerr_tipogtos";#N/A,#N/A,TRUE,"Flujo";#N/A,#N/A,TRUE,"Var_Ebit";#N/A,#N/A,TRUE,"Noa";#N/A,#N/A,TRUE,"Var_Noa"}</definedName>
    <definedName name="gh" localSheetId="2" hidden="1">{#N/A,#N/A,TRUE,"TAPA ";"INDICE_CLP",#N/A,TRUE,"Indice";#N/A,#N/A,TRUE,"Cond";#N/A,#N/A,TRUE,"Bce_hold";#N/A,#N/A,TRUE,"eerr_hold";#N/A,#N/A,TRUE,"eerr_prod";#N/A,#N/A,TRUE,"eerr_tipogtos";#N/A,#N/A,TRUE,"Flujo";#N/A,#N/A,TRUE,"Var_Ebit";#N/A,#N/A,TRUE,"Noa";#N/A,#N/A,TRUE,"Var_Noa"}</definedName>
    <definedName name="gh" hidden="1">{#N/A,#N/A,TRUE,"TAPA ";"INDICE_CLP",#N/A,TRUE,"Indice";#N/A,#N/A,TRUE,"Cond";#N/A,#N/A,TRUE,"Bce_hold";#N/A,#N/A,TRUE,"eerr_hold";#N/A,#N/A,TRUE,"eerr_prod";#N/A,#N/A,TRUE,"eerr_tipogtos";#N/A,#N/A,TRUE,"Flujo";#N/A,#N/A,TRUE,"Var_Ebit";#N/A,#N/A,TRUE,"Noa";#N/A,#N/A,TRUE,"Var_Noa"}</definedName>
    <definedName name="ghb" localSheetId="4" hidden="1">{#N/A,#N/A,FALSE,"balance";#N/A,#N/A,FALSE,"PYG"}</definedName>
    <definedName name="ghb" localSheetId="3" hidden="1">{#N/A,#N/A,FALSE,"balance";#N/A,#N/A,FALSE,"PYG"}</definedName>
    <definedName name="ghb" localSheetId="2" hidden="1">{#N/A,#N/A,FALSE,"balance";#N/A,#N/A,FALSE,"PYG"}</definedName>
    <definedName name="ghb" hidden="1">{#N/A,#N/A,FALSE,"balance";#N/A,#N/A,FALSE,"PYG"}</definedName>
    <definedName name="gibran" localSheetId="6" hidden="1">{#N/A,#N/A,FALSE,"balance";#N/A,#N/A,FALSE,"PYG"}</definedName>
    <definedName name="gibran" localSheetId="1" hidden="1">{#N/A,#N/A,FALSE,"balance";#N/A,#N/A,FALSE,"PYG"}</definedName>
    <definedName name="gibran" localSheetId="4" hidden="1">{#N/A,#N/A,FALSE,"balance";#N/A,#N/A,FALSE,"PYG"}</definedName>
    <definedName name="gibran" localSheetId="0" hidden="1">{#N/A,#N/A,FALSE,"balance";#N/A,#N/A,FALSE,"PYG"}</definedName>
    <definedName name="gibran" localSheetId="3" hidden="1">{#N/A,#N/A,FALSE,"balance";#N/A,#N/A,FALSE,"PYG"}</definedName>
    <definedName name="gibran" localSheetId="2" hidden="1">{#N/A,#N/A,FALSE,"balance";#N/A,#N/A,FALSE,"PYG"}</definedName>
    <definedName name="gibran" localSheetId="5" hidden="1">{#N/A,#N/A,FALSE,"balance";#N/A,#N/A,FALSE,"PYG"}</definedName>
    <definedName name="gibran" localSheetId="7" hidden="1">{#N/A,#N/A,FALSE,"balance";#N/A,#N/A,FALSE,"PYG"}</definedName>
    <definedName name="gibran" hidden="1">{#N/A,#N/A,FALSE,"balance";#N/A,#N/A,FALSE,"PYG"}</definedName>
    <definedName name="gibranguerrero" localSheetId="6" hidden="1">{#N/A,#N/A,FALSE,"balance";#N/A,#N/A,FALSE,"PYG"}</definedName>
    <definedName name="gibranguerrero" localSheetId="1" hidden="1">{#N/A,#N/A,FALSE,"balance";#N/A,#N/A,FALSE,"PYG"}</definedName>
    <definedName name="gibranguerrero" localSheetId="4" hidden="1">{#N/A,#N/A,FALSE,"balance";#N/A,#N/A,FALSE,"PYG"}</definedName>
    <definedName name="gibranguerrero" localSheetId="0" hidden="1">{#N/A,#N/A,FALSE,"balance";#N/A,#N/A,FALSE,"PYG"}</definedName>
    <definedName name="gibranguerrero" localSheetId="3" hidden="1">{#N/A,#N/A,FALSE,"balance";#N/A,#N/A,FALSE,"PYG"}</definedName>
    <definedName name="gibranguerrero" localSheetId="2" hidden="1">{#N/A,#N/A,FALSE,"balance";#N/A,#N/A,FALSE,"PYG"}</definedName>
    <definedName name="gibranguerrero" localSheetId="5" hidden="1">{#N/A,#N/A,FALSE,"balance";#N/A,#N/A,FALSE,"PYG"}</definedName>
    <definedName name="gibranguerrero" localSheetId="7" hidden="1">{#N/A,#N/A,FALSE,"balance";#N/A,#N/A,FALSE,"PYG"}</definedName>
    <definedName name="gibranguerrero" hidden="1">{#N/A,#N/A,FALSE,"balance";#N/A,#N/A,FALSE,"PYG"}</definedName>
    <definedName name="GJK" hidden="1">{#N/A,#N/A,FALSE,"Aging Summary";#N/A,#N/A,FALSE,"Ratio Analysis";#N/A,#N/A,FALSE,"Test 120 Day Accts";#N/A,#N/A,FALSE,"Tickmarks"}</definedName>
    <definedName name="goy" hidden="1">{#N/A,#N/A,FALSE,"GRAFICO";#N/A,#N/A,FALSE,"CAJA (2)";#N/A,#N/A,FALSE,"TERCEROS-PROMEDIO";#N/A,#N/A,FALSE,"CAJA";#N/A,#N/A,FALSE,"INGRESOS1995-2003";#N/A,#N/A,FALSE,"GASTOS1995-2003"}</definedName>
    <definedName name="Gráfico2" localSheetId="6" hidden="1">{#N/A,#N/A,FALSE,"GP";#N/A,#N/A,FALSE,"Summary"}</definedName>
    <definedName name="Gráfico2" localSheetId="4" hidden="1">{#N/A,#N/A,FALSE,"GP";#N/A,#N/A,FALSE,"Summary"}</definedName>
    <definedName name="Gráfico2" localSheetId="3" hidden="1">{#N/A,#N/A,FALSE,"GP";#N/A,#N/A,FALSE,"Summary"}</definedName>
    <definedName name="Gráfico2" localSheetId="2" hidden="1">{#N/A,#N/A,FALSE,"GP";#N/A,#N/A,FALSE,"Summary"}</definedName>
    <definedName name="Gráfico2" localSheetId="5" hidden="1">{#N/A,#N/A,FALSE,"GP";#N/A,#N/A,FALSE,"Summary"}</definedName>
    <definedName name="Gráfico2" localSheetId="7" hidden="1">{#N/A,#N/A,FALSE,"GP";#N/A,#N/A,FALSE,"Summary"}</definedName>
    <definedName name="Gráfico2" hidden="1">{#N/A,#N/A,FALSE,"GP";#N/A,#N/A,FALSE,"Summary"}</definedName>
    <definedName name="gxñ" hidden="1">{#N/A,#N/A,FALSE,"Aging Summary";#N/A,#N/A,FALSE,"Ratio Analysis";#N/A,#N/A,FALSE,"Test 120 Day Accts";#N/A,#N/A,FALSE,"Tickmarks"}</definedName>
    <definedName name="gyfdyg" localSheetId="6" hidden="1">{#N/A,#N/A,FALSE,"balance";#N/A,#N/A,FALSE,"PYG"}</definedName>
    <definedName name="gyfdyg" localSheetId="1" hidden="1">{#N/A,#N/A,FALSE,"balance";#N/A,#N/A,FALSE,"PYG"}</definedName>
    <definedName name="gyfdyg" localSheetId="4" hidden="1">{#N/A,#N/A,FALSE,"balance";#N/A,#N/A,FALSE,"PYG"}</definedName>
    <definedName name="gyfdyg" localSheetId="0" hidden="1">{#N/A,#N/A,FALSE,"balance";#N/A,#N/A,FALSE,"PYG"}</definedName>
    <definedName name="gyfdyg" localSheetId="3" hidden="1">{#N/A,#N/A,FALSE,"balance";#N/A,#N/A,FALSE,"PYG"}</definedName>
    <definedName name="gyfdyg" localSheetId="2" hidden="1">{#N/A,#N/A,FALSE,"balance";#N/A,#N/A,FALSE,"PYG"}</definedName>
    <definedName name="gyfdyg" localSheetId="5" hidden="1">{#N/A,#N/A,FALSE,"balance";#N/A,#N/A,FALSE,"PYG"}</definedName>
    <definedName name="gyfdyg" localSheetId="7" hidden="1">{#N/A,#N/A,FALSE,"balance";#N/A,#N/A,FALSE,"PYG"}</definedName>
    <definedName name="gyfdyg" hidden="1">{#N/A,#N/A,FALSE,"balance";#N/A,#N/A,FALSE,"PYG"}</definedName>
    <definedName name="H" localSheetId="4" hidden="1">{"PYGS",#N/A,FALSE,"PYG";"ACTIS",#N/A,FALSE,"BCE_GRAL-ACTIVO";"PASIS",#N/A,FALSE,"BCE_GRAL-PASIVO-PATRIM";"CAJAS",#N/A,FALSE,"CAJA"}</definedName>
    <definedName name="H" localSheetId="3" hidden="1">{"PYGS",#N/A,FALSE,"PYG";"ACTIS",#N/A,FALSE,"BCE_GRAL-ACTIVO";"PASIS",#N/A,FALSE,"BCE_GRAL-PASIVO-PATRIM";"CAJAS",#N/A,FALSE,"CAJA"}</definedName>
    <definedName name="H" localSheetId="2" hidden="1">{"PYGS",#N/A,FALSE,"PYG";"ACTIS",#N/A,FALSE,"BCE_GRAL-ACTIVO";"PASIS",#N/A,FALSE,"BCE_GRAL-PASIVO-PATRIM";"CAJAS",#N/A,FALSE,"CAJA"}</definedName>
    <definedName name="H" hidden="1">{"PYGS",#N/A,FALSE,"PYG";"ACTIS",#N/A,FALSE,"BCE_GRAL-ACTIVO";"PASIS",#N/A,FALSE,"BCE_GRAL-PASIVO-PATRIM";"CAJAS",#N/A,FALSE,"CAJA"}</definedName>
    <definedName name="hcc" localSheetId="6" hidden="1">{#N/A,#N/A,FALSE,"balance";#N/A,#N/A,FALSE,"PYG"}</definedName>
    <definedName name="hcc" localSheetId="1" hidden="1">{#N/A,#N/A,FALSE,"balance";#N/A,#N/A,FALSE,"PYG"}</definedName>
    <definedName name="hcc" localSheetId="4" hidden="1">{#N/A,#N/A,FALSE,"balance";#N/A,#N/A,FALSE,"PYG"}</definedName>
    <definedName name="hcc" localSheetId="0" hidden="1">{#N/A,#N/A,FALSE,"balance";#N/A,#N/A,FALSE,"PYG"}</definedName>
    <definedName name="hcc" localSheetId="3" hidden="1">{#N/A,#N/A,FALSE,"balance";#N/A,#N/A,FALSE,"PYG"}</definedName>
    <definedName name="hcc" localSheetId="2" hidden="1">{#N/A,#N/A,FALSE,"balance";#N/A,#N/A,FALSE,"PYG"}</definedName>
    <definedName name="hcc" localSheetId="5" hidden="1">{#N/A,#N/A,FALSE,"balance";#N/A,#N/A,FALSE,"PYG"}</definedName>
    <definedName name="hcc" localSheetId="7" hidden="1">{#N/A,#N/A,FALSE,"balance";#N/A,#N/A,FALSE,"PYG"}</definedName>
    <definedName name="hcc" hidden="1">{#N/A,#N/A,FALSE,"balance";#N/A,#N/A,FALSE,"PYG"}</definedName>
    <definedName name="hetor" hidden="1">{#N/A,#N/A,FALSE,"balance";#N/A,#N/A,FALSE,"PYG"}</definedName>
    <definedName name="HG" localSheetId="4" hidden="1">{#N/A,#N/A,FALSE,"Aging Summary";#N/A,#N/A,FALSE,"Ratio Analysis";#N/A,#N/A,FALSE,"Test 120 Day Accts";#N/A,#N/A,FALSE,"Tickmarks"}</definedName>
    <definedName name="HG" localSheetId="3" hidden="1">{#N/A,#N/A,FALSE,"Aging Summary";#N/A,#N/A,FALSE,"Ratio Analysis";#N/A,#N/A,FALSE,"Test 120 Day Accts";#N/A,#N/A,FALSE,"Tickmarks"}</definedName>
    <definedName name="HG" localSheetId="2" hidden="1">{#N/A,#N/A,FALSE,"Aging Summary";#N/A,#N/A,FALSE,"Ratio Analysis";#N/A,#N/A,FALSE,"Test 120 Day Accts";#N/A,#N/A,FALSE,"Tickmarks"}</definedName>
    <definedName name="HG" hidden="1">{#N/A,#N/A,FALSE,"Aging Summary";#N/A,#N/A,FALSE,"Ratio Analysis";#N/A,#N/A,FALSE,"Test 120 Day Accts";#N/A,#N/A,FALSE,"Tickmarks"}</definedName>
    <definedName name="HGJ" hidden="1">{#N/A,#N/A,FALSE,"Aging Summary";#N/A,#N/A,FALSE,"Ratio Analysis";#N/A,#N/A,FALSE,"Test 120 Day Accts";#N/A,#N/A,FALSE,"Tickmarks"}</definedName>
    <definedName name="hhhhhh" localSheetId="4" hidden="1">{"PYGT",#N/A,FALSE,"PYG";"ACTIT",#N/A,FALSE,"BCE_GRAL-ACTIVO";"PASIT",#N/A,FALSE,"BCE_GRAL-PASIVO-PATRIM";"CAJAT",#N/A,FALSE,"CAJA"}</definedName>
    <definedName name="hhhhhh" localSheetId="3" hidden="1">{"PYGT",#N/A,FALSE,"PYG";"ACTIT",#N/A,FALSE,"BCE_GRAL-ACTIVO";"PASIT",#N/A,FALSE,"BCE_GRAL-PASIVO-PATRIM";"CAJAT",#N/A,FALSE,"CAJA"}</definedName>
    <definedName name="hhhhhh" localSheetId="2" hidden="1">{"PYGT",#N/A,FALSE,"PYG";"ACTIT",#N/A,FALSE,"BCE_GRAL-ACTIVO";"PASIT",#N/A,FALSE,"BCE_GRAL-PASIVO-PATRIM";"CAJAT",#N/A,FALSE,"CAJA"}</definedName>
    <definedName name="hhhhhh" hidden="1">{"PYGT",#N/A,FALSE,"PYG";"ACTIT",#N/A,FALSE,"BCE_GRAL-ACTIVO";"PASIT",#N/A,FALSE,"BCE_GRAL-PASIVO-PATRIM";"CAJAT",#N/A,FALSE,"CAJA"}</definedName>
    <definedName name="hhhhhhhhhhh" localSheetId="4" hidden="1">{"PYGS",#N/A,FALSE,"PYG";"ACTIS",#N/A,FALSE,"BCE_GRAL-ACTIVO";"PASIS",#N/A,FALSE,"BCE_GRAL-PASIVO-PATRIM";"CAJAS",#N/A,FALSE,"CAJA"}</definedName>
    <definedName name="hhhhhhhhhhh" localSheetId="3" hidden="1">{"PYGS",#N/A,FALSE,"PYG";"ACTIS",#N/A,FALSE,"BCE_GRAL-ACTIVO";"PASIS",#N/A,FALSE,"BCE_GRAL-PASIVO-PATRIM";"CAJAS",#N/A,FALSE,"CAJA"}</definedName>
    <definedName name="hhhhhhhhhhh" localSheetId="2" hidden="1">{"PYGS",#N/A,FALSE,"PYG";"ACTIS",#N/A,FALSE,"BCE_GRAL-ACTIVO";"PASIS",#N/A,FALSE,"BCE_GRAL-PASIVO-PATRIM";"CAJAS",#N/A,FALSE,"CAJA"}</definedName>
    <definedName name="hhhhhhhhhhh" hidden="1">{"PYGS",#N/A,FALSE,"PYG";"ACTIS",#N/A,FALSE,"BCE_GRAL-ACTIVO";"PASIS",#N/A,FALSE,"BCE_GRAL-PASIVO-PATRIM";"CAJAS",#N/A,FALSE,"CAJA"}</definedName>
    <definedName name="hhhhhhhhhhhh" localSheetId="4" hidden="1">{"PYGT",#N/A,FALSE,"PYG";"ACTIT",#N/A,FALSE,"BCE_GRAL-ACTIVO";"PASIT",#N/A,FALSE,"BCE_GRAL-PASIVO-PATRIM";"CAJAT",#N/A,FALSE,"CAJA"}</definedName>
    <definedName name="hhhhhhhhhhhh" localSheetId="3" hidden="1">{"PYGT",#N/A,FALSE,"PYG";"ACTIT",#N/A,FALSE,"BCE_GRAL-ACTIVO";"PASIT",#N/A,FALSE,"BCE_GRAL-PASIVO-PATRIM";"CAJAT",#N/A,FALSE,"CAJA"}</definedName>
    <definedName name="hhhhhhhhhhhh" localSheetId="2" hidden="1">{"PYGT",#N/A,FALSE,"PYG";"ACTIT",#N/A,FALSE,"BCE_GRAL-ACTIVO";"PASIT",#N/A,FALSE,"BCE_GRAL-PASIVO-PATRIM";"CAJAT",#N/A,FALSE,"CAJA"}</definedName>
    <definedName name="hhhhhhhhhhhh" hidden="1">{"PYGT",#N/A,FALSE,"PYG";"ACTIT",#N/A,FALSE,"BCE_GRAL-ACTIVO";"PASIT",#N/A,FALSE,"BCE_GRAL-PASIVO-PATRIM";"CAJAT",#N/A,FALSE,"CAJA"}</definedName>
    <definedName name="hhjhhh" localSheetId="4" hidden="1">{#N/A,#N/A,TRUE,"TAPA ";"INDICE_CLP",#N/A,TRUE,"Indice";#N/A,#N/A,TRUE,"Cond";#N/A,#N/A,TRUE,"Bce_hold";#N/A,#N/A,TRUE,"eerr_hold";#N/A,#N/A,TRUE,"eerr_prod";#N/A,#N/A,TRUE,"eerr_tipogtos";#N/A,#N/A,TRUE,"Flujo";#N/A,#N/A,TRUE,"Var_Ebit";#N/A,#N/A,TRUE,"Noa";#N/A,#N/A,TRUE,"Var_Noa"}</definedName>
    <definedName name="hhjhhh" localSheetId="3" hidden="1">{#N/A,#N/A,TRUE,"TAPA ";"INDICE_CLP",#N/A,TRUE,"Indice";#N/A,#N/A,TRUE,"Cond";#N/A,#N/A,TRUE,"Bce_hold";#N/A,#N/A,TRUE,"eerr_hold";#N/A,#N/A,TRUE,"eerr_prod";#N/A,#N/A,TRUE,"eerr_tipogtos";#N/A,#N/A,TRUE,"Flujo";#N/A,#N/A,TRUE,"Var_Ebit";#N/A,#N/A,TRUE,"Noa";#N/A,#N/A,TRUE,"Var_Noa"}</definedName>
    <definedName name="hhjhhh" localSheetId="2" hidden="1">{#N/A,#N/A,TRUE,"TAPA ";"INDICE_CLP",#N/A,TRUE,"Indice";#N/A,#N/A,TRUE,"Cond";#N/A,#N/A,TRUE,"Bce_hold";#N/A,#N/A,TRUE,"eerr_hold";#N/A,#N/A,TRUE,"eerr_prod";#N/A,#N/A,TRUE,"eerr_tipogtos";#N/A,#N/A,TRUE,"Flujo";#N/A,#N/A,TRUE,"Var_Ebit";#N/A,#N/A,TRUE,"Noa";#N/A,#N/A,TRUE,"Var_Noa"}</definedName>
    <definedName name="hhjhhh" hidden="1">{#N/A,#N/A,TRUE,"TAPA ";"INDICE_CLP",#N/A,TRUE,"Indice";#N/A,#N/A,TRUE,"Cond";#N/A,#N/A,TRUE,"Bce_hold";#N/A,#N/A,TRUE,"eerr_hold";#N/A,#N/A,TRUE,"eerr_prod";#N/A,#N/A,TRUE,"eerr_tipogtos";#N/A,#N/A,TRUE,"Flujo";#N/A,#N/A,TRUE,"Var_Ebit";#N/A,#N/A,TRUE,"Noa";#N/A,#N/A,TRUE,"Var_Noa"}</definedName>
    <definedName name="HiddenRows" localSheetId="4" hidden="1">#REF!</definedName>
    <definedName name="HiddenRows" localSheetId="3" hidden="1">#REF!</definedName>
    <definedName name="HiddenRows" localSheetId="2" hidden="1">#REF!</definedName>
    <definedName name="HiddenRows" hidden="1">#REF!</definedName>
    <definedName name="hjdfhshsh" localSheetId="4" hidden="1">{"INDICE_USD",#N/A,FALSE,"Indice";#N/A,#N/A,FALSE,"Condusd";#N/A,#N/A,FALSE,"Bce_holdusd";#N/A,#N/A,FALSE,"eerr_holdusd";#N/A,#N/A,FALSE,"eerr_produsd";#N/A,#N/A,FALSE,"eerr_tipogtosusd";#N/A,#N/A,FALSE,"Flujousd";#N/A,#N/A,FALSE,"Var_Ebitusd";#N/A,#N/A,FALSE,"Noausd";#N/A,#N/A,FALSE,"Var_Noausd"}</definedName>
    <definedName name="hjdfhshsh" localSheetId="3" hidden="1">{"INDICE_USD",#N/A,FALSE,"Indice";#N/A,#N/A,FALSE,"Condusd";#N/A,#N/A,FALSE,"Bce_holdusd";#N/A,#N/A,FALSE,"eerr_holdusd";#N/A,#N/A,FALSE,"eerr_produsd";#N/A,#N/A,FALSE,"eerr_tipogtosusd";#N/A,#N/A,FALSE,"Flujousd";#N/A,#N/A,FALSE,"Var_Ebitusd";#N/A,#N/A,FALSE,"Noausd";#N/A,#N/A,FALSE,"Var_Noausd"}</definedName>
    <definedName name="hjdfhshsh" localSheetId="2" hidden="1">{"INDICE_USD",#N/A,FALSE,"Indice";#N/A,#N/A,FALSE,"Condusd";#N/A,#N/A,FALSE,"Bce_holdusd";#N/A,#N/A,FALSE,"eerr_holdusd";#N/A,#N/A,FALSE,"eerr_produsd";#N/A,#N/A,FALSE,"eerr_tipogtosusd";#N/A,#N/A,FALSE,"Flujousd";#N/A,#N/A,FALSE,"Var_Ebitusd";#N/A,#N/A,FALSE,"Noausd";#N/A,#N/A,FALSE,"Var_Noausd"}</definedName>
    <definedName name="hjdfhshsh" hidden="1">{"INDICE_USD",#N/A,FALSE,"Indice";#N/A,#N/A,FALSE,"Condusd";#N/A,#N/A,FALSE,"Bce_holdusd";#N/A,#N/A,FALSE,"eerr_holdusd";#N/A,#N/A,FALSE,"eerr_produsd";#N/A,#N/A,FALSE,"eerr_tipogtosusd";#N/A,#N/A,FALSE,"Flujousd";#N/A,#N/A,FALSE,"Var_Ebitusd";#N/A,#N/A,FALSE,"Noausd";#N/A,#N/A,FALSE,"Var_Noausd"}</definedName>
    <definedName name="hjj" localSheetId="4" hidden="1">{"INDICE_USD",#N/A,FALSE,"Indice";#N/A,#N/A,FALSE,"Condusd";#N/A,#N/A,FALSE,"Bce_holdusd";#N/A,#N/A,FALSE,"eerr_holdusd";#N/A,#N/A,FALSE,"eerr_produsd";#N/A,#N/A,FALSE,"eerr_tipogtosusd";#N/A,#N/A,FALSE,"Flujousd";#N/A,#N/A,FALSE,"Var_Ebitusd";#N/A,#N/A,FALSE,"Noausd";#N/A,#N/A,FALSE,"Var_Noausd"}</definedName>
    <definedName name="hjj" localSheetId="3" hidden="1">{"INDICE_USD",#N/A,FALSE,"Indice";#N/A,#N/A,FALSE,"Condusd";#N/A,#N/A,FALSE,"Bce_holdusd";#N/A,#N/A,FALSE,"eerr_holdusd";#N/A,#N/A,FALSE,"eerr_produsd";#N/A,#N/A,FALSE,"eerr_tipogtosusd";#N/A,#N/A,FALSE,"Flujousd";#N/A,#N/A,FALSE,"Var_Ebitusd";#N/A,#N/A,FALSE,"Noausd";#N/A,#N/A,FALSE,"Var_Noausd"}</definedName>
    <definedName name="hjj" localSheetId="2" hidden="1">{"INDICE_USD",#N/A,FALSE,"Indice";#N/A,#N/A,FALSE,"Condusd";#N/A,#N/A,FALSE,"Bce_holdusd";#N/A,#N/A,FALSE,"eerr_holdusd";#N/A,#N/A,FALSE,"eerr_produsd";#N/A,#N/A,FALSE,"eerr_tipogtosusd";#N/A,#N/A,FALSE,"Flujousd";#N/A,#N/A,FALSE,"Var_Ebitusd";#N/A,#N/A,FALSE,"Noausd";#N/A,#N/A,FALSE,"Var_Noausd"}</definedName>
    <definedName name="hjj" hidden="1">{"INDICE_USD",#N/A,FALSE,"Indice";#N/A,#N/A,FALSE,"Condusd";#N/A,#N/A,FALSE,"Bce_holdusd";#N/A,#N/A,FALSE,"eerr_holdusd";#N/A,#N/A,FALSE,"eerr_produsd";#N/A,#N/A,FALSE,"eerr_tipogtosusd";#N/A,#N/A,FALSE,"Flujousd";#N/A,#N/A,FALSE,"Var_Ebitusd";#N/A,#N/A,FALSE,"Noausd";#N/A,#N/A,FALSE,"Var_Noausd"}</definedName>
    <definedName name="HJJHGT" localSheetId="4" hidden="1">{#N/A,#N/A,FALSE,"balance";#N/A,#N/A,FALSE,"PYG"}</definedName>
    <definedName name="HJJHGT" localSheetId="3" hidden="1">{#N/A,#N/A,FALSE,"balance";#N/A,#N/A,FALSE,"PYG"}</definedName>
    <definedName name="HJJHGT" localSheetId="2" hidden="1">{#N/A,#N/A,FALSE,"balance";#N/A,#N/A,FALSE,"PYG"}</definedName>
    <definedName name="HJJHGT" hidden="1">{#N/A,#N/A,FALSE,"balance";#N/A,#N/A,FALSE,"PYG"}</definedName>
    <definedName name="hn.ExtDb" hidden="1">FALSE</definedName>
    <definedName name="hn.ModelType" hidden="1">"DEAL"</definedName>
    <definedName name="hn.ModelVersion" hidden="1">1</definedName>
    <definedName name="hn.NoUpload" hidden="1">0</definedName>
    <definedName name="hoha" hidden="1">{"PYGT",#N/A,FALSE,"PYG";"ACTIT",#N/A,FALSE,"BCE_GRAL-ACTIVO";"PASIT",#N/A,FALSE,"BCE_GRAL-PASIVO-PATRIM";"CAJAT",#N/A,FALSE,"CAJA"}</definedName>
    <definedName name="hoja" localSheetId="4" hidden="1">[1]Assumptions!#REF!</definedName>
    <definedName name="hoja" localSheetId="3" hidden="1">[1]Assumptions!#REF!</definedName>
    <definedName name="hoja" localSheetId="2" hidden="1">[1]Assumptions!#REF!</definedName>
    <definedName name="hoja" hidden="1">[1]Assumptions!#REF!</definedName>
    <definedName name="hojanueva" hidden="1">{#N/A,#N/A,FALSE,"SMT1";#N/A,#N/A,FALSE,"SMT2";#N/A,#N/A,FALSE,"Summary";#N/A,#N/A,FALSE,"Graphs";#N/A,#N/A,FALSE,"4 Panel"}</definedName>
    <definedName name="HOLA" hidden="1">{"'18'!$A$5:$M$18"}</definedName>
    <definedName name="HTML_CodePage" hidden="1">1252</definedName>
    <definedName name="HTML_Control" localSheetId="4" hidden="1">{"'S. C. B.'!$E$207"}</definedName>
    <definedName name="HTML_Control" localSheetId="3" hidden="1">{"'S. C. B.'!$E$207"}</definedName>
    <definedName name="HTML_Control" localSheetId="2" hidden="1">{"'S. C. B.'!$E$207"}</definedName>
    <definedName name="HTML_Control" hidden="1">{"'S. C. B.'!$E$207"}</definedName>
    <definedName name="Html_control1" hidden="1">{"'18'!$A$5:$M$18"}</definedName>
    <definedName name="HTML_Description" hidden="1">""</definedName>
    <definedName name="HTML_Email" hidden="1">""</definedName>
    <definedName name="HTML_Header" hidden="1">"S. C. B."</definedName>
    <definedName name="HTML_LastUpdate" hidden="1">"20/6/00"</definedName>
    <definedName name="HTML_LineAfter" hidden="1">FALSE</definedName>
    <definedName name="HTML_LineBefore" hidden="1">FALSE</definedName>
    <definedName name="HTML_Name" hidden="1">"Nery Tuirán"</definedName>
    <definedName name="HTML_OBDlg2" hidden="1">TRUE</definedName>
    <definedName name="HTML_OBDlg3" hidden="1">TRUE</definedName>
    <definedName name="HTML_OBDlg4" hidden="1">TRUE</definedName>
    <definedName name="HTML_OS" hidden="1">0</definedName>
    <definedName name="HTML_PathFile" hidden="1">"A:\HTML.htm"</definedName>
    <definedName name="HTML_PathTemplate" hidden="1">"D:\Pruebas\HTML.htm"</definedName>
    <definedName name="HTML_Title" hidden="1">"FIRMAS COMISIONISTAS"</definedName>
    <definedName name="iiiiiiiiiiiiii" localSheetId="4" hidden="1">{"PYGT",#N/A,FALSE,"PYG";"ACTIT",#N/A,FALSE,"BCE_GRAL-ACTIVO";"PASIT",#N/A,FALSE,"BCE_GRAL-PASIVO-PATRIM";"CAJAT",#N/A,FALSE,"CAJA"}</definedName>
    <definedName name="iiiiiiiiiiiiii" localSheetId="3" hidden="1">{"PYGT",#N/A,FALSE,"PYG";"ACTIT",#N/A,FALSE,"BCE_GRAL-ACTIVO";"PASIT",#N/A,FALSE,"BCE_GRAL-PASIVO-PATRIM";"CAJAT",#N/A,FALSE,"CAJA"}</definedName>
    <definedName name="iiiiiiiiiiiiii" localSheetId="2" hidden="1">{"PYGT",#N/A,FALSE,"PYG";"ACTIT",#N/A,FALSE,"BCE_GRAL-ACTIVO";"PASIT",#N/A,FALSE,"BCE_GRAL-PASIVO-PATRIM";"CAJAT",#N/A,FALSE,"CAJA"}</definedName>
    <definedName name="iiiiiiiiiiiiii" hidden="1">{"PYGT",#N/A,FALSE,"PYG";"ACTIT",#N/A,FALSE,"BCE_GRAL-ACTIVO";"PASIT",#N/A,FALSE,"BCE_GRAL-PASIVO-PATRIM";"CAJAT",#N/A,FALSE,"CAJA"}</definedName>
    <definedName name="ij" localSheetId="4" hidden="1">{#N/A,#N/A,FALSE,"Aging Summary";#N/A,#N/A,FALSE,"Ratio Analysis";#N/A,#N/A,FALSE,"Test 120 Day Accts";#N/A,#N/A,FALSE,"Tickmarks"}</definedName>
    <definedName name="ij" localSheetId="3" hidden="1">{#N/A,#N/A,FALSE,"Aging Summary";#N/A,#N/A,FALSE,"Ratio Analysis";#N/A,#N/A,FALSE,"Test 120 Day Accts";#N/A,#N/A,FALSE,"Tickmarks"}</definedName>
    <definedName name="ij" localSheetId="2" hidden="1">{#N/A,#N/A,FALSE,"Aging Summary";#N/A,#N/A,FALSE,"Ratio Analysis";#N/A,#N/A,FALSE,"Test 120 Day Accts";#N/A,#N/A,FALSE,"Tickmarks"}</definedName>
    <definedName name="ij" hidden="1">{#N/A,#N/A,FALSE,"Aging Summary";#N/A,#N/A,FALSE,"Ratio Analysis";#N/A,#N/A,FALSE,"Test 120 Day Accts";#N/A,#N/A,FALSE,"Tickmarks"}</definedName>
    <definedName name="ind" hidden="1">{"'18'!$A$5:$M$18"}</definedName>
    <definedName name="Indus" hidden="1">{"'18'!$A$5:$M$18"}</definedName>
    <definedName name="ingrid" hidden="1">{#N/A,#N/A,FALSE,"balance";#N/A,#N/A,FALSE,"PYG"}</definedName>
    <definedName name="InícioDeSemana" localSheetId="9">#REF!</definedName>
    <definedName name="InícioDeSemana">#REF!</definedName>
    <definedName name="INT_PRES_2" hidden="1">{#N/A,#N/A,FALSE,"Full";#N/A,#N/A,FALSE,"Half";#N/A,#N/A,FALSE,"Op Expenses";#N/A,#N/A,FALSE,"Cap Charge";#N/A,#N/A,FALSE,"Cost C";#N/A,#N/A,FALSE,"PP&amp;E";#N/A,#N/A,FALSE,"R&amp;D"}</definedName>
    <definedName name="INTERESES" hidden="1">{#N/A,#N/A,FALSE,"Aging Summary";#N/A,#N/A,FALSE,"Ratio Analysis";#N/A,#N/A,FALSE,"Test 120 Day Accts";#N/A,#N/A,FALSE,"Tickmarks"}</definedName>
    <definedName name="inven" localSheetId="6" hidden="1">{#N/A,#N/A,FALSE,"balance";#N/A,#N/A,FALSE,"PYG"}</definedName>
    <definedName name="inven" localSheetId="1" hidden="1">{#N/A,#N/A,FALSE,"balance";#N/A,#N/A,FALSE,"PYG"}</definedName>
    <definedName name="inven" localSheetId="4" hidden="1">{#N/A,#N/A,FALSE,"balance";#N/A,#N/A,FALSE,"PYG"}</definedName>
    <definedName name="inven" localSheetId="0" hidden="1">{#N/A,#N/A,FALSE,"balance";#N/A,#N/A,FALSE,"PYG"}</definedName>
    <definedName name="inven" localSheetId="3" hidden="1">{#N/A,#N/A,FALSE,"balance";#N/A,#N/A,FALSE,"PYG"}</definedName>
    <definedName name="inven" localSheetId="2" hidden="1">{#N/A,#N/A,FALSE,"balance";#N/A,#N/A,FALSE,"PYG"}</definedName>
    <definedName name="inven" localSheetId="5" hidden="1">{#N/A,#N/A,FALSE,"balance";#N/A,#N/A,FALSE,"PYG"}</definedName>
    <definedName name="inven" localSheetId="7" hidden="1">{#N/A,#N/A,FALSE,"balance";#N/A,#N/A,FALSE,"PYG"}</definedName>
    <definedName name="inven" hidden="1">{#N/A,#N/A,FALSE,"balance";#N/A,#N/A,FALSE,"PYG"}</definedName>
    <definedName name="Inven2" localSheetId="6" hidden="1">{#N/A,#N/A,FALSE,"balance";#N/A,#N/A,FALSE,"PYG"}</definedName>
    <definedName name="Inven2" localSheetId="1" hidden="1">{#N/A,#N/A,FALSE,"balance";#N/A,#N/A,FALSE,"PYG"}</definedName>
    <definedName name="Inven2" localSheetId="4" hidden="1">{#N/A,#N/A,FALSE,"balance";#N/A,#N/A,FALSE,"PYG"}</definedName>
    <definedName name="Inven2" localSheetId="0" hidden="1">{#N/A,#N/A,FALSE,"balance";#N/A,#N/A,FALSE,"PYG"}</definedName>
    <definedName name="Inven2" localSheetId="3" hidden="1">{#N/A,#N/A,FALSE,"balance";#N/A,#N/A,FALSE,"PYG"}</definedName>
    <definedName name="Inven2" localSheetId="2" hidden="1">{#N/A,#N/A,FALSE,"balance";#N/A,#N/A,FALSE,"PYG"}</definedName>
    <definedName name="Inven2" localSheetId="5" hidden="1">{#N/A,#N/A,FALSE,"balance";#N/A,#N/A,FALSE,"PYG"}</definedName>
    <definedName name="Inven2" localSheetId="7" hidden="1">{#N/A,#N/A,FALSE,"balance";#N/A,#N/A,FALSE,"PYG"}</definedName>
    <definedName name="Inven2" hidden="1">{#N/A,#N/A,FALSE,"balance";#N/A,#N/A,FALSE,"PYG"}</definedName>
    <definedName name="Inversion" hidden="1">{"EVA",#N/A,FALSE,"SMT2";#N/A,#N/A,FALSE,"Summary";#N/A,#N/A,FALSE,"Graphs";#N/A,#N/A,FALSE,"4 Panel"}</definedName>
    <definedName name="IOP" hidden="1">{#N/A,#N/A,FALSE,"Aging Summary";#N/A,#N/A,FALSE,"Ratio Analysis";#N/A,#N/A,FALSE,"Test 120 Day Accts";#N/A,#N/A,FALSE,"Tickmarks"}</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44807.6308101852</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sColHidden" hidden="1">FALSE</definedName>
    <definedName name="IsLTMColHidden" hidden="1">FALSE</definedName>
    <definedName name="jabalí" hidden="1">{#N/A,#N/A,FALSE,"Aging Summary";#N/A,#N/A,FALSE,"Ratio Analysis";#N/A,#N/A,FALSE,"Test 120 Day Accts";#N/A,#N/A,FALSE,"Tickmarks"}</definedName>
    <definedName name="JE" localSheetId="4" hidden="1">{"'S. C. B.'!$E$207"}</definedName>
    <definedName name="JE" localSheetId="3" hidden="1">{"'S. C. B.'!$E$207"}</definedName>
    <definedName name="JE" localSheetId="2" hidden="1">{"'S. C. B.'!$E$207"}</definedName>
    <definedName name="JE" hidden="1">{"'S. C. B.'!$E$207"}</definedName>
    <definedName name="jh" hidden="1">{#N/A,#N/A,FALSE,"Aging Summary";#N/A,#N/A,FALSE,"Ratio Analysis";#N/A,#N/A,FALSE,"Test 120 Day Accts";#N/A,#N/A,FALSE,"Tickmarks"}</definedName>
    <definedName name="jhjj" localSheetId="4" hidden="1">{"'S. C. B.'!$E$207"}</definedName>
    <definedName name="jhjj" localSheetId="3" hidden="1">{"'S. C. B.'!$E$207"}</definedName>
    <definedName name="jhjj" localSheetId="2" hidden="1">{"'S. C. B.'!$E$207"}</definedName>
    <definedName name="jhjj" hidden="1">{"'S. C. B.'!$E$207"}</definedName>
    <definedName name="JHON" hidden="1">{#N/A,#N/A,FALSE,"Aging Summary";#N/A,#N/A,FALSE,"Ratio Analysis";#N/A,#N/A,FALSE,"Test 120 Day Accts";#N/A,#N/A,FALSE,"Tickmarks"}</definedName>
    <definedName name="JJAJAJJ" localSheetId="4" hidden="1">{"'S. C. B.'!$E$207"}</definedName>
    <definedName name="JJAJAJJ" localSheetId="3" hidden="1">{"'S. C. B.'!$E$207"}</definedName>
    <definedName name="JJAJAJJ" localSheetId="2" hidden="1">{"'S. C. B.'!$E$207"}</definedName>
    <definedName name="JJAJAJJ" hidden="1">{"'S. C. B.'!$E$207"}</definedName>
    <definedName name="jjkk" hidden="1">{#N/A,#N/A,FALSE,"Aging Summary";#N/A,#N/A,FALSE,"Ratio Analysis";#N/A,#N/A,FALSE,"Test 120 Day Accts";#N/A,#N/A,FALSE,"Tickmarks"}</definedName>
    <definedName name="JKLÑ" hidden="1">{#N/A,#N/A,FALSE,"Aging Summary";#N/A,#N/A,FALSE,"Ratio Analysis";#N/A,#N/A,FALSE,"Test 120 Day Accts";#N/A,#N/A,FALSE,"Tickmarks"}</definedName>
    <definedName name="JOSE" hidden="1">{#N/A,#N/A,FALSE,"balance";#N/A,#N/A,FALSE,"PYG"}</definedName>
    <definedName name="juan" localSheetId="6" hidden="1">{#N/A,#N/A,FALSE,"balance";#N/A,#N/A,FALSE,"PYG"}</definedName>
    <definedName name="juan" localSheetId="4" hidden="1">{#N/A,#N/A,FALSE,"balance";#N/A,#N/A,FALSE,"PYG"}</definedName>
    <definedName name="juan" localSheetId="3" hidden="1">{#N/A,#N/A,FALSE,"balance";#N/A,#N/A,FALSE,"PYG"}</definedName>
    <definedName name="juan" localSheetId="2" hidden="1">{#N/A,#N/A,FALSE,"balance";#N/A,#N/A,FALSE,"PYG"}</definedName>
    <definedName name="juan" localSheetId="5" hidden="1">{#N/A,#N/A,FALSE,"balance";#N/A,#N/A,FALSE,"PYG"}</definedName>
    <definedName name="juan" localSheetId="7" hidden="1">{#N/A,#N/A,FALSE,"balance";#N/A,#N/A,FALSE,"PYG"}</definedName>
    <definedName name="juan" hidden="1">{#N/A,#N/A,FALSE,"balance";#N/A,#N/A,FALSE,"PYG"}</definedName>
    <definedName name="JULIO" localSheetId="4" hidden="1">{"'S. C. B.'!$E$207"}</definedName>
    <definedName name="JULIO" localSheetId="3" hidden="1">{"'S. C. B.'!$E$207"}</definedName>
    <definedName name="JULIO" localSheetId="2" hidden="1">{"'S. C. B.'!$E$207"}</definedName>
    <definedName name="JULIO" hidden="1">{"'S. C. B.'!$E$207"}</definedName>
    <definedName name="JUNIO" localSheetId="4" hidden="1">{"'S. C. B.'!$E$207"}</definedName>
    <definedName name="JUNIO" localSheetId="3" hidden="1">{"'S. C. B.'!$E$207"}</definedName>
    <definedName name="JUNIO" localSheetId="2" hidden="1">{"'S. C. B.'!$E$207"}</definedName>
    <definedName name="JUNIO" hidden="1">{"'S. C. B.'!$E$207"}</definedName>
    <definedName name="JV" localSheetId="4" hidden="1">{"'S. C. B.'!$E$207"}</definedName>
    <definedName name="JV" localSheetId="3" hidden="1">{"'S. C. B.'!$E$207"}</definedName>
    <definedName name="JV" localSheetId="2" hidden="1">{"'S. C. B.'!$E$207"}</definedName>
    <definedName name="JV" hidden="1">{"'S. C. B.'!$E$207"}</definedName>
    <definedName name="K" localSheetId="4" hidden="1">{"PYGT",#N/A,FALSE,"PYG";"ACTIT",#N/A,FALSE,"BCE_GRAL-ACTIVO";"PASIT",#N/A,FALSE,"BCE_GRAL-PASIVO-PATRIM";"CAJAT",#N/A,FALSE,"CAJA"}</definedName>
    <definedName name="K" localSheetId="3" hidden="1">{"PYGT",#N/A,FALSE,"PYG";"ACTIT",#N/A,FALSE,"BCE_GRAL-ACTIVO";"PASIT",#N/A,FALSE,"BCE_GRAL-PASIVO-PATRIM";"CAJAT",#N/A,FALSE,"CAJA"}</definedName>
    <definedName name="K" localSheetId="2" hidden="1">{"PYGT",#N/A,FALSE,"PYG";"ACTIT",#N/A,FALSE,"BCE_GRAL-ACTIVO";"PASIT",#N/A,FALSE,"BCE_GRAL-PASIVO-PATRIM";"CAJAT",#N/A,FALSE,"CAJA"}</definedName>
    <definedName name="K" hidden="1">{"PYGT",#N/A,FALSE,"PYG";"ACTIT",#N/A,FALSE,"BCE_GRAL-ACTIVO";"PASIT",#N/A,FALSE,"BCE_GRAL-PASIVO-PATRIM";"CAJAT",#N/A,FALSE,"CAJA"}</definedName>
    <definedName name="kbv" hidden="1">{#N/A,#N/A,FALSE,"Aging Summary";#N/A,#N/A,FALSE,"Ratio Analysis";#N/A,#N/A,FALSE,"Test 120 Day Accts";#N/A,#N/A,FALSE,"Tickmarks"}</definedName>
    <definedName name="KENELMA" hidden="1">{#N/A,#N/A,FALSE,"Aging Summary";#N/A,#N/A,FALSE,"Ratio Analysis";#N/A,#N/A,FALSE,"Test 120 Day Accts";#N/A,#N/A,FALSE,"Tickmarks"}</definedName>
    <definedName name="KJ" localSheetId="4" hidden="1">{#N/A,#N/A,FALSE,"Aging Summary";#N/A,#N/A,FALSE,"Ratio Analysis";#N/A,#N/A,FALSE,"Test 120 Day Accts";#N/A,#N/A,FALSE,"Tickmarks"}</definedName>
    <definedName name="KJ" localSheetId="3" hidden="1">{#N/A,#N/A,FALSE,"Aging Summary";#N/A,#N/A,FALSE,"Ratio Analysis";#N/A,#N/A,FALSE,"Test 120 Day Accts";#N/A,#N/A,FALSE,"Tickmarks"}</definedName>
    <definedName name="KJ" localSheetId="2" hidden="1">{#N/A,#N/A,FALSE,"Aging Summary";#N/A,#N/A,FALSE,"Ratio Analysis";#N/A,#N/A,FALSE,"Test 120 Day Accts";#N/A,#N/A,FALSE,"Tickmarks"}</definedName>
    <definedName name="KJ" hidden="1">{#N/A,#N/A,FALSE,"Aging Summary";#N/A,#N/A,FALSE,"Ratio Analysis";#N/A,#N/A,FALSE,"Test 120 Day Accts";#N/A,#N/A,FALSE,"Tickmarks"}</definedName>
    <definedName name="KK" localSheetId="4" hidden="1">{#N/A,#N/A,FALSE,"Aging Summary";#N/A,#N/A,FALSE,"Ratio Analysis";#N/A,#N/A,FALSE,"Test 120 Day Accts";#N/A,#N/A,FALSE,"Tickmarks"}</definedName>
    <definedName name="KK" localSheetId="3" hidden="1">{#N/A,#N/A,FALSE,"Aging Summary";#N/A,#N/A,FALSE,"Ratio Analysis";#N/A,#N/A,FALSE,"Test 120 Day Accts";#N/A,#N/A,FALSE,"Tickmarks"}</definedName>
    <definedName name="KK" localSheetId="2" hidden="1">{#N/A,#N/A,FALSE,"Aging Summary";#N/A,#N/A,FALSE,"Ratio Analysis";#N/A,#N/A,FALSE,"Test 120 Day Accts";#N/A,#N/A,FALSE,"Tickmarks"}</definedName>
    <definedName name="KK" hidden="1">{#N/A,#N/A,FALSE,"Aging Summary";#N/A,#N/A,FALSE,"Ratio Analysis";#N/A,#N/A,FALSE,"Test 120 Day Accts";#N/A,#N/A,FALSE,"Tickmarks"}</definedName>
    <definedName name="kkkkkkkkkkkkkkk" localSheetId="4" hidden="1">{"PYGT",#N/A,FALSE,"PYG";"ACTIT",#N/A,FALSE,"BCE_GRAL-ACTIVO";"PASIT",#N/A,FALSE,"BCE_GRAL-PASIVO-PATRIM";"CAJAT",#N/A,FALSE,"CAJA"}</definedName>
    <definedName name="kkkkkkkkkkkkkkk" localSheetId="3" hidden="1">{"PYGT",#N/A,FALSE,"PYG";"ACTIT",#N/A,FALSE,"BCE_GRAL-ACTIVO";"PASIT",#N/A,FALSE,"BCE_GRAL-PASIVO-PATRIM";"CAJAT",#N/A,FALSE,"CAJA"}</definedName>
    <definedName name="kkkkkkkkkkkkkkk" localSheetId="2" hidden="1">{"PYGT",#N/A,FALSE,"PYG";"ACTIT",#N/A,FALSE,"BCE_GRAL-ACTIVO";"PASIT",#N/A,FALSE,"BCE_GRAL-PASIVO-PATRIM";"CAJAT",#N/A,FALSE,"CAJA"}</definedName>
    <definedName name="kkkkkkkkkkkkkkk" hidden="1">{"PYGT",#N/A,FALSE,"PYG";"ACTIT",#N/A,FALSE,"BCE_GRAL-ACTIVO";"PASIT",#N/A,FALSE,"BCE_GRAL-PASIVO-PATRIM";"CAJAT",#N/A,FALSE,"CAJA"}</definedName>
    <definedName name="kklñp" hidden="1">{#N/A,#N/A,FALSE,"Aging Summary";#N/A,#N/A,FALSE,"Ratio Analysis";#N/A,#N/A,FALSE,"Test 120 Day Accts";#N/A,#N/A,FALSE,"Tickmarks"}</definedName>
    <definedName name="KL" hidden="1">{"PYGS",#N/A,FALSE,"PYG";"ACTIS",#N/A,FALSE,"BCE_GRAL-ACTIVO";"PASIS",#N/A,FALSE,"BCE_GRAL-PASIVO-PATRIM";"CAJAS",#N/A,FALSE,"CAJA"}</definedName>
    <definedName name="kwhtot" localSheetId="4" hidden="1">{"KWHTONTOTAL",#N/A,FALSE,"KWHTON"}</definedName>
    <definedName name="kwhtot" localSheetId="3" hidden="1">{"KWHTONTOTAL",#N/A,FALSE,"KWHTON"}</definedName>
    <definedName name="kwhtot" localSheetId="2" hidden="1">{"KWHTONTOTAL",#N/A,FALSE,"KWHTON"}</definedName>
    <definedName name="kwhtot" hidden="1">{"KWHTONTOTAL",#N/A,FALSE,"KWHTON"}</definedName>
    <definedName name="lakdjsflkjshdafl" localSheetId="4" hidden="1">#REF!</definedName>
    <definedName name="lakdjsflkjshdafl" localSheetId="3" hidden="1">#REF!</definedName>
    <definedName name="lakdjsflkjshdafl" localSheetId="2" hidden="1">#REF!</definedName>
    <definedName name="lakdjsflkjshdafl" hidden="1">#REF!</definedName>
    <definedName name="laslala" localSheetId="4" hidden="1">{#N/A,#N/A,TRUE,"Cond";#N/A,#N/A,TRUE,"Bce_hold";#N/A,#N/A,TRUE,"eerr_hold";#N/A,#N/A,TRUE,"eerr_prod";#N/A,#N/A,TRUE,"eerr_tipogtos";#N/A,#N/A,TRUE,"Flujo";#N/A,#N/A,TRUE,"Var_Ebit";#N/A,#N/A,TRUE,"Noa";#N/A,#N/A,TRUE,"Var_Noa"}</definedName>
    <definedName name="laslala" localSheetId="3" hidden="1">{#N/A,#N/A,TRUE,"Cond";#N/A,#N/A,TRUE,"Bce_hold";#N/A,#N/A,TRUE,"eerr_hold";#N/A,#N/A,TRUE,"eerr_prod";#N/A,#N/A,TRUE,"eerr_tipogtos";#N/A,#N/A,TRUE,"Flujo";#N/A,#N/A,TRUE,"Var_Ebit";#N/A,#N/A,TRUE,"Noa";#N/A,#N/A,TRUE,"Var_Noa"}</definedName>
    <definedName name="laslala" localSheetId="2" hidden="1">{#N/A,#N/A,TRUE,"Cond";#N/A,#N/A,TRUE,"Bce_hold";#N/A,#N/A,TRUE,"eerr_hold";#N/A,#N/A,TRUE,"eerr_prod";#N/A,#N/A,TRUE,"eerr_tipogtos";#N/A,#N/A,TRUE,"Flujo";#N/A,#N/A,TRUE,"Var_Ebit";#N/A,#N/A,TRUE,"Noa";#N/A,#N/A,TRUE,"Var_Noa"}</definedName>
    <definedName name="laslala" hidden="1">{#N/A,#N/A,TRUE,"Cond";#N/A,#N/A,TRUE,"Bce_hold";#N/A,#N/A,TRUE,"eerr_hold";#N/A,#N/A,TRUE,"eerr_prod";#N/A,#N/A,TRUE,"eerr_tipogtos";#N/A,#N/A,TRUE,"Flujo";#N/A,#N/A,TRUE,"Var_Ebit";#N/A,#N/A,TRUE,"Noa";#N/A,#N/A,TRUE,"Var_Noa"}</definedName>
    <definedName name="LDC" localSheetId="4" hidden="1">{#N/A,#N/A,FALSE,"Aging Summary";#N/A,#N/A,FALSE,"Ratio Analysis";#N/A,#N/A,FALSE,"Test 120 Day Accts";#N/A,#N/A,FALSE,"Tickmarks"}</definedName>
    <definedName name="LDC" localSheetId="3" hidden="1">{#N/A,#N/A,FALSE,"Aging Summary";#N/A,#N/A,FALSE,"Ratio Analysis";#N/A,#N/A,FALSE,"Test 120 Day Accts";#N/A,#N/A,FALSE,"Tickmarks"}</definedName>
    <definedName name="LDC" localSheetId="2" hidden="1">{#N/A,#N/A,FALSE,"Aging Summary";#N/A,#N/A,FALSE,"Ratio Analysis";#N/A,#N/A,FALSE,"Test 120 Day Accts";#N/A,#N/A,FALSE,"Tickmarks"}</definedName>
    <definedName name="LDC" hidden="1">{#N/A,#N/A,FALSE,"Aging Summary";#N/A,#N/A,FALSE,"Ratio Analysis";#N/A,#N/A,FALSE,"Test 120 Day Accts";#N/A,#N/A,FALSE,"Tickmarks"}</definedName>
    <definedName name="LINA10" localSheetId="4" hidden="1">{#N/A,#N/A,FALSE,"Aging Summary";#N/A,#N/A,FALSE,"Ratio Analysis";#N/A,#N/A,FALSE,"Test 120 Day Accts";#N/A,#N/A,FALSE,"Tickmarks"}</definedName>
    <definedName name="LINA10" localSheetId="3" hidden="1">{#N/A,#N/A,FALSE,"Aging Summary";#N/A,#N/A,FALSE,"Ratio Analysis";#N/A,#N/A,FALSE,"Test 120 Day Accts";#N/A,#N/A,FALSE,"Tickmarks"}</definedName>
    <definedName name="LINA10" localSheetId="2" hidden="1">{#N/A,#N/A,FALSE,"Aging Summary";#N/A,#N/A,FALSE,"Ratio Analysis";#N/A,#N/A,FALSE,"Test 120 Day Accts";#N/A,#N/A,FALSE,"Tickmarks"}</definedName>
    <definedName name="LINA10" hidden="1">{#N/A,#N/A,FALSE,"Aging Summary";#N/A,#N/A,FALSE,"Ratio Analysis";#N/A,#N/A,FALSE,"Test 120 Day Accts";#N/A,#N/A,FALSE,"Tickmarks"}</definedName>
    <definedName name="lina11" localSheetId="4" hidden="1">{#N/A,#N/A,FALSE,"Aging Summary";#N/A,#N/A,FALSE,"Ratio Analysis";#N/A,#N/A,FALSE,"Test 120 Day Accts";#N/A,#N/A,FALSE,"Tickmarks"}</definedName>
    <definedName name="lina11" localSheetId="3" hidden="1">{#N/A,#N/A,FALSE,"Aging Summary";#N/A,#N/A,FALSE,"Ratio Analysis";#N/A,#N/A,FALSE,"Test 120 Day Accts";#N/A,#N/A,FALSE,"Tickmarks"}</definedName>
    <definedName name="lina11" localSheetId="2" hidden="1">{#N/A,#N/A,FALSE,"Aging Summary";#N/A,#N/A,FALSE,"Ratio Analysis";#N/A,#N/A,FALSE,"Test 120 Day Accts";#N/A,#N/A,FALSE,"Tickmarks"}</definedName>
    <definedName name="lina11" hidden="1">{#N/A,#N/A,FALSE,"Aging Summary";#N/A,#N/A,FALSE,"Ratio Analysis";#N/A,#N/A,FALSE,"Test 120 Day Accts";#N/A,#N/A,FALSE,"Tickmarks"}</definedName>
    <definedName name="lina12" localSheetId="4" hidden="1">{#N/A,#N/A,FALSE,"Aging Summary";#N/A,#N/A,FALSE,"Ratio Analysis";#N/A,#N/A,FALSE,"Test 120 Day Accts";#N/A,#N/A,FALSE,"Tickmarks"}</definedName>
    <definedName name="lina12" localSheetId="3" hidden="1">{#N/A,#N/A,FALSE,"Aging Summary";#N/A,#N/A,FALSE,"Ratio Analysis";#N/A,#N/A,FALSE,"Test 120 Day Accts";#N/A,#N/A,FALSE,"Tickmarks"}</definedName>
    <definedName name="lina12" localSheetId="2" hidden="1">{#N/A,#N/A,FALSE,"Aging Summary";#N/A,#N/A,FALSE,"Ratio Analysis";#N/A,#N/A,FALSE,"Test 120 Day Accts";#N/A,#N/A,FALSE,"Tickmarks"}</definedName>
    <definedName name="lina12" hidden="1">{#N/A,#N/A,FALSE,"Aging Summary";#N/A,#N/A,FALSE,"Ratio Analysis";#N/A,#N/A,FALSE,"Test 120 Day Accts";#N/A,#N/A,FALSE,"Tickmarks"}</definedName>
    <definedName name="LINA15" localSheetId="4" hidden="1">{#N/A,#N/A,FALSE,"Aging Summary";#N/A,#N/A,FALSE,"Ratio Analysis";#N/A,#N/A,FALSE,"Test 120 Day Accts";#N/A,#N/A,FALSE,"Tickmarks"}</definedName>
    <definedName name="LINA15" localSheetId="3" hidden="1">{#N/A,#N/A,FALSE,"Aging Summary";#N/A,#N/A,FALSE,"Ratio Analysis";#N/A,#N/A,FALSE,"Test 120 Day Accts";#N/A,#N/A,FALSE,"Tickmarks"}</definedName>
    <definedName name="LINA15" localSheetId="2" hidden="1">{#N/A,#N/A,FALSE,"Aging Summary";#N/A,#N/A,FALSE,"Ratio Analysis";#N/A,#N/A,FALSE,"Test 120 Day Accts";#N/A,#N/A,FALSE,"Tickmarks"}</definedName>
    <definedName name="LINA15" hidden="1">{#N/A,#N/A,FALSE,"Aging Summary";#N/A,#N/A,FALSE,"Ratio Analysis";#N/A,#N/A,FALSE,"Test 120 Day Accts";#N/A,#N/A,FALSE,"Tickmarks"}</definedName>
    <definedName name="lina2" hidden="1">38</definedName>
    <definedName name="LINA20" localSheetId="4" hidden="1">{#N/A,#N/A,FALSE,"Aging Summary";#N/A,#N/A,FALSE,"Ratio Analysis";#N/A,#N/A,FALSE,"Test 120 Day Accts";#N/A,#N/A,FALSE,"Tickmarks"}</definedName>
    <definedName name="LINA20" localSheetId="3" hidden="1">{#N/A,#N/A,FALSE,"Aging Summary";#N/A,#N/A,FALSE,"Ratio Analysis";#N/A,#N/A,FALSE,"Test 120 Day Accts";#N/A,#N/A,FALSE,"Tickmarks"}</definedName>
    <definedName name="LINA20" localSheetId="2" hidden="1">{#N/A,#N/A,FALSE,"Aging Summary";#N/A,#N/A,FALSE,"Ratio Analysis";#N/A,#N/A,FALSE,"Test 120 Day Accts";#N/A,#N/A,FALSE,"Tickmarks"}</definedName>
    <definedName name="LINA20" hidden="1">{#N/A,#N/A,FALSE,"Aging Summary";#N/A,#N/A,FALSE,"Ratio Analysis";#N/A,#N/A,FALSE,"Test 120 Day Accts";#N/A,#N/A,FALSE,"Tickmarks"}</definedName>
    <definedName name="LINA3" localSheetId="4" hidden="1">{#N/A,#N/A,FALSE,"Aging Summary";#N/A,#N/A,FALSE,"Ratio Analysis";#N/A,#N/A,FALSE,"Test 120 Day Accts";#N/A,#N/A,FALSE,"Tickmarks"}</definedName>
    <definedName name="LINA3" localSheetId="3" hidden="1">{#N/A,#N/A,FALSE,"Aging Summary";#N/A,#N/A,FALSE,"Ratio Analysis";#N/A,#N/A,FALSE,"Test 120 Day Accts";#N/A,#N/A,FALSE,"Tickmarks"}</definedName>
    <definedName name="LINA3" localSheetId="2" hidden="1">{#N/A,#N/A,FALSE,"Aging Summary";#N/A,#N/A,FALSE,"Ratio Analysis";#N/A,#N/A,FALSE,"Test 120 Day Accts";#N/A,#N/A,FALSE,"Tickmarks"}</definedName>
    <definedName name="LINA3" hidden="1">{#N/A,#N/A,FALSE,"Aging Summary";#N/A,#N/A,FALSE,"Ratio Analysis";#N/A,#N/A,FALSE,"Test 120 Day Accts";#N/A,#N/A,FALSE,"Tickmarks"}</definedName>
    <definedName name="LINA4" localSheetId="4" hidden="1">{#N/A,#N/A,FALSE,"Aging Summary";#N/A,#N/A,FALSE,"Ratio Analysis";#N/A,#N/A,FALSE,"Test 120 Day Accts";#N/A,#N/A,FALSE,"Tickmarks"}</definedName>
    <definedName name="LINA4" localSheetId="3" hidden="1">{#N/A,#N/A,FALSE,"Aging Summary";#N/A,#N/A,FALSE,"Ratio Analysis";#N/A,#N/A,FALSE,"Test 120 Day Accts";#N/A,#N/A,FALSE,"Tickmarks"}</definedName>
    <definedName name="LINA4" localSheetId="2" hidden="1">{#N/A,#N/A,FALSE,"Aging Summary";#N/A,#N/A,FALSE,"Ratio Analysis";#N/A,#N/A,FALSE,"Test 120 Day Accts";#N/A,#N/A,FALSE,"Tickmarks"}</definedName>
    <definedName name="LINA4" hidden="1">{#N/A,#N/A,FALSE,"Aging Summary";#N/A,#N/A,FALSE,"Ratio Analysis";#N/A,#N/A,FALSE,"Test 120 Day Accts";#N/A,#N/A,FALSE,"Tickmarks"}</definedName>
    <definedName name="LINA5" localSheetId="4" hidden="1">{#N/A,#N/A,FALSE,"Aging Summary";#N/A,#N/A,FALSE,"Ratio Analysis";#N/A,#N/A,FALSE,"Test 120 Day Accts";#N/A,#N/A,FALSE,"Tickmarks"}</definedName>
    <definedName name="LINA5" localSheetId="3" hidden="1">{#N/A,#N/A,FALSE,"Aging Summary";#N/A,#N/A,FALSE,"Ratio Analysis";#N/A,#N/A,FALSE,"Test 120 Day Accts";#N/A,#N/A,FALSE,"Tickmarks"}</definedName>
    <definedName name="LINA5" localSheetId="2" hidden="1">{#N/A,#N/A,FALSE,"Aging Summary";#N/A,#N/A,FALSE,"Ratio Analysis";#N/A,#N/A,FALSE,"Test 120 Day Accts";#N/A,#N/A,FALSE,"Tickmarks"}</definedName>
    <definedName name="LINA5" hidden="1">{#N/A,#N/A,FALSE,"Aging Summary";#N/A,#N/A,FALSE,"Ratio Analysis";#N/A,#N/A,FALSE,"Test 120 Day Accts";#N/A,#N/A,FALSE,"Tickmarks"}</definedName>
    <definedName name="LINA6" localSheetId="4" hidden="1">{#N/A,#N/A,FALSE,"Aging Summary";#N/A,#N/A,FALSE,"Ratio Analysis";#N/A,#N/A,FALSE,"Test 120 Day Accts";#N/A,#N/A,FALSE,"Tickmarks"}</definedName>
    <definedName name="LINA6" localSheetId="3" hidden="1">{#N/A,#N/A,FALSE,"Aging Summary";#N/A,#N/A,FALSE,"Ratio Analysis";#N/A,#N/A,FALSE,"Test 120 Day Accts";#N/A,#N/A,FALSE,"Tickmarks"}</definedName>
    <definedName name="LINA6" localSheetId="2" hidden="1">{#N/A,#N/A,FALSE,"Aging Summary";#N/A,#N/A,FALSE,"Ratio Analysis";#N/A,#N/A,FALSE,"Test 120 Day Accts";#N/A,#N/A,FALSE,"Tickmarks"}</definedName>
    <definedName name="LINA6" hidden="1">{#N/A,#N/A,FALSE,"Aging Summary";#N/A,#N/A,FALSE,"Ratio Analysis";#N/A,#N/A,FALSE,"Test 120 Day Accts";#N/A,#N/A,FALSE,"Tickmarks"}</definedName>
    <definedName name="LINA9" localSheetId="4" hidden="1">{#N/A,#N/A,FALSE,"Aging Summary";#N/A,#N/A,FALSE,"Ratio Analysis";#N/A,#N/A,FALSE,"Test 120 Day Accts";#N/A,#N/A,FALSE,"Tickmarks"}</definedName>
    <definedName name="LINA9" localSheetId="3" hidden="1">{#N/A,#N/A,FALSE,"Aging Summary";#N/A,#N/A,FALSE,"Ratio Analysis";#N/A,#N/A,FALSE,"Test 120 Day Accts";#N/A,#N/A,FALSE,"Tickmarks"}</definedName>
    <definedName name="LINA9" localSheetId="2" hidden="1">{#N/A,#N/A,FALSE,"Aging Summary";#N/A,#N/A,FALSE,"Ratio Analysis";#N/A,#N/A,FALSE,"Test 120 Day Accts";#N/A,#N/A,FALSE,"Tickmarks"}</definedName>
    <definedName name="LINA9" hidden="1">{#N/A,#N/A,FALSE,"Aging Summary";#N/A,#N/A,FALSE,"Ratio Analysis";#N/A,#N/A,FALSE,"Test 120 Day Accts";#N/A,#N/A,FALSE,"Tickmarks"}</definedName>
    <definedName name="Lista1" localSheetId="9">[8]ERI!$A$2:$A$4</definedName>
    <definedName name="Lista1">[9]Consolidado!$A$2:$A$4</definedName>
    <definedName name="ListOffset" hidden="1">1</definedName>
    <definedName name="LJ" localSheetId="4" hidden="1">{"'S. C. B.'!$E$207"}</definedName>
    <definedName name="LJ" localSheetId="3" hidden="1">{"'S. C. B.'!$E$207"}</definedName>
    <definedName name="LJ" localSheetId="2" hidden="1">{"'S. C. B.'!$E$207"}</definedName>
    <definedName name="LJ" hidden="1">{"'S. C. B.'!$E$207"}</definedName>
    <definedName name="LKÑ" hidden="1">{#N/A,#N/A,FALSE,"Aging Summary";#N/A,#N/A,FALSE,"Ratio Analysis";#N/A,#N/A,FALSE,"Test 120 Day Accts";#N/A,#N/A,FALSE,"Tickmarks"}</definedName>
    <definedName name="ll" localSheetId="4" hidden="1">{#N/A,#N/A,FALSE,"Aging Summary";#N/A,#N/A,FALSE,"Ratio Analysis";#N/A,#N/A,FALSE,"Test 120 Day Accts";#N/A,#N/A,FALSE,"Tickmarks"}</definedName>
    <definedName name="ll" localSheetId="3" hidden="1">{#N/A,#N/A,FALSE,"Aging Summary";#N/A,#N/A,FALSE,"Ratio Analysis";#N/A,#N/A,FALSE,"Test 120 Day Accts";#N/A,#N/A,FALSE,"Tickmarks"}</definedName>
    <definedName name="ll" localSheetId="2" hidden="1">{#N/A,#N/A,FALSE,"Aging Summary";#N/A,#N/A,FALSE,"Ratio Analysis";#N/A,#N/A,FALSE,"Test 120 Day Accts";#N/A,#N/A,FALSE,"Tickmarks"}</definedName>
    <definedName name="ll" hidden="1">{#N/A,#N/A,FALSE,"Aging Summary";#N/A,#N/A,FALSE,"Ratio Analysis";#N/A,#N/A,FALSE,"Test 120 Day Accts";#N/A,#N/A,FALSE,"Tickmarks"}</definedName>
    <definedName name="LM" localSheetId="4" hidden="1">{#N/A,#N/A,FALSE,"Aging Summary";#N/A,#N/A,FALSE,"Ratio Analysis";#N/A,#N/A,FALSE,"Test 120 Day Accts";#N/A,#N/A,FALSE,"Tickmarks"}</definedName>
    <definedName name="LM" localSheetId="3" hidden="1">{#N/A,#N/A,FALSE,"Aging Summary";#N/A,#N/A,FALSE,"Ratio Analysis";#N/A,#N/A,FALSE,"Test 120 Day Accts";#N/A,#N/A,FALSE,"Tickmarks"}</definedName>
    <definedName name="LM" localSheetId="2" hidden="1">{#N/A,#N/A,FALSE,"Aging Summary";#N/A,#N/A,FALSE,"Ratio Analysis";#N/A,#N/A,FALSE,"Test 120 Day Accts";#N/A,#N/A,FALSE,"Tickmarks"}</definedName>
    <definedName name="LM" hidden="1">{#N/A,#N/A,FALSE,"Aging Summary";#N/A,#N/A,FALSE,"Ratio Analysis";#N/A,#N/A,FALSE,"Test 120 Day Accts";#N/A,#N/A,FALSE,"Tickmarks"}</definedName>
    <definedName name="LOGISTICA" localSheetId="4" hidden="1">{"'S. C. B.'!$E$207"}</definedName>
    <definedName name="LOGISTICA" localSheetId="3" hidden="1">{"'S. C. B.'!$E$207"}</definedName>
    <definedName name="LOGISTICA" localSheetId="2" hidden="1">{"'S. C. B.'!$E$207"}</definedName>
    <definedName name="LOGISTICA" hidden="1">{"'S. C. B.'!$E$207"}</definedName>
    <definedName name="luisafdgsdfgsdfgsdfg" hidden="1">'[10]D. VARIOS (1380)'!#REF!</definedName>
    <definedName name="Luz" localSheetId="4" hidden="1">{#N/A,#N/A,FALSE,"balance";#N/A,#N/A,FALSE,"PYG"}</definedName>
    <definedName name="Luz" localSheetId="3" hidden="1">{#N/A,#N/A,FALSE,"balance";#N/A,#N/A,FALSE,"PYG"}</definedName>
    <definedName name="Luz" localSheetId="2" hidden="1">{#N/A,#N/A,FALSE,"balance";#N/A,#N/A,FALSE,"PYG"}</definedName>
    <definedName name="Luz" hidden="1">{#N/A,#N/A,FALSE,"balance";#N/A,#N/A,FALSE,"PYG"}</definedName>
    <definedName name="magd" hidden="1">{#N/A,#N/A,FALSE,"GRAFICO";#N/A,#N/A,FALSE,"CAJA (2)";#N/A,#N/A,FALSE,"TERCEROS-PROMEDIO";#N/A,#N/A,FALSE,"CAJA";#N/A,#N/A,FALSE,"INGRESOS1995-2003";#N/A,#N/A,FALSE,"GASTOS1995-2003"}</definedName>
    <definedName name="MAM" localSheetId="4" hidden="1">{#N/A,#N/A,FALSE,"VENTAS";#N/A,#N/A,FALSE,"U. BRUTA";#N/A,#N/A,FALSE,"G. PERSONAL";#N/A,#N/A,FALSE,"G. OPERACION";#N/A,#N/A,FALSE,"G. DEPYAM";#N/A,#N/A,FALSE,"INGRESOS";#N/A,#N/A,FALSE,"G.o P.1";#N/A,#N/A,FALSE,"3%Informe Junta";#N/A,#N/A,FALSE,"P Y G (2)";#N/A,#N/A,FALSE,"CART. PROV.";#N/A,#N/A,FALSE,"Usecmes";#N/A,#N/A,FALSE,"Usecacu"}</definedName>
    <definedName name="MAM" localSheetId="3" hidden="1">{#N/A,#N/A,FALSE,"VENTAS";#N/A,#N/A,FALSE,"U. BRUTA";#N/A,#N/A,FALSE,"G. PERSONAL";#N/A,#N/A,FALSE,"G. OPERACION";#N/A,#N/A,FALSE,"G. DEPYAM";#N/A,#N/A,FALSE,"INGRESOS";#N/A,#N/A,FALSE,"G.o P.1";#N/A,#N/A,FALSE,"3%Informe Junta";#N/A,#N/A,FALSE,"P Y G (2)";#N/A,#N/A,FALSE,"CART. PROV.";#N/A,#N/A,FALSE,"Usecmes";#N/A,#N/A,FALSE,"Usecacu"}</definedName>
    <definedName name="MAM" localSheetId="2" hidden="1">{#N/A,#N/A,FALSE,"VENTAS";#N/A,#N/A,FALSE,"U. BRUTA";#N/A,#N/A,FALSE,"G. PERSONAL";#N/A,#N/A,FALSE,"G. OPERACION";#N/A,#N/A,FALSE,"G. DEPYAM";#N/A,#N/A,FALSE,"INGRESOS";#N/A,#N/A,FALSE,"G.o P.1";#N/A,#N/A,FALSE,"3%Informe Junta";#N/A,#N/A,FALSE,"P Y G (2)";#N/A,#N/A,FALSE,"CART. PROV.";#N/A,#N/A,FALSE,"Usecmes";#N/A,#N/A,FALSE,"Usecacu"}</definedName>
    <definedName name="MAM" hidden="1">{#N/A,#N/A,FALSE,"VENTAS";#N/A,#N/A,FALSE,"U. BRUTA";#N/A,#N/A,FALSE,"G. PERSONAL";#N/A,#N/A,FALSE,"G. OPERACION";#N/A,#N/A,FALSE,"G. DEPYAM";#N/A,#N/A,FALSE,"INGRESOS";#N/A,#N/A,FALSE,"G.o P.1";#N/A,#N/A,FALSE,"3%Informe Junta";#N/A,#N/A,FALSE,"P Y G (2)";#N/A,#N/A,FALSE,"CART. PROV.";#N/A,#N/A,FALSE,"Usecmes";#N/A,#N/A,FALSE,"Usecacu"}</definedName>
    <definedName name="MAR" localSheetId="4" hidden="1">{#N/A,#N/A,FALSE,"VENTAS";#N/A,#N/A,FALSE,"U. BRUTA";#N/A,#N/A,FALSE,"G. PERSONAL";#N/A,#N/A,FALSE,"G. OPERACION";#N/A,#N/A,FALSE,"G. DEPYAM";#N/A,#N/A,FALSE,"INGRESOS";#N/A,#N/A,FALSE,"G.o P.1";#N/A,#N/A,FALSE,"3%Informe Junta";#N/A,#N/A,FALSE,"P Y G (2)";#N/A,#N/A,FALSE,"CART. PROV.";#N/A,#N/A,FALSE,"Usecmes";#N/A,#N/A,FALSE,"Usecacu"}</definedName>
    <definedName name="MAR" localSheetId="3" hidden="1">{#N/A,#N/A,FALSE,"VENTAS";#N/A,#N/A,FALSE,"U. BRUTA";#N/A,#N/A,FALSE,"G. PERSONAL";#N/A,#N/A,FALSE,"G. OPERACION";#N/A,#N/A,FALSE,"G. DEPYAM";#N/A,#N/A,FALSE,"INGRESOS";#N/A,#N/A,FALSE,"G.o P.1";#N/A,#N/A,FALSE,"3%Informe Junta";#N/A,#N/A,FALSE,"P Y G (2)";#N/A,#N/A,FALSE,"CART. PROV.";#N/A,#N/A,FALSE,"Usecmes";#N/A,#N/A,FALSE,"Usecacu"}</definedName>
    <definedName name="MAR" localSheetId="2" hidden="1">{#N/A,#N/A,FALSE,"VENTAS";#N/A,#N/A,FALSE,"U. BRUTA";#N/A,#N/A,FALSE,"G. PERSONAL";#N/A,#N/A,FALSE,"G. OPERACION";#N/A,#N/A,FALSE,"G. DEPYAM";#N/A,#N/A,FALSE,"INGRESOS";#N/A,#N/A,FALSE,"G.o P.1";#N/A,#N/A,FALSE,"3%Informe Junta";#N/A,#N/A,FALSE,"P Y G (2)";#N/A,#N/A,FALSE,"CART. PROV.";#N/A,#N/A,FALSE,"Usecmes";#N/A,#N/A,FALSE,"Usecacu"}</definedName>
    <definedName name="MAR" hidden="1">{#N/A,#N/A,FALSE,"VENTAS";#N/A,#N/A,FALSE,"U. BRUTA";#N/A,#N/A,FALSE,"G. PERSONAL";#N/A,#N/A,FALSE,"G. OPERACION";#N/A,#N/A,FALSE,"G. DEPYAM";#N/A,#N/A,FALSE,"INGRESOS";#N/A,#N/A,FALSE,"G.o P.1";#N/A,#N/A,FALSE,"3%Informe Junta";#N/A,#N/A,FALSE,"P Y G (2)";#N/A,#N/A,FALSE,"CART. PROV.";#N/A,#N/A,FALSE,"Usecmes";#N/A,#N/A,FALSE,"Usecacu"}</definedName>
    <definedName name="mario" localSheetId="6" hidden="1">{#N/A,#N/A,FALSE,"Aging Summary";#N/A,#N/A,FALSE,"Ratio Analysis";#N/A,#N/A,FALSE,"Test 120 Day Accts";#N/A,#N/A,FALSE,"Tickmarks"}</definedName>
    <definedName name="mario" localSheetId="1" hidden="1">{#N/A,#N/A,FALSE,"Aging Summary";#N/A,#N/A,FALSE,"Ratio Analysis";#N/A,#N/A,FALSE,"Test 120 Day Accts";#N/A,#N/A,FALSE,"Tickmarks"}</definedName>
    <definedName name="mario" localSheetId="4" hidden="1">{#N/A,#N/A,FALSE,"Aging Summary";#N/A,#N/A,FALSE,"Ratio Analysis";#N/A,#N/A,FALSE,"Test 120 Day Accts";#N/A,#N/A,FALSE,"Tickmarks"}</definedName>
    <definedName name="mario" localSheetId="0" hidden="1">{#N/A,#N/A,FALSE,"Aging Summary";#N/A,#N/A,FALSE,"Ratio Analysis";#N/A,#N/A,FALSE,"Test 120 Day Accts";#N/A,#N/A,FALSE,"Tickmarks"}</definedName>
    <definedName name="mario" localSheetId="3" hidden="1">{#N/A,#N/A,FALSE,"Aging Summary";#N/A,#N/A,FALSE,"Ratio Analysis";#N/A,#N/A,FALSE,"Test 120 Day Accts";#N/A,#N/A,FALSE,"Tickmarks"}</definedName>
    <definedName name="mario" localSheetId="2" hidden="1">{#N/A,#N/A,FALSE,"Aging Summary";#N/A,#N/A,FALSE,"Ratio Analysis";#N/A,#N/A,FALSE,"Test 120 Day Accts";#N/A,#N/A,FALSE,"Tickmarks"}</definedName>
    <definedName name="mario" localSheetId="5" hidden="1">{#N/A,#N/A,FALSE,"Aging Summary";#N/A,#N/A,FALSE,"Ratio Analysis";#N/A,#N/A,FALSE,"Test 120 Day Accts";#N/A,#N/A,FALSE,"Tickmarks"}</definedName>
    <definedName name="mario" localSheetId="7" hidden="1">{#N/A,#N/A,FALSE,"Aging Summary";#N/A,#N/A,FALSE,"Ratio Analysis";#N/A,#N/A,FALSE,"Test 120 Day Accts";#N/A,#N/A,FALSE,"Tickmarks"}</definedName>
    <definedName name="mario" hidden="1">{#N/A,#N/A,FALSE,"Aging Summary";#N/A,#N/A,FALSE,"Ratio Analysis";#N/A,#N/A,FALSE,"Test 120 Day Accts";#N/A,#N/A,FALSE,"Tickmarks"}</definedName>
    <definedName name="MarkP" localSheetId="4" hidden="1">{#N/A,#N/A,FALSE,"GRAFICO";#N/A,#N/A,FALSE,"CAJA (2)";#N/A,#N/A,FALSE,"TERCEROS-PROMEDIO";#N/A,#N/A,FALSE,"CAJA";#N/A,#N/A,FALSE,"INGRESOS1995-2003";#N/A,#N/A,FALSE,"GASTOS1995-2003"}</definedName>
    <definedName name="MarkP" localSheetId="3" hidden="1">{#N/A,#N/A,FALSE,"GRAFICO";#N/A,#N/A,FALSE,"CAJA (2)";#N/A,#N/A,FALSE,"TERCEROS-PROMEDIO";#N/A,#N/A,FALSE,"CAJA";#N/A,#N/A,FALSE,"INGRESOS1995-2003";#N/A,#N/A,FALSE,"GASTOS1995-2003"}</definedName>
    <definedName name="MarkP" localSheetId="2" hidden="1">{#N/A,#N/A,FALSE,"GRAFICO";#N/A,#N/A,FALSE,"CAJA (2)";#N/A,#N/A,FALSE,"TERCEROS-PROMEDIO";#N/A,#N/A,FALSE,"CAJA";#N/A,#N/A,FALSE,"INGRESOS1995-2003";#N/A,#N/A,FALSE,"GASTOS1995-2003"}</definedName>
    <definedName name="MarkP" hidden="1">{#N/A,#N/A,FALSE,"GRAFICO";#N/A,#N/A,FALSE,"CAJA (2)";#N/A,#N/A,FALSE,"TERCEROS-PROMEDIO";#N/A,#N/A,FALSE,"CAJA";#N/A,#N/A,FALSE,"INGRESOS1995-2003";#N/A,#N/A,FALSE,"GASTOS1995-2003"}</definedName>
    <definedName name="marmol" hidden="1">{"PYGT",#N/A,FALSE,"PYG";"ACTIT",#N/A,FALSE,"BCE_GRAL-ACTIVO";"PASIT",#N/A,FALSE,"BCE_GRAL-PASIVO-PATRIM";"CAJAT",#N/A,FALSE,"CAJA"}</definedName>
    <definedName name="marzo" localSheetId="4" hidden="1">{#N/A,#N/A,FALSE,"VENTAS";#N/A,#N/A,FALSE,"U. BRUTA";#N/A,#N/A,FALSE,"G. PERSONAL";#N/A,#N/A,FALSE,"G. OPERACION";#N/A,#N/A,FALSE,"G. DEPYAM";#N/A,#N/A,FALSE,"INGRESOS";#N/A,#N/A,FALSE,"G.o P.1";#N/A,#N/A,FALSE,"3%Informe Junta";#N/A,#N/A,FALSE,"P Y G (2)";#N/A,#N/A,FALSE,"CART. PROV.";#N/A,#N/A,FALSE,"Usecmes";#N/A,#N/A,FALSE,"Usecacu"}</definedName>
    <definedName name="marzo" localSheetId="3" hidden="1">{#N/A,#N/A,FALSE,"VENTAS";#N/A,#N/A,FALSE,"U. BRUTA";#N/A,#N/A,FALSE,"G. PERSONAL";#N/A,#N/A,FALSE,"G. OPERACION";#N/A,#N/A,FALSE,"G. DEPYAM";#N/A,#N/A,FALSE,"INGRESOS";#N/A,#N/A,FALSE,"G.o P.1";#N/A,#N/A,FALSE,"3%Informe Junta";#N/A,#N/A,FALSE,"P Y G (2)";#N/A,#N/A,FALSE,"CART. PROV.";#N/A,#N/A,FALSE,"Usecmes";#N/A,#N/A,FALSE,"Usecacu"}</definedName>
    <definedName name="marzo" localSheetId="2" hidden="1">{#N/A,#N/A,FALSE,"VENTAS";#N/A,#N/A,FALSE,"U. BRUTA";#N/A,#N/A,FALSE,"G. PERSONAL";#N/A,#N/A,FALSE,"G. OPERACION";#N/A,#N/A,FALSE,"G. DEPYAM";#N/A,#N/A,FALSE,"INGRESOS";#N/A,#N/A,FALSE,"G.o P.1";#N/A,#N/A,FALSE,"3%Informe Junta";#N/A,#N/A,FALSE,"P Y G (2)";#N/A,#N/A,FALSE,"CART. PROV.";#N/A,#N/A,FALSE,"Usecmes";#N/A,#N/A,FALSE,"Usecacu"}</definedName>
    <definedName name="marzo" hidden="1">{#N/A,#N/A,FALSE,"VENTAS";#N/A,#N/A,FALSE,"U. BRUTA";#N/A,#N/A,FALSE,"G. PERSONAL";#N/A,#N/A,FALSE,"G. OPERACION";#N/A,#N/A,FALSE,"G. DEPYAM";#N/A,#N/A,FALSE,"INGRESOS";#N/A,#N/A,FALSE,"G.o P.1";#N/A,#N/A,FALSE,"3%Informe Junta";#N/A,#N/A,FALSE,"P Y G (2)";#N/A,#N/A,FALSE,"CART. PROV.";#N/A,#N/A,FALSE,"Usecmes";#N/A,#N/A,FALSE,"Usecacu"}</definedName>
    <definedName name="Merck" hidden="1">{"'18'!$A$5:$M$18"}</definedName>
    <definedName name="mercurio" hidden="1">{#N/A,#N/A,FALSE,"Aging Summary";#N/A,#N/A,FALSE,"Ratio Analysis";#N/A,#N/A,FALSE,"Test 120 Day Accts";#N/A,#N/A,FALSE,"Tickmarks"}</definedName>
    <definedName name="MIOJAKDJKA" localSheetId="4" hidden="1">{"'S. C. B.'!$E$207"}</definedName>
    <definedName name="MIOJAKDJKA" localSheetId="3" hidden="1">{"'S. C. B.'!$E$207"}</definedName>
    <definedName name="MIOJAKDJKA" localSheetId="2" hidden="1">{"'S. C. B.'!$E$207"}</definedName>
    <definedName name="MIOJAKDJKA" hidden="1">{"'S. C. B.'!$E$207"}</definedName>
    <definedName name="mismo" hidden="1">{#N/A,#N/A,FALSE,"GRAFICO";#N/A,#N/A,FALSE,"CAJA (2)";#N/A,#N/A,FALSE,"TERCEROS-PROMEDIO";#N/A,#N/A,FALSE,"CAJA";#N/A,#N/A,FALSE,"INGRESOS1995-2003";#N/A,#N/A,FALSE,"GASTOS1995-2003"}</definedName>
    <definedName name="mm" hidden="1">{#N/A,#N/A,FALSE,"balance";#N/A,#N/A,FALSE,"PYG"}</definedName>
    <definedName name="MMA" localSheetId="4" hidden="1">{#N/A,#N/A,FALSE,"Aging Summary";#N/A,#N/A,FALSE,"Ratio Analysis";#N/A,#N/A,FALSE,"Test 120 Day Accts";#N/A,#N/A,FALSE,"Tickmarks"}</definedName>
    <definedName name="MMA" localSheetId="3" hidden="1">{#N/A,#N/A,FALSE,"Aging Summary";#N/A,#N/A,FALSE,"Ratio Analysis";#N/A,#N/A,FALSE,"Test 120 Day Accts";#N/A,#N/A,FALSE,"Tickmarks"}</definedName>
    <definedName name="MMA" localSheetId="2" hidden="1">{#N/A,#N/A,FALSE,"Aging Summary";#N/A,#N/A,FALSE,"Ratio Analysis";#N/A,#N/A,FALSE,"Test 120 Day Accts";#N/A,#N/A,FALSE,"Tickmarks"}</definedName>
    <definedName name="MMA" hidden="1">{#N/A,#N/A,FALSE,"Aging Summary";#N/A,#N/A,FALSE,"Ratio Analysis";#N/A,#N/A,FALSE,"Test 120 Day Accts";#N/A,#N/A,FALSE,"Tickmarks"}</definedName>
    <definedName name="MMMM" localSheetId="4" hidden="1">{#N/A,#N/A,FALSE,"GRAFICO";#N/A,#N/A,FALSE,"CAJA (2)";#N/A,#N/A,FALSE,"TERCEROS-PROMEDIO";#N/A,#N/A,FALSE,"CAJA";#N/A,#N/A,FALSE,"INGRESOS1995-2003";#N/A,#N/A,FALSE,"GASTOS1995-2003"}</definedName>
    <definedName name="MMMM" localSheetId="3" hidden="1">{#N/A,#N/A,FALSE,"GRAFICO";#N/A,#N/A,FALSE,"CAJA (2)";#N/A,#N/A,FALSE,"TERCEROS-PROMEDIO";#N/A,#N/A,FALSE,"CAJA";#N/A,#N/A,FALSE,"INGRESOS1995-2003";#N/A,#N/A,FALSE,"GASTOS1995-2003"}</definedName>
    <definedName name="MMMM" localSheetId="2" hidden="1">{#N/A,#N/A,FALSE,"GRAFICO";#N/A,#N/A,FALSE,"CAJA (2)";#N/A,#N/A,FALSE,"TERCEROS-PROMEDIO";#N/A,#N/A,FALSE,"CAJA";#N/A,#N/A,FALSE,"INGRESOS1995-2003";#N/A,#N/A,FALSE,"GASTOS1995-2003"}</definedName>
    <definedName name="MMMM" hidden="1">{#N/A,#N/A,FALSE,"GRAFICO";#N/A,#N/A,FALSE,"CAJA (2)";#N/A,#N/A,FALSE,"TERCEROS-PROMEDIO";#N/A,#N/A,FALSE,"CAJA";#N/A,#N/A,FALSE,"INGRESOS1995-2003";#N/A,#N/A,FALSE,"GASTOS1995-2003"}</definedName>
    <definedName name="MMMMM" localSheetId="4" hidden="1">{"PYGT",#N/A,FALSE,"PYG";"ACTIT",#N/A,FALSE,"BCE_GRAL-ACTIVO";"PASIT",#N/A,FALSE,"BCE_GRAL-PASIVO-PATRIM";"CAJAT",#N/A,FALSE,"CAJA"}</definedName>
    <definedName name="MMMMM" localSheetId="3" hidden="1">{"PYGT",#N/A,FALSE,"PYG";"ACTIT",#N/A,FALSE,"BCE_GRAL-ACTIVO";"PASIT",#N/A,FALSE,"BCE_GRAL-PASIVO-PATRIM";"CAJAT",#N/A,FALSE,"CAJA"}</definedName>
    <definedName name="MMMMM" localSheetId="2" hidden="1">{"PYGT",#N/A,FALSE,"PYG";"ACTIT",#N/A,FALSE,"BCE_GRAL-ACTIVO";"PASIT",#N/A,FALSE,"BCE_GRAL-PASIVO-PATRIM";"CAJAT",#N/A,FALSE,"CAJA"}</definedName>
    <definedName name="MMMMM" hidden="1">{"PYGT",#N/A,FALSE,"PYG";"ACTIT",#N/A,FALSE,"BCE_GRAL-ACTIVO";"PASIT",#N/A,FALSE,"BCE_GRAL-PASIVO-PATRIM";"CAJAT",#N/A,FALSE,"CAJA"}</definedName>
    <definedName name="mmmmmmmmmm" localSheetId="4" hidden="1">{"PYGT",#N/A,FALSE,"PYG";"ACTIT",#N/A,FALSE,"BCE_GRAL-ACTIVO";"PASIT",#N/A,FALSE,"BCE_GRAL-PASIVO-PATRIM";"CAJAT",#N/A,FALSE,"CAJA"}</definedName>
    <definedName name="mmmmmmmmmm" localSheetId="3" hidden="1">{"PYGT",#N/A,FALSE,"PYG";"ACTIT",#N/A,FALSE,"BCE_GRAL-ACTIVO";"PASIT",#N/A,FALSE,"BCE_GRAL-PASIVO-PATRIM";"CAJAT",#N/A,FALSE,"CAJA"}</definedName>
    <definedName name="mmmmmmmmmm" localSheetId="2" hidden="1">{"PYGT",#N/A,FALSE,"PYG";"ACTIT",#N/A,FALSE,"BCE_GRAL-ACTIVO";"PASIT",#N/A,FALSE,"BCE_GRAL-PASIVO-PATRIM";"CAJAT",#N/A,FALSE,"CAJA"}</definedName>
    <definedName name="mmmmmmmmmm" hidden="1">{"PYGT",#N/A,FALSE,"PYG";"ACTIT",#N/A,FALSE,"BCE_GRAL-ACTIVO";"PASIT",#N/A,FALSE,"BCE_GRAL-PASIVO-PATRIM";"CAJAT",#N/A,FALSE,"CAJA"}</definedName>
    <definedName name="mmmmmmmmmmmmm" localSheetId="4" hidden="1">{#N/A,#N/A,FALSE,"GRAFICO";#N/A,#N/A,FALSE,"CAJA (2)";#N/A,#N/A,FALSE,"TERCEROS-PROMEDIO";#N/A,#N/A,FALSE,"CAJA";#N/A,#N/A,FALSE,"INGRESOS1995-2003";#N/A,#N/A,FALSE,"GASTOS1995-2003"}</definedName>
    <definedName name="mmmmmmmmmmmmm" localSheetId="3" hidden="1">{#N/A,#N/A,FALSE,"GRAFICO";#N/A,#N/A,FALSE,"CAJA (2)";#N/A,#N/A,FALSE,"TERCEROS-PROMEDIO";#N/A,#N/A,FALSE,"CAJA";#N/A,#N/A,FALSE,"INGRESOS1995-2003";#N/A,#N/A,FALSE,"GASTOS1995-2003"}</definedName>
    <definedName name="mmmmmmmmmmmmm" localSheetId="2" hidden="1">{#N/A,#N/A,FALSE,"GRAFICO";#N/A,#N/A,FALSE,"CAJA (2)";#N/A,#N/A,FALSE,"TERCEROS-PROMEDIO";#N/A,#N/A,FALSE,"CAJA";#N/A,#N/A,FALSE,"INGRESOS1995-2003";#N/A,#N/A,FALSE,"GASTOS1995-2003"}</definedName>
    <definedName name="mmmmmmmmmmmmm" hidden="1">{#N/A,#N/A,FALSE,"GRAFICO";#N/A,#N/A,FALSE,"CAJA (2)";#N/A,#N/A,FALSE,"TERCEROS-PROMEDIO";#N/A,#N/A,FALSE,"CAJA";#N/A,#N/A,FALSE,"INGRESOS1995-2003";#N/A,#N/A,FALSE,"GASTOS1995-2003"}</definedName>
    <definedName name="mmzjs" localSheetId="4" hidden="1">{#N/A,#N/A,TRUE,"TAPA ";"INDICE_CLP",#N/A,TRUE,"Indice";#N/A,#N/A,TRUE,"Cond";#N/A,#N/A,TRUE,"Bce_hold";#N/A,#N/A,TRUE,"eerr_hold";#N/A,#N/A,TRUE,"eerr_prod";#N/A,#N/A,TRUE,"eerr_tipogtos";#N/A,#N/A,TRUE,"Flujo";#N/A,#N/A,TRUE,"Var_Ebit";#N/A,#N/A,TRUE,"Noa";#N/A,#N/A,TRUE,"Var_Noa"}</definedName>
    <definedName name="mmzjs" localSheetId="3" hidden="1">{#N/A,#N/A,TRUE,"TAPA ";"INDICE_CLP",#N/A,TRUE,"Indice";#N/A,#N/A,TRUE,"Cond";#N/A,#N/A,TRUE,"Bce_hold";#N/A,#N/A,TRUE,"eerr_hold";#N/A,#N/A,TRUE,"eerr_prod";#N/A,#N/A,TRUE,"eerr_tipogtos";#N/A,#N/A,TRUE,"Flujo";#N/A,#N/A,TRUE,"Var_Ebit";#N/A,#N/A,TRUE,"Noa";#N/A,#N/A,TRUE,"Var_Noa"}</definedName>
    <definedName name="mmzjs" localSheetId="2" hidden="1">{#N/A,#N/A,TRUE,"TAPA ";"INDICE_CLP",#N/A,TRUE,"Indice";#N/A,#N/A,TRUE,"Cond";#N/A,#N/A,TRUE,"Bce_hold";#N/A,#N/A,TRUE,"eerr_hold";#N/A,#N/A,TRUE,"eerr_prod";#N/A,#N/A,TRUE,"eerr_tipogtos";#N/A,#N/A,TRUE,"Flujo";#N/A,#N/A,TRUE,"Var_Ebit";#N/A,#N/A,TRUE,"Noa";#N/A,#N/A,TRUE,"Var_Noa"}</definedName>
    <definedName name="mmzjs" hidden="1">{#N/A,#N/A,TRUE,"TAPA ";"INDICE_CLP",#N/A,TRUE,"Indice";#N/A,#N/A,TRUE,"Cond";#N/A,#N/A,TRUE,"Bce_hold";#N/A,#N/A,TRUE,"eerr_hold";#N/A,#N/A,TRUE,"eerr_prod";#N/A,#N/A,TRUE,"eerr_tipogtos";#N/A,#N/A,TRUE,"Flujo";#N/A,#N/A,TRUE,"Var_Ebit";#N/A,#N/A,TRUE,"Noa";#N/A,#N/A,TRUE,"Var_Noa"}</definedName>
    <definedName name="MN" localSheetId="4" hidden="1">{#N/A,#N/A,FALSE,"Aging Summary";#N/A,#N/A,FALSE,"Ratio Analysis";#N/A,#N/A,FALSE,"Test 120 Day Accts";#N/A,#N/A,FALSE,"Tickmarks"}</definedName>
    <definedName name="MN" localSheetId="3" hidden="1">{#N/A,#N/A,FALSE,"Aging Summary";#N/A,#N/A,FALSE,"Ratio Analysis";#N/A,#N/A,FALSE,"Test 120 Day Accts";#N/A,#N/A,FALSE,"Tickmarks"}</definedName>
    <definedName name="MN" localSheetId="2" hidden="1">{#N/A,#N/A,FALSE,"Aging Summary";#N/A,#N/A,FALSE,"Ratio Analysis";#N/A,#N/A,FALSE,"Test 120 Day Accts";#N/A,#N/A,FALSE,"Tickmarks"}</definedName>
    <definedName name="MN" hidden="1">{#N/A,#N/A,FALSE,"Aging Summary";#N/A,#N/A,FALSE,"Ratio Analysis";#N/A,#N/A,FALSE,"Test 120 Day Accts";#N/A,#N/A,FALSE,"Tickmarks"}</definedName>
    <definedName name="morado" hidden="1">{#N/A,#N/A,FALSE,"Aging Summary";#N/A,#N/A,FALSE,"Ratio Analysis";#N/A,#N/A,FALSE,"Test 120 Day Accts";#N/A,#N/A,FALSE,"Tickmarks"}</definedName>
    <definedName name="N" hidden="1">23</definedName>
    <definedName name="nada" localSheetId="4" hidden="1">{#N/A,#N/A,TRUE,"Cond";#N/A,#N/A,TRUE,"Bce_hold";#N/A,#N/A,TRUE,"eerr_hold";#N/A,#N/A,TRUE,"eerr_prod";#N/A,#N/A,TRUE,"eerr_tipogtos";#N/A,#N/A,TRUE,"Flujo";#N/A,#N/A,TRUE,"Var_Ebit";#N/A,#N/A,TRUE,"Noa";#N/A,#N/A,TRUE,"Var_Noa"}</definedName>
    <definedName name="nada" localSheetId="3" hidden="1">{#N/A,#N/A,TRUE,"Cond";#N/A,#N/A,TRUE,"Bce_hold";#N/A,#N/A,TRUE,"eerr_hold";#N/A,#N/A,TRUE,"eerr_prod";#N/A,#N/A,TRUE,"eerr_tipogtos";#N/A,#N/A,TRUE,"Flujo";#N/A,#N/A,TRUE,"Var_Ebit";#N/A,#N/A,TRUE,"Noa";#N/A,#N/A,TRUE,"Var_Noa"}</definedName>
    <definedName name="nada" localSheetId="2" hidden="1">{#N/A,#N/A,TRUE,"Cond";#N/A,#N/A,TRUE,"Bce_hold";#N/A,#N/A,TRUE,"eerr_hold";#N/A,#N/A,TRUE,"eerr_prod";#N/A,#N/A,TRUE,"eerr_tipogtos";#N/A,#N/A,TRUE,"Flujo";#N/A,#N/A,TRUE,"Var_Ebit";#N/A,#N/A,TRUE,"Noa";#N/A,#N/A,TRUE,"Var_Noa"}</definedName>
    <definedName name="nada" hidden="1">{#N/A,#N/A,TRUE,"Cond";#N/A,#N/A,TRUE,"Bce_hold";#N/A,#N/A,TRUE,"eerr_hold";#N/A,#N/A,TRUE,"eerr_prod";#N/A,#N/A,TRUE,"eerr_tipogtos";#N/A,#N/A,TRUE,"Flujo";#N/A,#N/A,TRUE,"Var_Ebit";#N/A,#N/A,TRUE,"Noa";#N/A,#N/A,TRUE,"Var_Noa"}</definedName>
    <definedName name="nada1" localSheetId="4" hidden="1">{"INDICE_USD",#N/A,FALSE,"Indice";#N/A,#N/A,FALSE,"Condusd";#N/A,#N/A,FALSE,"Bce_holdusd";#N/A,#N/A,FALSE,"eerr_holdusd";#N/A,#N/A,FALSE,"eerr_produsd";#N/A,#N/A,FALSE,"eerr_tipogtosusd";#N/A,#N/A,FALSE,"Flujousd";#N/A,#N/A,FALSE,"Var_Ebitusd";#N/A,#N/A,FALSE,"Noausd";#N/A,#N/A,FALSE,"Var_Noausd"}</definedName>
    <definedName name="nada1" localSheetId="3" hidden="1">{"INDICE_USD",#N/A,FALSE,"Indice";#N/A,#N/A,FALSE,"Condusd";#N/A,#N/A,FALSE,"Bce_holdusd";#N/A,#N/A,FALSE,"eerr_holdusd";#N/A,#N/A,FALSE,"eerr_produsd";#N/A,#N/A,FALSE,"eerr_tipogtosusd";#N/A,#N/A,FALSE,"Flujousd";#N/A,#N/A,FALSE,"Var_Ebitusd";#N/A,#N/A,FALSE,"Noausd";#N/A,#N/A,FALSE,"Var_Noausd"}</definedName>
    <definedName name="nada1" localSheetId="2" hidden="1">{"INDICE_USD",#N/A,FALSE,"Indice";#N/A,#N/A,FALSE,"Condusd";#N/A,#N/A,FALSE,"Bce_holdusd";#N/A,#N/A,FALSE,"eerr_holdusd";#N/A,#N/A,FALSE,"eerr_produsd";#N/A,#N/A,FALSE,"eerr_tipogtosusd";#N/A,#N/A,FALSE,"Flujousd";#N/A,#N/A,FALSE,"Var_Ebitusd";#N/A,#N/A,FALSE,"Noausd";#N/A,#N/A,FALSE,"Var_Noausd"}</definedName>
    <definedName name="nada1" hidden="1">{"INDICE_USD",#N/A,FALSE,"Indice";#N/A,#N/A,FALSE,"Condusd";#N/A,#N/A,FALSE,"Bce_holdusd";#N/A,#N/A,FALSE,"eerr_holdusd";#N/A,#N/A,FALSE,"eerr_produsd";#N/A,#N/A,FALSE,"eerr_tipogtosusd";#N/A,#N/A,FALSE,"Flujousd";#N/A,#N/A,FALSE,"Var_Ebitusd";#N/A,#N/A,FALSE,"Noausd";#N/A,#N/A,FALSE,"Var_Noausd"}</definedName>
    <definedName name="nada101" localSheetId="4" hidden="1">{#N/A,#N/A,TRUE,"Cond";#N/A,#N/A,TRUE,"Bce_hold";#N/A,#N/A,TRUE,"eerr_hold";#N/A,#N/A,TRUE,"eerr_prod";#N/A,#N/A,TRUE,"eerr_tipogtos";#N/A,#N/A,TRUE,"Flujo";#N/A,#N/A,TRUE,"Var_Ebit";#N/A,#N/A,TRUE,"Noa";#N/A,#N/A,TRUE,"Var_Noa"}</definedName>
    <definedName name="nada101" localSheetId="3" hidden="1">{#N/A,#N/A,TRUE,"Cond";#N/A,#N/A,TRUE,"Bce_hold";#N/A,#N/A,TRUE,"eerr_hold";#N/A,#N/A,TRUE,"eerr_prod";#N/A,#N/A,TRUE,"eerr_tipogtos";#N/A,#N/A,TRUE,"Flujo";#N/A,#N/A,TRUE,"Var_Ebit";#N/A,#N/A,TRUE,"Noa";#N/A,#N/A,TRUE,"Var_Noa"}</definedName>
    <definedName name="nada101" localSheetId="2" hidden="1">{#N/A,#N/A,TRUE,"Cond";#N/A,#N/A,TRUE,"Bce_hold";#N/A,#N/A,TRUE,"eerr_hold";#N/A,#N/A,TRUE,"eerr_prod";#N/A,#N/A,TRUE,"eerr_tipogtos";#N/A,#N/A,TRUE,"Flujo";#N/A,#N/A,TRUE,"Var_Ebit";#N/A,#N/A,TRUE,"Noa";#N/A,#N/A,TRUE,"Var_Noa"}</definedName>
    <definedName name="nada101" hidden="1">{#N/A,#N/A,TRUE,"Cond";#N/A,#N/A,TRUE,"Bce_hold";#N/A,#N/A,TRUE,"eerr_hold";#N/A,#N/A,TRUE,"eerr_prod";#N/A,#N/A,TRUE,"eerr_tipogtos";#N/A,#N/A,TRUE,"Flujo";#N/A,#N/A,TRUE,"Var_Ebit";#N/A,#N/A,TRUE,"Noa";#N/A,#N/A,TRUE,"Var_Noa"}</definedName>
    <definedName name="nada2" localSheetId="4" hidden="1">{"INDICE_USD",#N/A,FALSE,"Indice";#N/A,#N/A,FALSE,"Condusd";#N/A,#N/A,FALSE,"Bce_holdusd";#N/A,#N/A,FALSE,"eerr_holdusd";#N/A,#N/A,FALSE,"eerr_produsd";#N/A,#N/A,FALSE,"eerr_tipogtosusd";#N/A,#N/A,FALSE,"Flujousd";#N/A,#N/A,FALSE,"Var_Ebitusd";#N/A,#N/A,FALSE,"Noausd";#N/A,#N/A,FALSE,"Var_Noausd"}</definedName>
    <definedName name="nada2" localSheetId="3" hidden="1">{"INDICE_USD",#N/A,FALSE,"Indice";#N/A,#N/A,FALSE,"Condusd";#N/A,#N/A,FALSE,"Bce_holdusd";#N/A,#N/A,FALSE,"eerr_holdusd";#N/A,#N/A,FALSE,"eerr_produsd";#N/A,#N/A,FALSE,"eerr_tipogtosusd";#N/A,#N/A,FALSE,"Flujousd";#N/A,#N/A,FALSE,"Var_Ebitusd";#N/A,#N/A,FALSE,"Noausd";#N/A,#N/A,FALSE,"Var_Noausd"}</definedName>
    <definedName name="nada2" localSheetId="2" hidden="1">{"INDICE_USD",#N/A,FALSE,"Indice";#N/A,#N/A,FALSE,"Condusd";#N/A,#N/A,FALSE,"Bce_holdusd";#N/A,#N/A,FALSE,"eerr_holdusd";#N/A,#N/A,FALSE,"eerr_produsd";#N/A,#N/A,FALSE,"eerr_tipogtosusd";#N/A,#N/A,FALSE,"Flujousd";#N/A,#N/A,FALSE,"Var_Ebitusd";#N/A,#N/A,FALSE,"Noausd";#N/A,#N/A,FALSE,"Var_Noausd"}</definedName>
    <definedName name="nada2" hidden="1">{"INDICE_USD",#N/A,FALSE,"Indice";#N/A,#N/A,FALSE,"Condusd";#N/A,#N/A,FALSE,"Bce_holdusd";#N/A,#N/A,FALSE,"eerr_holdusd";#N/A,#N/A,FALSE,"eerr_produsd";#N/A,#N/A,FALSE,"eerr_tipogtosusd";#N/A,#N/A,FALSE,"Flujousd";#N/A,#N/A,FALSE,"Var_Ebitusd";#N/A,#N/A,FALSE,"Noausd";#N/A,#N/A,FALSE,"Var_Noausd"}</definedName>
    <definedName name="nada223" localSheetId="4" hidden="1">{"INDICE_USD",#N/A,FALSE,"Indice";#N/A,#N/A,FALSE,"Condusd";#N/A,#N/A,FALSE,"Bce_holdusd";#N/A,#N/A,FALSE,"eerr_holdusd";#N/A,#N/A,FALSE,"eerr_produsd";#N/A,#N/A,FALSE,"eerr_tipogtosusd";#N/A,#N/A,FALSE,"Flujousd";#N/A,#N/A,FALSE,"Var_Ebitusd";#N/A,#N/A,FALSE,"Noausd";#N/A,#N/A,FALSE,"Var_Noausd"}</definedName>
    <definedName name="nada223" localSheetId="3" hidden="1">{"INDICE_USD",#N/A,FALSE,"Indice";#N/A,#N/A,FALSE,"Condusd";#N/A,#N/A,FALSE,"Bce_holdusd";#N/A,#N/A,FALSE,"eerr_holdusd";#N/A,#N/A,FALSE,"eerr_produsd";#N/A,#N/A,FALSE,"eerr_tipogtosusd";#N/A,#N/A,FALSE,"Flujousd";#N/A,#N/A,FALSE,"Var_Ebitusd";#N/A,#N/A,FALSE,"Noausd";#N/A,#N/A,FALSE,"Var_Noausd"}</definedName>
    <definedName name="nada223" localSheetId="2" hidden="1">{"INDICE_USD",#N/A,FALSE,"Indice";#N/A,#N/A,FALSE,"Condusd";#N/A,#N/A,FALSE,"Bce_holdusd";#N/A,#N/A,FALSE,"eerr_holdusd";#N/A,#N/A,FALSE,"eerr_produsd";#N/A,#N/A,FALSE,"eerr_tipogtosusd";#N/A,#N/A,FALSE,"Flujousd";#N/A,#N/A,FALSE,"Var_Ebitusd";#N/A,#N/A,FALSE,"Noausd";#N/A,#N/A,FALSE,"Var_Noausd"}</definedName>
    <definedName name="nada223" hidden="1">{"INDICE_USD",#N/A,FALSE,"Indice";#N/A,#N/A,FALSE,"Condusd";#N/A,#N/A,FALSE,"Bce_holdusd";#N/A,#N/A,FALSE,"eerr_holdusd";#N/A,#N/A,FALSE,"eerr_produsd";#N/A,#N/A,FALSE,"eerr_tipogtosusd";#N/A,#N/A,FALSE,"Flujousd";#N/A,#N/A,FALSE,"Var_Ebitusd";#N/A,#N/A,FALSE,"Noausd";#N/A,#N/A,FALSE,"Var_Noausd"}</definedName>
    <definedName name="nada3" localSheetId="4" hidden="1">{#N/A,#N/A,TRUE,"Cond";#N/A,#N/A,TRUE,"Bce_hold";#N/A,#N/A,TRUE,"eerr_hold";#N/A,#N/A,TRUE,"eerr_prod";#N/A,#N/A,TRUE,"eerr_tipogtos";#N/A,#N/A,TRUE,"Flujo";#N/A,#N/A,TRUE,"Var_Ebit";#N/A,#N/A,TRUE,"Noa";#N/A,#N/A,TRUE,"Var_Noa"}</definedName>
    <definedName name="nada3" localSheetId="3" hidden="1">{#N/A,#N/A,TRUE,"Cond";#N/A,#N/A,TRUE,"Bce_hold";#N/A,#N/A,TRUE,"eerr_hold";#N/A,#N/A,TRUE,"eerr_prod";#N/A,#N/A,TRUE,"eerr_tipogtos";#N/A,#N/A,TRUE,"Flujo";#N/A,#N/A,TRUE,"Var_Ebit";#N/A,#N/A,TRUE,"Noa";#N/A,#N/A,TRUE,"Var_Noa"}</definedName>
    <definedName name="nada3" localSheetId="2" hidden="1">{#N/A,#N/A,TRUE,"Cond";#N/A,#N/A,TRUE,"Bce_hold";#N/A,#N/A,TRUE,"eerr_hold";#N/A,#N/A,TRUE,"eerr_prod";#N/A,#N/A,TRUE,"eerr_tipogtos";#N/A,#N/A,TRUE,"Flujo";#N/A,#N/A,TRUE,"Var_Ebit";#N/A,#N/A,TRUE,"Noa";#N/A,#N/A,TRUE,"Var_Noa"}</definedName>
    <definedName name="nada3" hidden="1">{#N/A,#N/A,TRUE,"Cond";#N/A,#N/A,TRUE,"Bce_hold";#N/A,#N/A,TRUE,"eerr_hold";#N/A,#N/A,TRUE,"eerr_prod";#N/A,#N/A,TRUE,"eerr_tipogtos";#N/A,#N/A,TRUE,"Flujo";#N/A,#N/A,TRUE,"Var_Ebit";#N/A,#N/A,TRUE,"Noa";#N/A,#N/A,TRUE,"Var_Noa"}</definedName>
    <definedName name="nada32" localSheetId="4" hidden="1">{#N/A,#N/A,TRUE,"Cond";#N/A,#N/A,TRUE,"Bce_hold";#N/A,#N/A,TRUE,"eerr_hold";#N/A,#N/A,TRUE,"eerr_prod";#N/A,#N/A,TRUE,"eerr_tipogtos";#N/A,#N/A,TRUE,"Flujo";#N/A,#N/A,TRUE,"Var_Ebit";#N/A,#N/A,TRUE,"Noa";#N/A,#N/A,TRUE,"Var_Noa"}</definedName>
    <definedName name="nada32" localSheetId="3" hidden="1">{#N/A,#N/A,TRUE,"Cond";#N/A,#N/A,TRUE,"Bce_hold";#N/A,#N/A,TRUE,"eerr_hold";#N/A,#N/A,TRUE,"eerr_prod";#N/A,#N/A,TRUE,"eerr_tipogtos";#N/A,#N/A,TRUE,"Flujo";#N/A,#N/A,TRUE,"Var_Ebit";#N/A,#N/A,TRUE,"Noa";#N/A,#N/A,TRUE,"Var_Noa"}</definedName>
    <definedName name="nada32" localSheetId="2" hidden="1">{#N/A,#N/A,TRUE,"Cond";#N/A,#N/A,TRUE,"Bce_hold";#N/A,#N/A,TRUE,"eerr_hold";#N/A,#N/A,TRUE,"eerr_prod";#N/A,#N/A,TRUE,"eerr_tipogtos";#N/A,#N/A,TRUE,"Flujo";#N/A,#N/A,TRUE,"Var_Ebit";#N/A,#N/A,TRUE,"Noa";#N/A,#N/A,TRUE,"Var_Noa"}</definedName>
    <definedName name="nada32" hidden="1">{#N/A,#N/A,TRUE,"Cond";#N/A,#N/A,TRUE,"Bce_hold";#N/A,#N/A,TRUE,"eerr_hold";#N/A,#N/A,TRUE,"eerr_prod";#N/A,#N/A,TRUE,"eerr_tipogtos";#N/A,#N/A,TRUE,"Flujo";#N/A,#N/A,TRUE,"Var_Ebit";#N/A,#N/A,TRUE,"Noa";#N/A,#N/A,TRUE,"Var_Noa"}</definedName>
    <definedName name="nada33" localSheetId="4" hidden="1">{#N/A,#N/A,TRUE,"Cond";#N/A,#N/A,TRUE,"Bce_hold";#N/A,#N/A,TRUE,"eerr_hold";#N/A,#N/A,TRUE,"eerr_prod";#N/A,#N/A,TRUE,"eerr_tipogtos";#N/A,#N/A,TRUE,"Flujo";#N/A,#N/A,TRUE,"Var_Ebit";#N/A,#N/A,TRUE,"Noa";#N/A,#N/A,TRUE,"Var_Noa"}</definedName>
    <definedName name="nada33" localSheetId="3" hidden="1">{#N/A,#N/A,TRUE,"Cond";#N/A,#N/A,TRUE,"Bce_hold";#N/A,#N/A,TRUE,"eerr_hold";#N/A,#N/A,TRUE,"eerr_prod";#N/A,#N/A,TRUE,"eerr_tipogtos";#N/A,#N/A,TRUE,"Flujo";#N/A,#N/A,TRUE,"Var_Ebit";#N/A,#N/A,TRUE,"Noa";#N/A,#N/A,TRUE,"Var_Noa"}</definedName>
    <definedName name="nada33" localSheetId="2" hidden="1">{#N/A,#N/A,TRUE,"Cond";#N/A,#N/A,TRUE,"Bce_hold";#N/A,#N/A,TRUE,"eerr_hold";#N/A,#N/A,TRUE,"eerr_prod";#N/A,#N/A,TRUE,"eerr_tipogtos";#N/A,#N/A,TRUE,"Flujo";#N/A,#N/A,TRUE,"Var_Ebit";#N/A,#N/A,TRUE,"Noa";#N/A,#N/A,TRUE,"Var_Noa"}</definedName>
    <definedName name="nada33" hidden="1">{#N/A,#N/A,TRUE,"Cond";#N/A,#N/A,TRUE,"Bce_hold";#N/A,#N/A,TRUE,"eerr_hold";#N/A,#N/A,TRUE,"eerr_prod";#N/A,#N/A,TRUE,"eerr_tipogtos";#N/A,#N/A,TRUE,"Flujo";#N/A,#N/A,TRUE,"Var_Ebit";#N/A,#N/A,TRUE,"Noa";#N/A,#N/A,TRUE,"Var_Noa"}</definedName>
    <definedName name="nada4" localSheetId="4" hidden="1">{#N/A,#N/A,TRUE,"TAPA ";"INDICE_CLP",#N/A,TRUE,"Indice";#N/A,#N/A,TRUE,"Cond";#N/A,#N/A,TRUE,"Bce_hold";#N/A,#N/A,TRUE,"eerr_hold";#N/A,#N/A,TRUE,"eerr_prod";#N/A,#N/A,TRUE,"eerr_tipogtos";#N/A,#N/A,TRUE,"Flujo";#N/A,#N/A,TRUE,"Var_Ebit";#N/A,#N/A,TRUE,"Noa";#N/A,#N/A,TRUE,"Var_Noa"}</definedName>
    <definedName name="nada4" localSheetId="3" hidden="1">{#N/A,#N/A,TRUE,"TAPA ";"INDICE_CLP",#N/A,TRUE,"Indice";#N/A,#N/A,TRUE,"Cond";#N/A,#N/A,TRUE,"Bce_hold";#N/A,#N/A,TRUE,"eerr_hold";#N/A,#N/A,TRUE,"eerr_prod";#N/A,#N/A,TRUE,"eerr_tipogtos";#N/A,#N/A,TRUE,"Flujo";#N/A,#N/A,TRUE,"Var_Ebit";#N/A,#N/A,TRUE,"Noa";#N/A,#N/A,TRUE,"Var_Noa"}</definedName>
    <definedName name="nada4" localSheetId="2" hidden="1">{#N/A,#N/A,TRUE,"TAPA ";"INDICE_CLP",#N/A,TRUE,"Indice";#N/A,#N/A,TRUE,"Cond";#N/A,#N/A,TRUE,"Bce_hold";#N/A,#N/A,TRUE,"eerr_hold";#N/A,#N/A,TRUE,"eerr_prod";#N/A,#N/A,TRUE,"eerr_tipogtos";#N/A,#N/A,TRUE,"Flujo";#N/A,#N/A,TRUE,"Var_Ebit";#N/A,#N/A,TRUE,"Noa";#N/A,#N/A,TRUE,"Var_Noa"}</definedName>
    <definedName name="nada4" hidden="1">{#N/A,#N/A,TRUE,"TAPA ";"INDICE_CLP",#N/A,TRUE,"Indice";#N/A,#N/A,TRUE,"Cond";#N/A,#N/A,TRUE,"Bce_hold";#N/A,#N/A,TRUE,"eerr_hold";#N/A,#N/A,TRUE,"eerr_prod";#N/A,#N/A,TRUE,"eerr_tipogtos";#N/A,#N/A,TRUE,"Flujo";#N/A,#N/A,TRUE,"Var_Ebit";#N/A,#N/A,TRUE,"Noa";#N/A,#N/A,TRUE,"Var_Noa"}</definedName>
    <definedName name="nada6" localSheetId="4" hidden="1">{"INDICE_USD",#N/A,FALSE,"Indice";#N/A,#N/A,FALSE,"Condusd";#N/A,#N/A,FALSE,"Bce_holdusd";#N/A,#N/A,FALSE,"eerr_holdusd";#N/A,#N/A,FALSE,"eerr_produsd";#N/A,#N/A,FALSE,"eerr_tipogtosusd";#N/A,#N/A,FALSE,"Flujousd";#N/A,#N/A,FALSE,"Var_Ebitusd";#N/A,#N/A,FALSE,"Noausd";#N/A,#N/A,FALSE,"Var_Noausd"}</definedName>
    <definedName name="nada6" localSheetId="3" hidden="1">{"INDICE_USD",#N/A,FALSE,"Indice";#N/A,#N/A,FALSE,"Condusd";#N/A,#N/A,FALSE,"Bce_holdusd";#N/A,#N/A,FALSE,"eerr_holdusd";#N/A,#N/A,FALSE,"eerr_produsd";#N/A,#N/A,FALSE,"eerr_tipogtosusd";#N/A,#N/A,FALSE,"Flujousd";#N/A,#N/A,FALSE,"Var_Ebitusd";#N/A,#N/A,FALSE,"Noausd";#N/A,#N/A,FALSE,"Var_Noausd"}</definedName>
    <definedName name="nada6" localSheetId="2" hidden="1">{"INDICE_USD",#N/A,FALSE,"Indice";#N/A,#N/A,FALSE,"Condusd";#N/A,#N/A,FALSE,"Bce_holdusd";#N/A,#N/A,FALSE,"eerr_holdusd";#N/A,#N/A,FALSE,"eerr_produsd";#N/A,#N/A,FALSE,"eerr_tipogtosusd";#N/A,#N/A,FALSE,"Flujousd";#N/A,#N/A,FALSE,"Var_Ebitusd";#N/A,#N/A,FALSE,"Noausd";#N/A,#N/A,FALSE,"Var_Noausd"}</definedName>
    <definedName name="nada6" hidden="1">{"INDICE_USD",#N/A,FALSE,"Indice";#N/A,#N/A,FALSE,"Condusd";#N/A,#N/A,FALSE,"Bce_holdusd";#N/A,#N/A,FALSE,"eerr_holdusd";#N/A,#N/A,FALSE,"eerr_produsd";#N/A,#N/A,FALSE,"eerr_tipogtosusd";#N/A,#N/A,FALSE,"Flujousd";#N/A,#N/A,FALSE,"Var_Ebitusd";#N/A,#N/A,FALSE,"Noausd";#N/A,#N/A,FALSE,"Var_Noausd"}</definedName>
    <definedName name="nada99" localSheetId="4" hidden="1">{#N/A,#N/A,TRUE,"Cond";#N/A,#N/A,TRUE,"Bce_hold";#N/A,#N/A,TRUE,"eerr_hold";#N/A,#N/A,TRUE,"eerr_prod";#N/A,#N/A,TRUE,"eerr_tipogtos";#N/A,#N/A,TRUE,"Flujo";#N/A,#N/A,TRUE,"Var_Ebit";#N/A,#N/A,TRUE,"Noa";#N/A,#N/A,TRUE,"Var_Noa"}</definedName>
    <definedName name="nada99" localSheetId="3" hidden="1">{#N/A,#N/A,TRUE,"Cond";#N/A,#N/A,TRUE,"Bce_hold";#N/A,#N/A,TRUE,"eerr_hold";#N/A,#N/A,TRUE,"eerr_prod";#N/A,#N/A,TRUE,"eerr_tipogtos";#N/A,#N/A,TRUE,"Flujo";#N/A,#N/A,TRUE,"Var_Ebit";#N/A,#N/A,TRUE,"Noa";#N/A,#N/A,TRUE,"Var_Noa"}</definedName>
    <definedName name="nada99" localSheetId="2" hidden="1">{#N/A,#N/A,TRUE,"Cond";#N/A,#N/A,TRUE,"Bce_hold";#N/A,#N/A,TRUE,"eerr_hold";#N/A,#N/A,TRUE,"eerr_prod";#N/A,#N/A,TRUE,"eerr_tipogtos";#N/A,#N/A,TRUE,"Flujo";#N/A,#N/A,TRUE,"Var_Ebit";#N/A,#N/A,TRUE,"Noa";#N/A,#N/A,TRUE,"Var_Noa"}</definedName>
    <definedName name="nada99" hidden="1">{#N/A,#N/A,TRUE,"Cond";#N/A,#N/A,TRUE,"Bce_hold";#N/A,#N/A,TRUE,"eerr_hold";#N/A,#N/A,TRUE,"eerr_prod";#N/A,#N/A,TRUE,"eerr_tipogtos";#N/A,#N/A,TRUE,"Flujo";#N/A,#N/A,TRUE,"Var_Ebit";#N/A,#N/A,TRUE,"Noa";#N/A,#N/A,TRUE,"Var_Noa"}</definedName>
    <definedName name="NARJ" hidden="1">{#N/A,#N/A,FALSE,"Aging Summary";#N/A,#N/A,FALSE,"Ratio Analysis";#N/A,#N/A,FALSE,"Test 120 Day Accts";#N/A,#N/A,FALSE,"Tickmarks"}</definedName>
    <definedName name="new" hidden="1">{"EVA",#N/A,FALSE,"SMT2";#N/A,#N/A,FALSE,"Summary";#N/A,#N/A,FALSE,"Graphs";#N/A,#N/A,FALSE,"4 Panel"}</definedName>
    <definedName name="ni" hidden="1">{#N/A,#N/A,FALSE,"GRAFICO";#N/A,#N/A,FALSE,"CAJA (2)";#N/A,#N/A,FALSE,"TERCEROS-PROMEDIO";#N/A,#N/A,FALSE,"CAJA";#N/A,#N/A,FALSE,"INGRESOS1995-2003";#N/A,#N/A,FALSE,"GASTOS1995-2003"}</definedName>
    <definedName name="NNN" localSheetId="4" hidden="1">{"PYGS",#N/A,FALSE,"PYG";"ACTIS",#N/A,FALSE,"BCE_GRAL-ACTIVO";"PASIS",#N/A,FALSE,"BCE_GRAL-PASIVO-PATRIM";"CAJAS",#N/A,FALSE,"CAJA"}</definedName>
    <definedName name="NNN" localSheetId="3" hidden="1">{"PYGS",#N/A,FALSE,"PYG";"ACTIS",#N/A,FALSE,"BCE_GRAL-ACTIVO";"PASIS",#N/A,FALSE,"BCE_GRAL-PASIVO-PATRIM";"CAJAS",#N/A,FALSE,"CAJA"}</definedName>
    <definedName name="NNN" localSheetId="2" hidden="1">{"PYGS",#N/A,FALSE,"PYG";"ACTIS",#N/A,FALSE,"BCE_GRAL-ACTIVO";"PASIS",#N/A,FALSE,"BCE_GRAL-PASIVO-PATRIM";"CAJAS",#N/A,FALSE,"CAJA"}</definedName>
    <definedName name="NNN" hidden="1">{"PYGS",#N/A,FALSE,"PYG";"ACTIS",#N/A,FALSE,"BCE_GRAL-ACTIVO";"PASIS",#N/A,FALSE,"BCE_GRAL-PASIVO-PATRIM";"CAJAS",#N/A,FALSE,"CAJA"}</definedName>
    <definedName name="NNNN" localSheetId="4" hidden="1">{"PYGT",#N/A,FALSE,"PYG";"ACTIT",#N/A,FALSE,"BCE_GRAL-ACTIVO";"PASIT",#N/A,FALSE,"BCE_GRAL-PASIVO-PATRIM";"CAJAT",#N/A,FALSE,"CAJA"}</definedName>
    <definedName name="NNNN" localSheetId="3" hidden="1">{"PYGT",#N/A,FALSE,"PYG";"ACTIT",#N/A,FALSE,"BCE_GRAL-ACTIVO";"PASIT",#N/A,FALSE,"BCE_GRAL-PASIVO-PATRIM";"CAJAT",#N/A,FALSE,"CAJA"}</definedName>
    <definedName name="NNNN" localSheetId="2" hidden="1">{"PYGT",#N/A,FALSE,"PYG";"ACTIT",#N/A,FALSE,"BCE_GRAL-ACTIVO";"PASIT",#N/A,FALSE,"BCE_GRAL-PASIVO-PATRIM";"CAJAT",#N/A,FALSE,"CAJA"}</definedName>
    <definedName name="NNNN" hidden="1">{"PYGT",#N/A,FALSE,"PYG";"ACTIT",#N/A,FALSE,"BCE_GRAL-ACTIVO";"PASIT",#N/A,FALSE,"BCE_GRAL-PASIVO-PATRIM";"CAJAT",#N/A,FALSE,"CAJA"}</definedName>
    <definedName name="NNNNN" localSheetId="4" hidden="1">{"PYGT",#N/A,FALSE,"PYG";"ACTIT",#N/A,FALSE,"BCE_GRAL-ACTIVO";"PASIT",#N/A,FALSE,"BCE_GRAL-PASIVO-PATRIM";"CAJAT",#N/A,FALSE,"CAJA"}</definedName>
    <definedName name="NNNNN" localSheetId="3" hidden="1">{"PYGT",#N/A,FALSE,"PYG";"ACTIT",#N/A,FALSE,"BCE_GRAL-ACTIVO";"PASIT",#N/A,FALSE,"BCE_GRAL-PASIVO-PATRIM";"CAJAT",#N/A,FALSE,"CAJA"}</definedName>
    <definedName name="NNNNN" localSheetId="2" hidden="1">{"PYGT",#N/A,FALSE,"PYG";"ACTIT",#N/A,FALSE,"BCE_GRAL-ACTIVO";"PASIT",#N/A,FALSE,"BCE_GRAL-PASIVO-PATRIM";"CAJAT",#N/A,FALSE,"CAJA"}</definedName>
    <definedName name="NNNNN" hidden="1">{"PYGT",#N/A,FALSE,"PYG";"ACTIT",#N/A,FALSE,"BCE_GRAL-ACTIVO";"PASIT",#N/A,FALSE,"BCE_GRAL-PASIVO-PATRIM";"CAJAT",#N/A,FALSE,"CAJA"}</definedName>
    <definedName name="NO" hidden="1">{"PYGT",#N/A,FALSE,"PYG";"ACTIT",#N/A,FALSE,"BCE_GRAL-ACTIVO";"PASIT",#N/A,FALSE,"BCE_GRAL-PASIVO-PATRIM";"CAJAT",#N/A,FALSE,"CAJA"}</definedName>
    <definedName name="noam" hidden="1">{#N/A,#N/A,FALSE,"Aging Summary";#N/A,#N/A,FALSE,"Ratio Analysis";#N/A,#N/A,FALSE,"Test 120 Day Accts";#N/A,#N/A,FALSE,"Tickmarks"}</definedName>
    <definedName name="NóminaConfidencial" localSheetId="4" hidden="1">{#N/A,#N/A,FALSE,"Aging Summary";#N/A,#N/A,FALSE,"Ratio Analysis";#N/A,#N/A,FALSE,"Test 120 Day Accts";#N/A,#N/A,FALSE,"Tickmarks"}</definedName>
    <definedName name="NóminaConfidencial" localSheetId="3" hidden="1">{#N/A,#N/A,FALSE,"Aging Summary";#N/A,#N/A,FALSE,"Ratio Analysis";#N/A,#N/A,FALSE,"Test 120 Day Accts";#N/A,#N/A,FALSE,"Tickmarks"}</definedName>
    <definedName name="NóminaConfidencial" localSheetId="2" hidden="1">{#N/A,#N/A,FALSE,"Aging Summary";#N/A,#N/A,FALSE,"Ratio Analysis";#N/A,#N/A,FALSE,"Test 120 Day Accts";#N/A,#N/A,FALSE,"Tickmarks"}</definedName>
    <definedName name="NóminaConfidencial" hidden="1">{#N/A,#N/A,FALSE,"Aging Summary";#N/A,#N/A,FALSE,"Ratio Analysis";#N/A,#N/A,FALSE,"Test 120 Day Accts";#N/A,#N/A,FALSE,"Tickmarks"}</definedName>
    <definedName name="nsda21s" localSheetId="4" hidden="1">{#N/A,#N/A,TRUE,"TAPA ";"INDICE_CLP",#N/A,TRUE,"Indice";#N/A,#N/A,TRUE,"Cond";#N/A,#N/A,TRUE,"Bce_hold";#N/A,#N/A,TRUE,"eerr_hold";#N/A,#N/A,TRUE,"eerr_prod";#N/A,#N/A,TRUE,"eerr_tipogtos";#N/A,#N/A,TRUE,"Flujo";#N/A,#N/A,TRUE,"Var_Ebit";#N/A,#N/A,TRUE,"Noa";#N/A,#N/A,TRUE,"Var_Noa"}</definedName>
    <definedName name="nsda21s" localSheetId="3" hidden="1">{#N/A,#N/A,TRUE,"TAPA ";"INDICE_CLP",#N/A,TRUE,"Indice";#N/A,#N/A,TRUE,"Cond";#N/A,#N/A,TRUE,"Bce_hold";#N/A,#N/A,TRUE,"eerr_hold";#N/A,#N/A,TRUE,"eerr_prod";#N/A,#N/A,TRUE,"eerr_tipogtos";#N/A,#N/A,TRUE,"Flujo";#N/A,#N/A,TRUE,"Var_Ebit";#N/A,#N/A,TRUE,"Noa";#N/A,#N/A,TRUE,"Var_Noa"}</definedName>
    <definedName name="nsda21s" localSheetId="2" hidden="1">{#N/A,#N/A,TRUE,"TAPA ";"INDICE_CLP",#N/A,TRUE,"Indice";#N/A,#N/A,TRUE,"Cond";#N/A,#N/A,TRUE,"Bce_hold";#N/A,#N/A,TRUE,"eerr_hold";#N/A,#N/A,TRUE,"eerr_prod";#N/A,#N/A,TRUE,"eerr_tipogtos";#N/A,#N/A,TRUE,"Flujo";#N/A,#N/A,TRUE,"Var_Ebit";#N/A,#N/A,TRUE,"Noa";#N/A,#N/A,TRUE,"Var_Noa"}</definedName>
    <definedName name="nsda21s" hidden="1">{#N/A,#N/A,TRUE,"TAPA ";"INDICE_CLP",#N/A,TRUE,"Indice";#N/A,#N/A,TRUE,"Cond";#N/A,#N/A,TRUE,"Bce_hold";#N/A,#N/A,TRUE,"eerr_hold";#N/A,#N/A,TRUE,"eerr_prod";#N/A,#N/A,TRUE,"eerr_tipogtos";#N/A,#N/A,TRUE,"Flujo";#N/A,#N/A,TRUE,"Var_Ebit";#N/A,#N/A,TRUE,"Noa";#N/A,#N/A,TRUE,"Var_Noa"}</definedName>
    <definedName name="NTA" hidden="1">{#N/A,#N/A,FALSE,"Aging Summary";#N/A,#N/A,FALSE,"Ratio Analysis";#N/A,#N/A,FALSE,"Test 120 Day Accts";#N/A,#N/A,FALSE,"Tickmarks"}</definedName>
    <definedName name="nzhshs" localSheetId="4" hidden="1">{"INDICE_USD",#N/A,FALSE,"Indice";#N/A,#N/A,FALSE,"Condusd";#N/A,#N/A,FALSE,"Bce_holdusd";#N/A,#N/A,FALSE,"eerr_holdusd";#N/A,#N/A,FALSE,"eerr_produsd";#N/A,#N/A,FALSE,"eerr_tipogtosusd";#N/A,#N/A,FALSE,"Flujousd";#N/A,#N/A,FALSE,"Var_Ebitusd";#N/A,#N/A,FALSE,"Noausd";#N/A,#N/A,FALSE,"Var_Noausd"}</definedName>
    <definedName name="nzhshs" localSheetId="3" hidden="1">{"INDICE_USD",#N/A,FALSE,"Indice";#N/A,#N/A,FALSE,"Condusd";#N/A,#N/A,FALSE,"Bce_holdusd";#N/A,#N/A,FALSE,"eerr_holdusd";#N/A,#N/A,FALSE,"eerr_produsd";#N/A,#N/A,FALSE,"eerr_tipogtosusd";#N/A,#N/A,FALSE,"Flujousd";#N/A,#N/A,FALSE,"Var_Ebitusd";#N/A,#N/A,FALSE,"Noausd";#N/A,#N/A,FALSE,"Var_Noausd"}</definedName>
    <definedName name="nzhshs" localSheetId="2" hidden="1">{"INDICE_USD",#N/A,FALSE,"Indice";#N/A,#N/A,FALSE,"Condusd";#N/A,#N/A,FALSE,"Bce_holdusd";#N/A,#N/A,FALSE,"eerr_holdusd";#N/A,#N/A,FALSE,"eerr_produsd";#N/A,#N/A,FALSE,"eerr_tipogtosusd";#N/A,#N/A,FALSE,"Flujousd";#N/A,#N/A,FALSE,"Var_Ebitusd";#N/A,#N/A,FALSE,"Noausd";#N/A,#N/A,FALSE,"Var_Noausd"}</definedName>
    <definedName name="nzhshs" hidden="1">{"INDICE_USD",#N/A,FALSE,"Indice";#N/A,#N/A,FALSE,"Condusd";#N/A,#N/A,FALSE,"Bce_holdusd";#N/A,#N/A,FALSE,"eerr_holdusd";#N/A,#N/A,FALSE,"eerr_produsd";#N/A,#N/A,FALSE,"eerr_tipogtosusd";#N/A,#N/A,FALSE,"Flujousd";#N/A,#N/A,FALSE,"Var_Ebitusd";#N/A,#N/A,FALSE,"Noausd";#N/A,#N/A,FALSE,"Var_Noausd"}</definedName>
    <definedName name="ÑAME" hidden="1">{#N/A,#N/A,FALSE,"Aging Summary";#N/A,#N/A,FALSE,"Ratio Analysis";#N/A,#N/A,FALSE,"Test 120 Day Accts";#N/A,#N/A,FALSE,"Tickmarks"}</definedName>
    <definedName name="ñl" localSheetId="4" hidden="1">{#N/A,#N/A,FALSE,"Aging Summary";#N/A,#N/A,FALSE,"Ratio Analysis";#N/A,#N/A,FALSE,"Test 120 Day Accts";#N/A,#N/A,FALSE,"Tickmarks"}</definedName>
    <definedName name="ñl" localSheetId="3" hidden="1">{#N/A,#N/A,FALSE,"Aging Summary";#N/A,#N/A,FALSE,"Ratio Analysis";#N/A,#N/A,FALSE,"Test 120 Day Accts";#N/A,#N/A,FALSE,"Tickmarks"}</definedName>
    <definedName name="ñl" localSheetId="2" hidden="1">{#N/A,#N/A,FALSE,"Aging Summary";#N/A,#N/A,FALSE,"Ratio Analysis";#N/A,#N/A,FALSE,"Test 120 Day Accts";#N/A,#N/A,FALSE,"Tickmarks"}</definedName>
    <definedName name="ñl" hidden="1">{#N/A,#N/A,FALSE,"Aging Summary";#N/A,#N/A,FALSE,"Ratio Analysis";#N/A,#N/A,FALSE,"Test 120 Day Accts";#N/A,#N/A,FALSE,"Tickmarks"}</definedName>
    <definedName name="ÑLK" hidden="1">{#N/A,#N/A,FALSE,"Aging Summary";#N/A,#N/A,FALSE,"Ratio Analysis";#N/A,#N/A,FALSE,"Test 120 Day Accts";#N/A,#N/A,FALSE,"Tickmarks"}</definedName>
    <definedName name="ÑLOOPP" hidden="1">{#N/A,#N/A,FALSE,"Aging Summary";#N/A,#N/A,FALSE,"Ratio Analysis";#N/A,#N/A,FALSE,"Test 120 Day Accts";#N/A,#N/A,FALSE,"Tickmarks"}</definedName>
    <definedName name="ÑOÑO" hidden="1">{#N/A,#N/A,FALSE,"Aging Summary";#N/A,#N/A,FALSE,"Ratio Analysis";#N/A,#N/A,FALSE,"Test 120 Day Accts";#N/A,#N/A,FALSE,"Tickmarks"}</definedName>
    <definedName name="ñpl" hidden="1">{#N/A,#N/A,FALSE,"Aging Summary";#N/A,#N/A,FALSE,"Ratio Analysis";#N/A,#N/A,FALSE,"Test 120 Day Accts";#N/A,#N/A,FALSE,"Tickmarks"}</definedName>
    <definedName name="o" localSheetId="4" hidden="1">{#N/A,#N/A,FALSE,"balance";#N/A,#N/A,FALSE,"PYG"}</definedName>
    <definedName name="o" localSheetId="3" hidden="1">{#N/A,#N/A,FALSE,"balance";#N/A,#N/A,FALSE,"PYG"}</definedName>
    <definedName name="o" localSheetId="2" hidden="1">{#N/A,#N/A,FALSE,"balance";#N/A,#N/A,FALSE,"PYG"}</definedName>
    <definedName name="o" hidden="1">{#N/A,#N/A,FALSE,"balance";#N/A,#N/A,FALSE,"PYG"}</definedName>
    <definedName name="OCT" localSheetId="6" hidden="1">{#N/A,#N/A,FALSE,"BL&amp;GPA";#N/A,#N/A,FALSE,"Summary";#N/A,#N/A,FALSE,"hts"}</definedName>
    <definedName name="OCT" localSheetId="1" hidden="1">{#N/A,#N/A,FALSE,"BL&amp;GPA";#N/A,#N/A,FALSE,"Summary";#N/A,#N/A,FALSE,"hts"}</definedName>
    <definedName name="OCT" localSheetId="4" hidden="1">{#N/A,#N/A,FALSE,"BL&amp;GPA";#N/A,#N/A,FALSE,"Summary";#N/A,#N/A,FALSE,"hts"}</definedName>
    <definedName name="OCT" localSheetId="0" hidden="1">{#N/A,#N/A,FALSE,"BL&amp;GPA";#N/A,#N/A,FALSE,"Summary";#N/A,#N/A,FALSE,"hts"}</definedName>
    <definedName name="OCT" localSheetId="3" hidden="1">{#N/A,#N/A,FALSE,"BL&amp;GPA";#N/A,#N/A,FALSE,"Summary";#N/A,#N/A,FALSE,"hts"}</definedName>
    <definedName name="OCT" localSheetId="2" hidden="1">{#N/A,#N/A,FALSE,"BL&amp;GPA";#N/A,#N/A,FALSE,"Summary";#N/A,#N/A,FALSE,"hts"}</definedName>
    <definedName name="OCT" localSheetId="5" hidden="1">{#N/A,#N/A,FALSE,"BL&amp;GPA";#N/A,#N/A,FALSE,"Summary";#N/A,#N/A,FALSE,"hts"}</definedName>
    <definedName name="OCT" localSheetId="7" hidden="1">{#N/A,#N/A,FALSE,"BL&amp;GPA";#N/A,#N/A,FALSE,"Summary";#N/A,#N/A,FALSE,"hts"}</definedName>
    <definedName name="OCT" hidden="1">{#N/A,#N/A,FALSE,"BL&amp;GPA";#N/A,#N/A,FALSE,"Summary";#N/A,#N/A,FALSE,"hts"}</definedName>
    <definedName name="oera" hidden="1">{#N/A,#N/A,FALSE,"Aging Summary";#N/A,#N/A,FALSE,"Ratio Analysis";#N/A,#N/A,FALSE,"Test 120 Day Accts";#N/A,#N/A,FALSE,"Tickmarks"}</definedName>
    <definedName name="OGRAD" hidden="1">{#N/A,#N/A,FALSE,"Aging Summary";#N/A,#N/A,FALSE,"Ratio Analysis";#N/A,#N/A,FALSE,"Test 120 Day Accts";#N/A,#N/A,FALSE,"Tickmarks"}</definedName>
    <definedName name="oi" localSheetId="4" hidden="1">{#N/A,#N/A,TRUE,"Cond";#N/A,#N/A,TRUE,"Bce_hold";#N/A,#N/A,TRUE,"eerr_hold";#N/A,#N/A,TRUE,"eerr_prod";#N/A,#N/A,TRUE,"eerr_tipogtos";#N/A,#N/A,TRUE,"Flujo";#N/A,#N/A,TRUE,"Var_Ebit";#N/A,#N/A,TRUE,"Noa";#N/A,#N/A,TRUE,"Var_Noa"}</definedName>
    <definedName name="oi" localSheetId="3" hidden="1">{#N/A,#N/A,TRUE,"Cond";#N/A,#N/A,TRUE,"Bce_hold";#N/A,#N/A,TRUE,"eerr_hold";#N/A,#N/A,TRUE,"eerr_prod";#N/A,#N/A,TRUE,"eerr_tipogtos";#N/A,#N/A,TRUE,"Flujo";#N/A,#N/A,TRUE,"Var_Ebit";#N/A,#N/A,TRUE,"Noa";#N/A,#N/A,TRUE,"Var_Noa"}</definedName>
    <definedName name="oi" localSheetId="2" hidden="1">{#N/A,#N/A,TRUE,"Cond";#N/A,#N/A,TRUE,"Bce_hold";#N/A,#N/A,TRUE,"eerr_hold";#N/A,#N/A,TRUE,"eerr_prod";#N/A,#N/A,TRUE,"eerr_tipogtos";#N/A,#N/A,TRUE,"Flujo";#N/A,#N/A,TRUE,"Var_Ebit";#N/A,#N/A,TRUE,"Noa";#N/A,#N/A,TRUE,"Var_Noa"}</definedName>
    <definedName name="oi" hidden="1">{#N/A,#N/A,TRUE,"Cond";#N/A,#N/A,TRUE,"Bce_hold";#N/A,#N/A,TRUE,"eerr_hold";#N/A,#N/A,TRUE,"eerr_prod";#N/A,#N/A,TRUE,"eerr_tipogtos";#N/A,#N/A,TRUE,"Flujo";#N/A,#N/A,TRUE,"Var_Ebit";#N/A,#N/A,TRUE,"Noa";#N/A,#N/A,TRUE,"Var_Noa"}</definedName>
    <definedName name="ojal" hidden="1">{#N/A,#N/A,FALSE,"Aging Summary";#N/A,#N/A,FALSE,"Ratio Analysis";#N/A,#N/A,FALSE,"Test 120 Day Accts";#N/A,#N/A,FALSE,"Tickmarks"}</definedName>
    <definedName name="ojc" localSheetId="4" hidden="1">{"'S. C. B.'!$E$207"}</definedName>
    <definedName name="ojc" localSheetId="3" hidden="1">{"'S. C. B.'!$E$207"}</definedName>
    <definedName name="ojc" localSheetId="2" hidden="1">{"'S. C. B.'!$E$207"}</definedName>
    <definedName name="ojc" hidden="1">{"'S. C. B.'!$E$207"}</definedName>
    <definedName name="ok" localSheetId="6" hidden="1">{#N/A,#N/A,FALSE,"balance";#N/A,#N/A,FALSE,"PYG"}</definedName>
    <definedName name="ok" localSheetId="1" hidden="1">{#N/A,#N/A,FALSE,"balance";#N/A,#N/A,FALSE,"PYG"}</definedName>
    <definedName name="ok" localSheetId="4" hidden="1">{#N/A,#N/A,FALSE,"balance";#N/A,#N/A,FALSE,"PYG"}</definedName>
    <definedName name="ok" localSheetId="0" hidden="1">{#N/A,#N/A,FALSE,"balance";#N/A,#N/A,FALSE,"PYG"}</definedName>
    <definedName name="ok" localSheetId="3" hidden="1">{#N/A,#N/A,FALSE,"balance";#N/A,#N/A,FALSE,"PYG"}</definedName>
    <definedName name="ok" localSheetId="2" hidden="1">{#N/A,#N/A,FALSE,"balance";#N/A,#N/A,FALSE,"PYG"}</definedName>
    <definedName name="ok" localSheetId="5" hidden="1">{#N/A,#N/A,FALSE,"balance";#N/A,#N/A,FALSE,"PYG"}</definedName>
    <definedName name="ok" localSheetId="7" hidden="1">{#N/A,#N/A,FALSE,"balance";#N/A,#N/A,FALSE,"PYG"}</definedName>
    <definedName name="ok" hidden="1">{#N/A,#N/A,FALSE,"balance";#N/A,#N/A,FALSE,"PYG"}</definedName>
    <definedName name="OLOCASUTO" localSheetId="6" hidden="1">{#N/A,#N/A,FALSE,"balance";#N/A,#N/A,FALSE,"PYG"}</definedName>
    <definedName name="OLOCASUTO" localSheetId="1" hidden="1">{#N/A,#N/A,FALSE,"balance";#N/A,#N/A,FALSE,"PYG"}</definedName>
    <definedName name="OLOCASUTO" localSheetId="4" hidden="1">{#N/A,#N/A,FALSE,"balance";#N/A,#N/A,FALSE,"PYG"}</definedName>
    <definedName name="OLOCASUTO" localSheetId="0" hidden="1">{#N/A,#N/A,FALSE,"balance";#N/A,#N/A,FALSE,"PYG"}</definedName>
    <definedName name="OLOCASUTO" localSheetId="3" hidden="1">{#N/A,#N/A,FALSE,"balance";#N/A,#N/A,FALSE,"PYG"}</definedName>
    <definedName name="OLOCASUTO" localSheetId="2" hidden="1">{#N/A,#N/A,FALSE,"balance";#N/A,#N/A,FALSE,"PYG"}</definedName>
    <definedName name="OLOCASUTO" localSheetId="5" hidden="1">{#N/A,#N/A,FALSE,"balance";#N/A,#N/A,FALSE,"PYG"}</definedName>
    <definedName name="OLOCASUTO" localSheetId="7" hidden="1">{#N/A,#N/A,FALSE,"balance";#N/A,#N/A,FALSE,"PYG"}</definedName>
    <definedName name="OLOCASUTO" hidden="1">{#N/A,#N/A,FALSE,"balance";#N/A,#N/A,FALSE,"PYG"}</definedName>
    <definedName name="onven" localSheetId="6" hidden="1">{#N/A,#N/A,FALSE,"balance";#N/A,#N/A,FALSE,"PYG"}</definedName>
    <definedName name="onven" localSheetId="1" hidden="1">{#N/A,#N/A,FALSE,"balance";#N/A,#N/A,FALSE,"PYG"}</definedName>
    <definedName name="onven" localSheetId="4" hidden="1">{#N/A,#N/A,FALSE,"balance";#N/A,#N/A,FALSE,"PYG"}</definedName>
    <definedName name="onven" localSheetId="0" hidden="1">{#N/A,#N/A,FALSE,"balance";#N/A,#N/A,FALSE,"PYG"}</definedName>
    <definedName name="onven" localSheetId="3" hidden="1">{#N/A,#N/A,FALSE,"balance";#N/A,#N/A,FALSE,"PYG"}</definedName>
    <definedName name="onven" localSheetId="2" hidden="1">{#N/A,#N/A,FALSE,"balance";#N/A,#N/A,FALSE,"PYG"}</definedName>
    <definedName name="onven" localSheetId="5" hidden="1">{#N/A,#N/A,FALSE,"balance";#N/A,#N/A,FALSE,"PYG"}</definedName>
    <definedName name="onven" localSheetId="7" hidden="1">{#N/A,#N/A,FALSE,"balance";#N/A,#N/A,FALSE,"PYG"}</definedName>
    <definedName name="onven" hidden="1">{#N/A,#N/A,FALSE,"balance";#N/A,#N/A,FALSE,"PYG"}</definedName>
    <definedName name="OOO" hidden="1">{#N/A,#N/A,FALSE,"Aging Summary";#N/A,#N/A,FALSE,"Ratio Analysis";#N/A,#N/A,FALSE,"Test 120 Day Accts";#N/A,#N/A,FALSE,"Tickmarks"}</definedName>
    <definedName name="operty" hidden="1">{#N/A,#N/A,FALSE,"Aging Summary";#N/A,#N/A,FALSE,"Ratio Analysis";#N/A,#N/A,FALSE,"Test 120 Day Accts";#N/A,#N/A,FALSE,"Tickmarks"}</definedName>
    <definedName name="OrderTable" localSheetId="4" hidden="1">#REF!</definedName>
    <definedName name="OrderTable" localSheetId="3" hidden="1">#REF!</definedName>
    <definedName name="OrderTable" localSheetId="2" hidden="1">#REF!</definedName>
    <definedName name="OrderTable" hidden="1">#REF!</definedName>
    <definedName name="oso" hidden="1">{#N/A,#N/A,FALSE,"Aging Summary";#N/A,#N/A,FALSE,"Ratio Analysis";#N/A,#N/A,FALSE,"Test 120 Day Accts";#N/A,#N/A,FALSE,"Tickmarks"}</definedName>
    <definedName name="OTRO" localSheetId="4" hidden="1">{#N/A,#N/A,FALSE,"Aging Summary";#N/A,#N/A,FALSE,"Ratio Analysis";#N/A,#N/A,FALSE,"Test 120 Day Accts";#N/A,#N/A,FALSE,"Tickmarks"}</definedName>
    <definedName name="OTRO" localSheetId="3" hidden="1">{#N/A,#N/A,FALSE,"Aging Summary";#N/A,#N/A,FALSE,"Ratio Analysis";#N/A,#N/A,FALSE,"Test 120 Day Accts";#N/A,#N/A,FALSE,"Tickmarks"}</definedName>
    <definedName name="OTRO" localSheetId="2" hidden="1">{#N/A,#N/A,FALSE,"Aging Summary";#N/A,#N/A,FALSE,"Ratio Analysis";#N/A,#N/A,FALSE,"Test 120 Day Accts";#N/A,#N/A,FALSE,"Tickmarks"}</definedName>
    <definedName name="OTRO" hidden="1">{#N/A,#N/A,FALSE,"Aging Summary";#N/A,#N/A,FALSE,"Ratio Analysis";#N/A,#N/A,FALSE,"Test 120 Day Accts";#N/A,#N/A,FALSE,"Tickmarks"}</definedName>
    <definedName name="p" localSheetId="4" hidden="1">{#N/A,#N/A,FALSE,"VENTAS";#N/A,#N/A,FALSE,"U. BRUTA";#N/A,#N/A,FALSE,"G. PERSONAL";#N/A,#N/A,FALSE,"G. OPERACION";#N/A,#N/A,FALSE,"G. DEPYAM";#N/A,#N/A,FALSE,"INGRESOS";#N/A,#N/A,FALSE,"G.o P.1";#N/A,#N/A,FALSE,"3%Informe Junta";#N/A,#N/A,FALSE,"P Y G (2)";#N/A,#N/A,FALSE,"CART. PROV.";#N/A,#N/A,FALSE,"Usecmes";#N/A,#N/A,FALSE,"Usecacu"}</definedName>
    <definedName name="p" localSheetId="3" hidden="1">{#N/A,#N/A,FALSE,"VENTAS";#N/A,#N/A,FALSE,"U. BRUTA";#N/A,#N/A,FALSE,"G. PERSONAL";#N/A,#N/A,FALSE,"G. OPERACION";#N/A,#N/A,FALSE,"G. DEPYAM";#N/A,#N/A,FALSE,"INGRESOS";#N/A,#N/A,FALSE,"G.o P.1";#N/A,#N/A,FALSE,"3%Informe Junta";#N/A,#N/A,FALSE,"P Y G (2)";#N/A,#N/A,FALSE,"CART. PROV.";#N/A,#N/A,FALSE,"Usecmes";#N/A,#N/A,FALSE,"Usecacu"}</definedName>
    <definedName name="p" localSheetId="2" hidden="1">{#N/A,#N/A,FALSE,"VENTAS";#N/A,#N/A,FALSE,"U. BRUTA";#N/A,#N/A,FALSE,"G. PERSONAL";#N/A,#N/A,FALSE,"G. OPERACION";#N/A,#N/A,FALSE,"G. DEPYAM";#N/A,#N/A,FALSE,"INGRESOS";#N/A,#N/A,FALSE,"G.o P.1";#N/A,#N/A,FALSE,"3%Informe Junta";#N/A,#N/A,FALSE,"P Y G (2)";#N/A,#N/A,FALSE,"CART. PROV.";#N/A,#N/A,FALSE,"Usecmes";#N/A,#N/A,FALSE,"Usecacu"}</definedName>
    <definedName name="p" hidden="1">{#N/A,#N/A,FALSE,"VENTAS";#N/A,#N/A,FALSE,"U. BRUTA";#N/A,#N/A,FALSE,"G. PERSONAL";#N/A,#N/A,FALSE,"G. OPERACION";#N/A,#N/A,FALSE,"G. DEPYAM";#N/A,#N/A,FALSE,"INGRESOS";#N/A,#N/A,FALSE,"G.o P.1";#N/A,#N/A,FALSE,"3%Informe Junta";#N/A,#N/A,FALSE,"P Y G (2)";#N/A,#N/A,FALSE,"CART. PROV.";#N/A,#N/A,FALSE,"Usecmes";#N/A,#N/A,FALSE,"Usecacu"}</definedName>
    <definedName name="P_Actual">[11]Parámetros!$E$3</definedName>
    <definedName name="P_Anterior">[11]Parámetros!$E$4</definedName>
    <definedName name="PABN" hidden="1">{#N/A,#N/A,FALSE,"Aging Summary";#N/A,#N/A,FALSE,"Ratio Analysis";#N/A,#N/A,FALSE,"Test 120 Day Accts";#N/A,#N/A,FALSE,"Tickmarks"}</definedName>
    <definedName name="Pal_Workbook_GUID" hidden="1">"R5YQ9RK1SJVQ1YWVMT59KYVQ"</definedName>
    <definedName name="PALENCIA" hidden="1">{#N/A,#N/A,FALSE,"Aging Summary";#N/A,#N/A,FALSE,"Ratio Analysis";#N/A,#N/A,FALSE,"Test 120 Day Accts";#N/A,#N/A,FALSE,"Tickmarks"}</definedName>
    <definedName name="PALTO" hidden="1">{#N/A,#N/A,FALSE,"Aging Summary";#N/A,#N/A,FALSE,"Ratio Analysis";#N/A,#N/A,FALSE,"Test 120 Day Accts";#N/A,#N/A,FALSE,"Tickmarks"}</definedName>
    <definedName name="parce" hidden="1">{#N/A,#N/A,FALSE,"Aging Summary";#N/A,#N/A,FALSE,"Ratio Analysis";#N/A,#N/A,FALSE,"Test 120 Day Accts";#N/A,#N/A,FALSE,"Tickmarks"}</definedName>
    <definedName name="parra" hidden="1">{#N/A,#N/A,FALSE,"Aging Summary";#N/A,#N/A,FALSE,"Ratio Analysis";#N/A,#N/A,FALSE,"Test 120 Day Accts";#N/A,#N/A,FALSE,"Tickmarks"}</definedName>
    <definedName name="particulares1" localSheetId="4" hidden="1">{#N/A,#N/A,FALSE,"Aging Summary";#N/A,#N/A,FALSE,"Ratio Analysis";#N/A,#N/A,FALSE,"Test 120 Day Accts";#N/A,#N/A,FALSE,"Tickmarks"}</definedName>
    <definedName name="particulares1" localSheetId="3" hidden="1">{#N/A,#N/A,FALSE,"Aging Summary";#N/A,#N/A,FALSE,"Ratio Analysis";#N/A,#N/A,FALSE,"Test 120 Day Accts";#N/A,#N/A,FALSE,"Tickmarks"}</definedName>
    <definedName name="particulares1" localSheetId="2" hidden="1">{#N/A,#N/A,FALSE,"Aging Summary";#N/A,#N/A,FALSE,"Ratio Analysis";#N/A,#N/A,FALSE,"Test 120 Day Accts";#N/A,#N/A,FALSE,"Tickmarks"}</definedName>
    <definedName name="particulares1" hidden="1">{#N/A,#N/A,FALSE,"Aging Summary";#N/A,#N/A,FALSE,"Ratio Analysis";#N/A,#N/A,FALSE,"Test 120 Day Accts";#N/A,#N/A,FALSE,"Tickmarks"}</definedName>
    <definedName name="PEPA" hidden="1">{"PYGT",#N/A,FALSE,"PYG";"ACTIT",#N/A,FALSE,"BCE_GRAL-ACTIVO";"PASIT",#N/A,FALSE,"BCE_GRAL-PASIVO-PATRIM";"CAJAT",#N/A,FALSE,"CAJA"}</definedName>
    <definedName name="PERA" hidden="1">{#N/A,#N/A,FALSE,"Aging Summary";#N/A,#N/A,FALSE,"Ratio Analysis";#N/A,#N/A,FALSE,"Test 120 Day Accts";#N/A,#N/A,FALSE,"Tickmarks"}</definedName>
    <definedName name="perico" hidden="1">{#N/A,#N/A,FALSE,"Aging Summary";#N/A,#N/A,FALSE,"Ratio Analysis";#N/A,#N/A,FALSE,"Test 120 Day Accts";#N/A,#N/A,FALSE,"Tickmarks"}</definedName>
    <definedName name="pintada" localSheetId="6" hidden="1">{#N/A,#N/A,FALSE,"balance";#N/A,#N/A,FALSE,"PYG"}</definedName>
    <definedName name="pintada" localSheetId="1" hidden="1">{#N/A,#N/A,FALSE,"balance";#N/A,#N/A,FALSE,"PYG"}</definedName>
    <definedName name="pintada" localSheetId="4" hidden="1">{#N/A,#N/A,FALSE,"balance";#N/A,#N/A,FALSE,"PYG"}</definedName>
    <definedName name="pintada" localSheetId="0" hidden="1">{#N/A,#N/A,FALSE,"balance";#N/A,#N/A,FALSE,"PYG"}</definedName>
    <definedName name="pintada" localSheetId="3" hidden="1">{#N/A,#N/A,FALSE,"balance";#N/A,#N/A,FALSE,"PYG"}</definedName>
    <definedName name="pintada" localSheetId="2" hidden="1">{#N/A,#N/A,FALSE,"balance";#N/A,#N/A,FALSE,"PYG"}</definedName>
    <definedName name="pintada" localSheetId="5" hidden="1">{#N/A,#N/A,FALSE,"balance";#N/A,#N/A,FALSE,"PYG"}</definedName>
    <definedName name="pintada" localSheetId="7" hidden="1">{#N/A,#N/A,FALSE,"balance";#N/A,#N/A,FALSE,"PYG"}</definedName>
    <definedName name="pintada" hidden="1">{#N/A,#N/A,FALSE,"balance";#N/A,#N/A,FALSE,"PYG"}</definedName>
    <definedName name="pl" localSheetId="4" hidden="1">{#N/A,#N/A,FALSE,"Aging Summary";#N/A,#N/A,FALSE,"Ratio Analysis";#N/A,#N/A,FALSE,"Test 120 Day Accts";#N/A,#N/A,FALSE,"Tickmarks"}</definedName>
    <definedName name="pl" localSheetId="3" hidden="1">{#N/A,#N/A,FALSE,"Aging Summary";#N/A,#N/A,FALSE,"Ratio Analysis";#N/A,#N/A,FALSE,"Test 120 Day Accts";#N/A,#N/A,FALSE,"Tickmarks"}</definedName>
    <definedName name="pl" localSheetId="2" hidden="1">{#N/A,#N/A,FALSE,"Aging Summary";#N/A,#N/A,FALSE,"Ratio Analysis";#N/A,#N/A,FALSE,"Test 120 Day Accts";#N/A,#N/A,FALSE,"Tickmarks"}</definedName>
    <definedName name="pl" hidden="1">{#N/A,#N/A,FALSE,"Aging Summary";#N/A,#N/A,FALSE,"Ratio Analysis";#N/A,#N/A,FALSE,"Test 120 Day Accts";#N/A,#N/A,FALSE,"Tickmarks"}</definedName>
    <definedName name="PÑ" hidden="1">{#N/A,#N/A,FALSE,"Aging Summary";#N/A,#N/A,FALSE,"Ratio Analysis";#N/A,#N/A,FALSE,"Test 120 Day Accts";#N/A,#N/A,FALSE,"Tickmarks"}</definedName>
    <definedName name="PO" hidden="1">{#N/A,#N/A,FALSE,"Aging Summary";#N/A,#N/A,FALSE,"Ratio Analysis";#N/A,#N/A,FALSE,"Test 120 Day Accts";#N/A,#N/A,FALSE,"Tickmarks"}</definedName>
    <definedName name="POLIS" hidden="1">{#N/A,#N/A,FALSE,"GRAFICO";#N/A,#N/A,FALSE,"CAJA (2)";#N/A,#N/A,FALSE,"TERCEROS-PROMEDIO";#N/A,#N/A,FALSE,"CAJA";#N/A,#N/A,FALSE,"INGRESOS1995-2003";#N/A,#N/A,FALSE,"GASTOS1995-2003"}</definedName>
    <definedName name="pop" hidden="1">'[12]dic 1999'!$AF$7:$AF$11</definedName>
    <definedName name="pp" localSheetId="6" hidden="1">{#N/A,#N/A,FALSE,"balance";#N/A,#N/A,FALSE,"PYG"}</definedName>
    <definedName name="pp" localSheetId="1" hidden="1">{#N/A,#N/A,FALSE,"balance";#N/A,#N/A,FALSE,"PYG"}</definedName>
    <definedName name="pp" localSheetId="4" hidden="1">{#N/A,#N/A,FALSE,"balance";#N/A,#N/A,FALSE,"PYG"}</definedName>
    <definedName name="pp" localSheetId="0" hidden="1">{#N/A,#N/A,FALSE,"balance";#N/A,#N/A,FALSE,"PYG"}</definedName>
    <definedName name="pp" localSheetId="3" hidden="1">{#N/A,#N/A,FALSE,"balance";#N/A,#N/A,FALSE,"PYG"}</definedName>
    <definedName name="pp" localSheetId="2" hidden="1">{#N/A,#N/A,FALSE,"balance";#N/A,#N/A,FALSE,"PYG"}</definedName>
    <definedName name="pp" localSheetId="5" hidden="1">{#N/A,#N/A,FALSE,"balance";#N/A,#N/A,FALSE,"PYG"}</definedName>
    <definedName name="pp" localSheetId="7" hidden="1">{#N/A,#N/A,FALSE,"balance";#N/A,#N/A,FALSE,"PYG"}</definedName>
    <definedName name="pp" hidden="1">{#N/A,#N/A,FALSE,"balance";#N/A,#N/A,FALSE,"PYG"}</definedName>
    <definedName name="ppppppppppp3" localSheetId="4" hidden="1">{#N/A,#N/A,FALSE,"VENTAS";#N/A,#N/A,FALSE,"U. BRUTA";#N/A,#N/A,FALSE,"G. PERSONAL";#N/A,#N/A,FALSE,"G. OPERACION";#N/A,#N/A,FALSE,"G. DEPYAM";#N/A,#N/A,FALSE,"INGRESOS";#N/A,#N/A,FALSE,"G.o P.1";#N/A,#N/A,FALSE,"3%Informe Junta";#N/A,#N/A,FALSE,"P Y G (2)";#N/A,#N/A,FALSE,"CART. PROV.";#N/A,#N/A,FALSE,"Usecmes";#N/A,#N/A,FALSE,"Usecacu"}</definedName>
    <definedName name="ppppppppppp3" localSheetId="3" hidden="1">{#N/A,#N/A,FALSE,"VENTAS";#N/A,#N/A,FALSE,"U. BRUTA";#N/A,#N/A,FALSE,"G. PERSONAL";#N/A,#N/A,FALSE,"G. OPERACION";#N/A,#N/A,FALSE,"G. DEPYAM";#N/A,#N/A,FALSE,"INGRESOS";#N/A,#N/A,FALSE,"G.o P.1";#N/A,#N/A,FALSE,"3%Informe Junta";#N/A,#N/A,FALSE,"P Y G (2)";#N/A,#N/A,FALSE,"CART. PROV.";#N/A,#N/A,FALSE,"Usecmes";#N/A,#N/A,FALSE,"Usecacu"}</definedName>
    <definedName name="ppppppppppp3" localSheetId="2" hidden="1">{#N/A,#N/A,FALSE,"VENTAS";#N/A,#N/A,FALSE,"U. BRUTA";#N/A,#N/A,FALSE,"G. PERSONAL";#N/A,#N/A,FALSE,"G. OPERACION";#N/A,#N/A,FALSE,"G. DEPYAM";#N/A,#N/A,FALSE,"INGRESOS";#N/A,#N/A,FALSE,"G.o P.1";#N/A,#N/A,FALSE,"3%Informe Junta";#N/A,#N/A,FALSE,"P Y G (2)";#N/A,#N/A,FALSE,"CART. PROV.";#N/A,#N/A,FALSE,"Usecmes";#N/A,#N/A,FALSE,"Usecacu"}</definedName>
    <definedName name="ppppppppppp3" hidden="1">{#N/A,#N/A,FALSE,"VENTAS";#N/A,#N/A,FALSE,"U. BRUTA";#N/A,#N/A,FALSE,"G. PERSONAL";#N/A,#N/A,FALSE,"G. OPERACION";#N/A,#N/A,FALSE,"G. DEPYAM";#N/A,#N/A,FALSE,"INGRESOS";#N/A,#N/A,FALSE,"G.o P.1";#N/A,#N/A,FALSE,"3%Informe Junta";#N/A,#N/A,FALSE,"P Y G (2)";#N/A,#N/A,FALSE,"CART. PROV.";#N/A,#N/A,FALSE,"Usecmes";#N/A,#N/A,FALSE,"Usecacu"}</definedName>
    <definedName name="Pptomol06revisrefino" hidden="1">{"'18'!$A$5:$M$18"}</definedName>
    <definedName name="ProdForm" localSheetId="4" hidden="1">#REF!</definedName>
    <definedName name="ProdForm" localSheetId="3" hidden="1">#REF!</definedName>
    <definedName name="ProdForm" localSheetId="2" hidden="1">#REF!</definedName>
    <definedName name="ProdForm" hidden="1">#REF!</definedName>
    <definedName name="Product" localSheetId="4" hidden="1">#REF!</definedName>
    <definedName name="Product" localSheetId="3" hidden="1">#REF!</definedName>
    <definedName name="Product" localSheetId="2" hidden="1">#REF!</definedName>
    <definedName name="Product" hidden="1">#REF!</definedName>
    <definedName name="PRODUCTO" localSheetId="6" hidden="1">{#N/A,#N/A,FALSE,"balance";#N/A,#N/A,FALSE,"PYG"}</definedName>
    <definedName name="PRODUCTO" localSheetId="1" hidden="1">{#N/A,#N/A,FALSE,"balance";#N/A,#N/A,FALSE,"PYG"}</definedName>
    <definedName name="PRODUCTO" localSheetId="4" hidden="1">{#N/A,#N/A,FALSE,"balance";#N/A,#N/A,FALSE,"PYG"}</definedName>
    <definedName name="PRODUCTO" localSheetId="0" hidden="1">{#N/A,#N/A,FALSE,"balance";#N/A,#N/A,FALSE,"PYG"}</definedName>
    <definedName name="PRODUCTO" localSheetId="3" hidden="1">{#N/A,#N/A,FALSE,"balance";#N/A,#N/A,FALSE,"PYG"}</definedName>
    <definedName name="PRODUCTO" localSheetId="2" hidden="1">{#N/A,#N/A,FALSE,"balance";#N/A,#N/A,FALSE,"PYG"}</definedName>
    <definedName name="PRODUCTO" localSheetId="5" hidden="1">{#N/A,#N/A,FALSE,"balance";#N/A,#N/A,FALSE,"PYG"}</definedName>
    <definedName name="PRODUCTO" localSheetId="7" hidden="1">{#N/A,#N/A,FALSE,"balance";#N/A,#N/A,FALSE,"PYG"}</definedName>
    <definedName name="PRODUCTO" hidden="1">{#N/A,#N/A,FALSE,"balance";#N/A,#N/A,FALSE,"PYG"}</definedName>
    <definedName name="PYG" localSheetId="6" hidden="1">{#N/A,#N/A,FALSE,"balance";#N/A,#N/A,FALSE,"PYG"}</definedName>
    <definedName name="PYG" localSheetId="1" hidden="1">{#N/A,#N/A,FALSE,"balance";#N/A,#N/A,FALSE,"PYG"}</definedName>
    <definedName name="PYG" localSheetId="4" hidden="1">{#N/A,#N/A,FALSE,"balance";#N/A,#N/A,FALSE,"PYG"}</definedName>
    <definedName name="PYG" localSheetId="0" hidden="1">{#N/A,#N/A,FALSE,"balance";#N/A,#N/A,FALSE,"PYG"}</definedName>
    <definedName name="PYG" localSheetId="3" hidden="1">{#N/A,#N/A,FALSE,"balance";#N/A,#N/A,FALSE,"PYG"}</definedName>
    <definedName name="PYG" localSheetId="2" hidden="1">{#N/A,#N/A,FALSE,"balance";#N/A,#N/A,FALSE,"PYG"}</definedName>
    <definedName name="PYG" localSheetId="5" hidden="1">{#N/A,#N/A,FALSE,"balance";#N/A,#N/A,FALSE,"PYG"}</definedName>
    <definedName name="PYG" localSheetId="7" hidden="1">{#N/A,#N/A,FALSE,"balance";#N/A,#N/A,FALSE,"PYG"}</definedName>
    <definedName name="PYG" hidden="1">{#N/A,#N/A,FALSE,"balance";#N/A,#N/A,FALSE,"PYG"}</definedName>
    <definedName name="pygnuevo" hidden="1">{#N/A,#N/A,FALSE,"balance";#N/A,#N/A,FALSE,"PYG"}</definedName>
    <definedName name="q" localSheetId="6" hidden="1">{#N/A,#N/A,FALSE,"Aging Summary";#N/A,#N/A,FALSE,"Ratio Analysis";#N/A,#N/A,FALSE,"Test 120 Day Accts";#N/A,#N/A,FALSE,"Tickmarks"}</definedName>
    <definedName name="q" localSheetId="1" hidden="1">{#N/A,#N/A,FALSE,"Aging Summary";#N/A,#N/A,FALSE,"Ratio Analysis";#N/A,#N/A,FALSE,"Test 120 Day Accts";#N/A,#N/A,FALSE,"Tickmarks"}</definedName>
    <definedName name="q" localSheetId="4" hidden="1">{#N/A,#N/A,FALSE,"Aging Summary";#N/A,#N/A,FALSE,"Ratio Analysis";#N/A,#N/A,FALSE,"Test 120 Day Accts";#N/A,#N/A,FALSE,"Tickmarks"}</definedName>
    <definedName name="q" localSheetId="0" hidden="1">{#N/A,#N/A,FALSE,"Aging Summary";#N/A,#N/A,FALSE,"Ratio Analysis";#N/A,#N/A,FALSE,"Test 120 Day Accts";#N/A,#N/A,FALSE,"Tickmarks"}</definedName>
    <definedName name="q" localSheetId="3" hidden="1">{#N/A,#N/A,FALSE,"Aging Summary";#N/A,#N/A,FALSE,"Ratio Analysis";#N/A,#N/A,FALSE,"Test 120 Day Accts";#N/A,#N/A,FALSE,"Tickmarks"}</definedName>
    <definedName name="q" localSheetId="2" hidden="1">{#N/A,#N/A,FALSE,"Aging Summary";#N/A,#N/A,FALSE,"Ratio Analysis";#N/A,#N/A,FALSE,"Test 120 Day Accts";#N/A,#N/A,FALSE,"Tickmarks"}</definedName>
    <definedName name="q" localSheetId="5" hidden="1">{#N/A,#N/A,FALSE,"Aging Summary";#N/A,#N/A,FALSE,"Ratio Analysis";#N/A,#N/A,FALSE,"Test 120 Day Accts";#N/A,#N/A,FALSE,"Tickmarks"}</definedName>
    <definedName name="q" localSheetId="7" hidden="1">{#N/A,#N/A,FALSE,"Aging Summary";#N/A,#N/A,FALSE,"Ratio Analysis";#N/A,#N/A,FALSE,"Test 120 Day Accts";#N/A,#N/A,FALSE,"Tickmarks"}</definedName>
    <definedName name="q" hidden="1">{#N/A,#N/A,FALSE,"Aging Summary";#N/A,#N/A,FALSE,"Ratio Analysis";#N/A,#N/A,FALSE,"Test 120 Day Accts";#N/A,#N/A,FALSE,"Tickmarks"}</definedName>
    <definedName name="QPI" hidden="1">{#N/A,#N/A,FALSE,"Aging Summary";#N/A,#N/A,FALSE,"Ratio Analysis";#N/A,#N/A,FALSE,"Test 120 Day Accts";#N/A,#N/A,FALSE,"Tickmarks"}</definedName>
    <definedName name="qq" localSheetId="4" hidden="1">{#N/A,#N/A,FALSE,"balance";#N/A,#N/A,FALSE,"PYG"}</definedName>
    <definedName name="qq" localSheetId="3" hidden="1">{#N/A,#N/A,FALSE,"balance";#N/A,#N/A,FALSE,"PYG"}</definedName>
    <definedName name="qq" localSheetId="2" hidden="1">{#N/A,#N/A,FALSE,"balance";#N/A,#N/A,FALSE,"PYG"}</definedName>
    <definedName name="qq" hidden="1">{#N/A,#N/A,FALSE,"balance";#N/A,#N/A,FALSE,"PYG"}</definedName>
    <definedName name="QQQQQQQ" localSheetId="4" hidden="1">#REF!</definedName>
    <definedName name="QQQQQQQ" localSheetId="3" hidden="1">#REF!</definedName>
    <definedName name="QQQQQQQ" localSheetId="2" hidden="1">#REF!</definedName>
    <definedName name="QQQQQQQ" hidden="1">#REF!</definedName>
    <definedName name="QUESO" hidden="1">{"PYGT",#N/A,FALSE,"PYG";"ACTIT",#N/A,FALSE,"BCE_GRAL-ACTIVO";"PASIT",#N/A,FALSE,"BCE_GRAL-PASIVO-PATRIM";"CAJAT",#N/A,FALSE,"CAJA"}</definedName>
    <definedName name="RAFA" localSheetId="4" hidden="1">{#N/A,#N/A,FALSE,"VENTAS";#N/A,#N/A,FALSE,"U. BRUTA";#N/A,#N/A,FALSE,"G. PERSONAL";#N/A,#N/A,FALSE,"G. OPERACION";#N/A,#N/A,FALSE,"G. DEPYAM";#N/A,#N/A,FALSE,"INGRESOS";#N/A,#N/A,FALSE,"G.o P.1";#N/A,#N/A,FALSE,"3%Informe Junta";#N/A,#N/A,FALSE,"P Y G (2)";#N/A,#N/A,FALSE,"CART. PROV.";#N/A,#N/A,FALSE,"Usecmes";#N/A,#N/A,FALSE,"Usecacu"}</definedName>
    <definedName name="RAFA" localSheetId="3" hidden="1">{#N/A,#N/A,FALSE,"VENTAS";#N/A,#N/A,FALSE,"U. BRUTA";#N/A,#N/A,FALSE,"G. PERSONAL";#N/A,#N/A,FALSE,"G. OPERACION";#N/A,#N/A,FALSE,"G. DEPYAM";#N/A,#N/A,FALSE,"INGRESOS";#N/A,#N/A,FALSE,"G.o P.1";#N/A,#N/A,FALSE,"3%Informe Junta";#N/A,#N/A,FALSE,"P Y G (2)";#N/A,#N/A,FALSE,"CART. PROV.";#N/A,#N/A,FALSE,"Usecmes";#N/A,#N/A,FALSE,"Usecacu"}</definedName>
    <definedName name="RAFA" localSheetId="2" hidden="1">{#N/A,#N/A,FALSE,"VENTAS";#N/A,#N/A,FALSE,"U. BRUTA";#N/A,#N/A,FALSE,"G. PERSONAL";#N/A,#N/A,FALSE,"G. OPERACION";#N/A,#N/A,FALSE,"G. DEPYAM";#N/A,#N/A,FALSE,"INGRESOS";#N/A,#N/A,FALSE,"G.o P.1";#N/A,#N/A,FALSE,"3%Informe Junta";#N/A,#N/A,FALSE,"P Y G (2)";#N/A,#N/A,FALSE,"CART. PROV.";#N/A,#N/A,FALSE,"Usecmes";#N/A,#N/A,FALSE,"Usecacu"}</definedName>
    <definedName name="RAFA" hidden="1">{#N/A,#N/A,FALSE,"VENTAS";#N/A,#N/A,FALSE,"U. BRUTA";#N/A,#N/A,FALSE,"G. PERSONAL";#N/A,#N/A,FALSE,"G. OPERACION";#N/A,#N/A,FALSE,"G. DEPYAM";#N/A,#N/A,FALSE,"INGRESOS";#N/A,#N/A,FALSE,"G.o P.1";#N/A,#N/A,FALSE,"3%Informe Junta";#N/A,#N/A,FALSE,"P Y G (2)";#N/A,#N/A,FALSE,"CART. PROV.";#N/A,#N/A,FALSE,"Usecmes";#N/A,#N/A,FALSE,"Usecacu"}</definedName>
    <definedName name="RAIZ" hidden="1">{#N/A,#N/A,FALSE,"Aging Summary";#N/A,#N/A,FALSE,"Ratio Analysis";#N/A,#N/A,FALSE,"Test 120 Day Accts";#N/A,#N/A,FALSE,"Tickmarks"}</definedName>
    <definedName name="RCArea" localSheetId="4" hidden="1">#REF!</definedName>
    <definedName name="RCArea" localSheetId="3" hidden="1">#REF!</definedName>
    <definedName name="RCArea" localSheetId="2" hidden="1">#REF!</definedName>
    <definedName name="RCArea" hidden="1">#REF!</definedName>
    <definedName name="re" localSheetId="6" hidden="1">{#N/A,#N/A,FALSE,"balance";#N/A,#N/A,FALSE,"PYG"}</definedName>
    <definedName name="re" localSheetId="1" hidden="1">{#N/A,#N/A,FALSE,"balance";#N/A,#N/A,FALSE,"PYG"}</definedName>
    <definedName name="re" localSheetId="4" hidden="1">{#N/A,#N/A,FALSE,"balance";#N/A,#N/A,FALSE,"PYG"}</definedName>
    <definedName name="re" localSheetId="0" hidden="1">{#N/A,#N/A,FALSE,"balance";#N/A,#N/A,FALSE,"PYG"}</definedName>
    <definedName name="re" localSheetId="3" hidden="1">{#N/A,#N/A,FALSE,"balance";#N/A,#N/A,FALSE,"PYG"}</definedName>
    <definedName name="re" localSheetId="2" hidden="1">{#N/A,#N/A,FALSE,"balance";#N/A,#N/A,FALSE,"PYG"}</definedName>
    <definedName name="re" localSheetId="5" hidden="1">{#N/A,#N/A,FALSE,"balance";#N/A,#N/A,FALSE,"PYG"}</definedName>
    <definedName name="re" localSheetId="7" hidden="1">{#N/A,#N/A,FALSE,"balance";#N/A,#N/A,FALSE,"PYG"}</definedName>
    <definedName name="re" hidden="1">{#N/A,#N/A,FALSE,"balance";#N/A,#N/A,FALSE,"PYG"}</definedName>
    <definedName name="REA" localSheetId="4" hidden="1">{"'S. C. B.'!$E$207"}</definedName>
    <definedName name="REA" localSheetId="3" hidden="1">{"'S. C. B.'!$E$207"}</definedName>
    <definedName name="REA" localSheetId="2" hidden="1">{"'S. C. B.'!$E$207"}</definedName>
    <definedName name="REA" hidden="1">{"'S. C. B.'!$E$207"}</definedName>
    <definedName name="reajuste" localSheetId="4" hidden="1">{"'S. C. B.'!$E$207"}</definedName>
    <definedName name="reajuste" localSheetId="3" hidden="1">{"'S. C. B.'!$E$207"}</definedName>
    <definedName name="reajuste" localSheetId="2" hidden="1">{"'S. C. B.'!$E$207"}</definedName>
    <definedName name="reajuste" hidden="1">{"'S. C. B.'!$E$207"}</definedName>
    <definedName name="REE" hidden="1">{"'18'!$A$5:$M$18"}</definedName>
    <definedName name="rei" hidden="1">{"'18'!$A$5:$M$18"}</definedName>
    <definedName name="RENTA" localSheetId="4" hidden="1">{"'S. C. B.'!$E$207"}</definedName>
    <definedName name="RENTA" localSheetId="3" hidden="1">{"'S. C. B.'!$E$207"}</definedName>
    <definedName name="RENTA" localSheetId="2" hidden="1">{"'S. C. B.'!$E$207"}</definedName>
    <definedName name="RENTA" hidden="1">{"'S. C. B.'!$E$207"}</definedName>
    <definedName name="res" hidden="1">{#N/A,#N/A,FALSE,"GRAFICO";#N/A,#N/A,FALSE,"CAJA (2)";#N/A,#N/A,FALSE,"TERCEROS-PROMEDIO";#N/A,#N/A,FALSE,"CAJA";#N/A,#N/A,FALSE,"INGRESOS1995-2003";#N/A,#N/A,FALSE,"GASTOS1995-2003"}</definedName>
    <definedName name="RESUMEN" localSheetId="4" hidden="1">{"'S. C. B.'!$E$207"}</definedName>
    <definedName name="RESUMEN" localSheetId="3" hidden="1">{"'S. C. B.'!$E$207"}</definedName>
    <definedName name="RESUMEN" localSheetId="2" hidden="1">{"'S. C. B.'!$E$207"}</definedName>
    <definedName name="RESUMEN" hidden="1">{"'S. C. B.'!$E$207"}</definedName>
    <definedName name="ret" hidden="1">{#N/A,#N/A,FALSE,"Aging Summary";#N/A,#N/A,FALSE,"Ratio Analysis";#N/A,#N/A,FALSE,"Test 120 Day Accts";#N/A,#N/A,FALSE,"Tickmarks"}</definedName>
    <definedName name="retefuente" hidden="1">{#N/A,#N/A,FALSE,"balance";#N/A,#N/A,FALSE,"PYG"}</definedName>
    <definedName name="retefuente2" hidden="1">{#N/A,#N/A,FALSE,"balance";#N/A,#N/A,FALSE,"PYG"}</definedName>
    <definedName name="reti" hidden="1">{"'18'!$A$5:$M$18"}</definedName>
    <definedName name="retiro" hidden="1">{"'18'!$A$5:$M$18"}</definedName>
    <definedName name="RF" localSheetId="4" hidden="1">{#N/A,#N/A,FALSE,"Aging Summary";#N/A,#N/A,FALSE,"Ratio Analysis";#N/A,#N/A,FALSE,"Test 120 Day Accts";#N/A,#N/A,FALSE,"Tickmarks"}</definedName>
    <definedName name="RF" localSheetId="3" hidden="1">{#N/A,#N/A,FALSE,"Aging Summary";#N/A,#N/A,FALSE,"Ratio Analysis";#N/A,#N/A,FALSE,"Test 120 Day Accts";#N/A,#N/A,FALSE,"Tickmarks"}</definedName>
    <definedName name="RF" localSheetId="2" hidden="1">{#N/A,#N/A,FALSE,"Aging Summary";#N/A,#N/A,FALSE,"Ratio Analysis";#N/A,#N/A,FALSE,"Test 120 Day Accts";#N/A,#N/A,FALSE,"Tickmarks"}</definedName>
    <definedName name="RF" hidden="1">{#N/A,#N/A,FALSE,"Aging Summary";#N/A,#N/A,FALSE,"Ratio Analysis";#N/A,#N/A,FALSE,"Test 120 Day Accts";#N/A,#N/A,FALSE,"Tickmarks"}</definedName>
    <definedName name="rfg" localSheetId="4" hidden="1">{#N/A,#N/A,TRUE,"TAPA ";"INDICE_CLP",#N/A,TRUE,"Indice";#N/A,#N/A,TRUE,"Cond";#N/A,#N/A,TRUE,"Bce_hold";#N/A,#N/A,TRUE,"eerr_hold";#N/A,#N/A,TRUE,"eerr_prod";#N/A,#N/A,TRUE,"eerr_tipogtos";#N/A,#N/A,TRUE,"Flujo";#N/A,#N/A,TRUE,"Var_Ebit";#N/A,#N/A,TRUE,"Noa";#N/A,#N/A,TRUE,"Var_Noa"}</definedName>
    <definedName name="rfg" localSheetId="3" hidden="1">{#N/A,#N/A,TRUE,"TAPA ";"INDICE_CLP",#N/A,TRUE,"Indice";#N/A,#N/A,TRUE,"Cond";#N/A,#N/A,TRUE,"Bce_hold";#N/A,#N/A,TRUE,"eerr_hold";#N/A,#N/A,TRUE,"eerr_prod";#N/A,#N/A,TRUE,"eerr_tipogtos";#N/A,#N/A,TRUE,"Flujo";#N/A,#N/A,TRUE,"Var_Ebit";#N/A,#N/A,TRUE,"Noa";#N/A,#N/A,TRUE,"Var_Noa"}</definedName>
    <definedName name="rfg" localSheetId="2" hidden="1">{#N/A,#N/A,TRUE,"TAPA ";"INDICE_CLP",#N/A,TRUE,"Indice";#N/A,#N/A,TRUE,"Cond";#N/A,#N/A,TRUE,"Bce_hold";#N/A,#N/A,TRUE,"eerr_hold";#N/A,#N/A,TRUE,"eerr_prod";#N/A,#N/A,TRUE,"eerr_tipogtos";#N/A,#N/A,TRUE,"Flujo";#N/A,#N/A,TRUE,"Var_Ebit";#N/A,#N/A,TRUE,"Noa";#N/A,#N/A,TRUE,"Var_Noa"}</definedName>
    <definedName name="rfg" hidden="1">{#N/A,#N/A,TRUE,"TAPA ";"INDICE_CLP",#N/A,TRUE,"Indice";#N/A,#N/A,TRUE,"Cond";#N/A,#N/A,TRUE,"Bce_hold";#N/A,#N/A,TRUE,"eerr_hold";#N/A,#N/A,TRUE,"eerr_prod";#N/A,#N/A,TRUE,"eerr_tipogtos";#N/A,#N/A,TRUE,"Flujo";#N/A,#N/A,TRUE,"Var_Ebit";#N/A,#N/A,TRUE,"Noa";#N/A,#N/A,TRUE,"Var_Noa"}</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141597</definedName>
    <definedName name="RiskHasSettings" hidden="1">5</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TRUE</definedName>
    <definedName name="RiskUseMultipleCPUs" hidden="1">FALSE</definedName>
    <definedName name="rr" hidden="1">{#N/A,#N/A,FALSE,"balance";#N/A,#N/A,FALSE,"PYG"}</definedName>
    <definedName name="rrr" hidden="1">{#N/A,#N/A,FALSE,"balance";#N/A,#N/A,FALSE,"PYG"}</definedName>
    <definedName name="rrrrrrrrrrr" localSheetId="4" hidden="1">{#N/A,#N/A,FALSE,"GRAFICO";#N/A,#N/A,FALSE,"CAJA (2)";#N/A,#N/A,FALSE,"TERCEROS-PROMEDIO";#N/A,#N/A,FALSE,"CAJA";#N/A,#N/A,FALSE,"INGRESOS1995-2003";#N/A,#N/A,FALSE,"GASTOS1995-2003"}</definedName>
    <definedName name="rrrrrrrrrrr" localSheetId="3" hidden="1">{#N/A,#N/A,FALSE,"GRAFICO";#N/A,#N/A,FALSE,"CAJA (2)";#N/A,#N/A,FALSE,"TERCEROS-PROMEDIO";#N/A,#N/A,FALSE,"CAJA";#N/A,#N/A,FALSE,"INGRESOS1995-2003";#N/A,#N/A,FALSE,"GASTOS1995-2003"}</definedName>
    <definedName name="rrrrrrrrrrr" localSheetId="2" hidden="1">{#N/A,#N/A,FALSE,"GRAFICO";#N/A,#N/A,FALSE,"CAJA (2)";#N/A,#N/A,FALSE,"TERCEROS-PROMEDIO";#N/A,#N/A,FALSE,"CAJA";#N/A,#N/A,FALSE,"INGRESOS1995-2003";#N/A,#N/A,FALSE,"GASTOS1995-2003"}</definedName>
    <definedName name="rrrrrrrrrrr" hidden="1">{#N/A,#N/A,FALSE,"GRAFICO";#N/A,#N/A,FALSE,"CAJA (2)";#N/A,#N/A,FALSE,"TERCEROS-PROMEDIO";#N/A,#N/A,FALSE,"CAJA";#N/A,#N/A,FALSE,"INGRESOS1995-2003";#N/A,#N/A,FALSE,"GASTOS1995-2003"}</definedName>
    <definedName name="rrtrr" hidden="1">{"PYGT",#N/A,FALSE,"PYG";"ACTIT",#N/A,FALSE,"BCE_GRAL-ACTIVO";"PASIT",#N/A,FALSE,"BCE_GRAL-PASIVO-PATRIM";"CAJAT",#N/A,FALSE,"CAJA"}</definedName>
    <definedName name="RT" localSheetId="4" hidden="1">{"'S. C. B.'!$E$207"}</definedName>
    <definedName name="RT" localSheetId="3" hidden="1">{"'S. C. B.'!$E$207"}</definedName>
    <definedName name="RT" localSheetId="2" hidden="1">{"'S. C. B.'!$E$207"}</definedName>
    <definedName name="RT" hidden="1">{"'S. C. B.'!$E$207"}</definedName>
    <definedName name="RTS" hidden="1">{#N/A,#N/A,FALSE,"Aging Summary";#N/A,#N/A,FALSE,"Ratio Analysis";#N/A,#N/A,FALSE,"Test 120 Day Accts";#N/A,#N/A,FALSE,"Tickmarks"}</definedName>
    <definedName name="RzaFA" localSheetId="4" hidden="1">{#N/A,#N/A,FALSE,"VENTAS";#N/A,#N/A,FALSE,"U. BRUTA";#N/A,#N/A,FALSE,"G. PERSONAL";#N/A,#N/A,FALSE,"G. OPERACION";#N/A,#N/A,FALSE,"G. DEPYAM";#N/A,#N/A,FALSE,"INGRESOS";#N/A,#N/A,FALSE,"G.o P.1";#N/A,#N/A,FALSE,"3%Informe Junta";#N/A,#N/A,FALSE,"P Y G (2)";#N/A,#N/A,FALSE,"CART. PROV.";#N/A,#N/A,FALSE,"Usecmes";#N/A,#N/A,FALSE,"Usecacu"}</definedName>
    <definedName name="RzaFA" localSheetId="3" hidden="1">{#N/A,#N/A,FALSE,"VENTAS";#N/A,#N/A,FALSE,"U. BRUTA";#N/A,#N/A,FALSE,"G. PERSONAL";#N/A,#N/A,FALSE,"G. OPERACION";#N/A,#N/A,FALSE,"G. DEPYAM";#N/A,#N/A,FALSE,"INGRESOS";#N/A,#N/A,FALSE,"G.o P.1";#N/A,#N/A,FALSE,"3%Informe Junta";#N/A,#N/A,FALSE,"P Y G (2)";#N/A,#N/A,FALSE,"CART. PROV.";#N/A,#N/A,FALSE,"Usecmes";#N/A,#N/A,FALSE,"Usecacu"}</definedName>
    <definedName name="RzaFA" localSheetId="2" hidden="1">{#N/A,#N/A,FALSE,"VENTAS";#N/A,#N/A,FALSE,"U. BRUTA";#N/A,#N/A,FALSE,"G. PERSONAL";#N/A,#N/A,FALSE,"G. OPERACION";#N/A,#N/A,FALSE,"G. DEPYAM";#N/A,#N/A,FALSE,"INGRESOS";#N/A,#N/A,FALSE,"G.o P.1";#N/A,#N/A,FALSE,"3%Informe Junta";#N/A,#N/A,FALSE,"P Y G (2)";#N/A,#N/A,FALSE,"CART. PROV.";#N/A,#N/A,FALSE,"Usecmes";#N/A,#N/A,FALSE,"Usecacu"}</definedName>
    <definedName name="RzaFA" hidden="1">{#N/A,#N/A,FALSE,"VENTAS";#N/A,#N/A,FALSE,"U. BRUTA";#N/A,#N/A,FALSE,"G. PERSONAL";#N/A,#N/A,FALSE,"G. OPERACION";#N/A,#N/A,FALSE,"G. DEPYAM";#N/A,#N/A,FALSE,"INGRESOS";#N/A,#N/A,FALSE,"G.o P.1";#N/A,#N/A,FALSE,"3%Informe Junta";#N/A,#N/A,FALSE,"P Y G (2)";#N/A,#N/A,FALSE,"CART. PROV.";#N/A,#N/A,FALSE,"Usecmes";#N/A,#N/A,FALSE,"Usecacu"}</definedName>
    <definedName name="s" localSheetId="1" hidden="1">{#N/A,#N/A,FALSE,"balance";#N/A,#N/A,FALSE,"PYG"}</definedName>
    <definedName name="s" localSheetId="4" hidden="1">{#N/A,#N/A,FALSE,"balance";#N/A,#N/A,FALSE,"PYG"}</definedName>
    <definedName name="s" localSheetId="0" hidden="1">{#N/A,#N/A,FALSE,"balance";#N/A,#N/A,FALSE,"PYG"}</definedName>
    <definedName name="s" localSheetId="3" hidden="1">{#N/A,#N/A,FALSE,"balance";#N/A,#N/A,FALSE,"PYG"}</definedName>
    <definedName name="s" localSheetId="2" hidden="1">{#N/A,#N/A,FALSE,"balance";#N/A,#N/A,FALSE,"PYG"}</definedName>
    <definedName name="s" hidden="1">{#N/A,#N/A,FALSE,"balance";#N/A,#N/A,FALSE,"PYG"}</definedName>
    <definedName name="SAD" localSheetId="4" hidden="1">{#N/A,#N/A,FALSE,"Aging Summary";#N/A,#N/A,FALSE,"Ratio Analysis";#N/A,#N/A,FALSE,"Test 120 Day Accts";#N/A,#N/A,FALSE,"Tickmarks"}</definedName>
    <definedName name="SAD" localSheetId="3" hidden="1">{#N/A,#N/A,FALSE,"Aging Summary";#N/A,#N/A,FALSE,"Ratio Analysis";#N/A,#N/A,FALSE,"Test 120 Day Accts";#N/A,#N/A,FALSE,"Tickmarks"}</definedName>
    <definedName name="SAD" localSheetId="2" hidden="1">{#N/A,#N/A,FALSE,"Aging Summary";#N/A,#N/A,FALSE,"Ratio Analysis";#N/A,#N/A,FALSE,"Test 120 Day Accts";#N/A,#N/A,FALSE,"Tickmarks"}</definedName>
    <definedName name="SAD" hidden="1">{#N/A,#N/A,FALSE,"Aging Summary";#N/A,#N/A,FALSE,"Ratio Analysis";#N/A,#N/A,FALSE,"Test 120 Day Accts";#N/A,#N/A,FALSE,"Tickmarks"}</definedName>
    <definedName name="sadadd" localSheetId="4" hidden="1">{#N/A,#N/A,TRUE,"Cond";#N/A,#N/A,TRUE,"Bce_hold";#N/A,#N/A,TRUE,"eerr_hold";#N/A,#N/A,TRUE,"eerr_prod";#N/A,#N/A,TRUE,"eerr_tipogtos";#N/A,#N/A,TRUE,"Flujo";#N/A,#N/A,TRUE,"Var_Ebit";#N/A,#N/A,TRUE,"Noa";#N/A,#N/A,TRUE,"Var_Noa"}</definedName>
    <definedName name="sadadd" localSheetId="3" hidden="1">{#N/A,#N/A,TRUE,"Cond";#N/A,#N/A,TRUE,"Bce_hold";#N/A,#N/A,TRUE,"eerr_hold";#N/A,#N/A,TRUE,"eerr_prod";#N/A,#N/A,TRUE,"eerr_tipogtos";#N/A,#N/A,TRUE,"Flujo";#N/A,#N/A,TRUE,"Var_Ebit";#N/A,#N/A,TRUE,"Noa";#N/A,#N/A,TRUE,"Var_Noa"}</definedName>
    <definedName name="sadadd" localSheetId="2" hidden="1">{#N/A,#N/A,TRUE,"Cond";#N/A,#N/A,TRUE,"Bce_hold";#N/A,#N/A,TRUE,"eerr_hold";#N/A,#N/A,TRUE,"eerr_prod";#N/A,#N/A,TRUE,"eerr_tipogtos";#N/A,#N/A,TRUE,"Flujo";#N/A,#N/A,TRUE,"Var_Ebit";#N/A,#N/A,TRUE,"Noa";#N/A,#N/A,TRUE,"Var_Noa"}</definedName>
    <definedName name="sadadd" hidden="1">{#N/A,#N/A,TRUE,"Cond";#N/A,#N/A,TRUE,"Bce_hold";#N/A,#N/A,TRUE,"eerr_hold";#N/A,#N/A,TRUE,"eerr_prod";#N/A,#N/A,TRUE,"eerr_tipogtos";#N/A,#N/A,TRUE,"Flujo";#N/A,#N/A,TRUE,"Var_Ebit";#N/A,#N/A,TRUE,"Noa";#N/A,#N/A,TRUE,"Var_Noa"}</definedName>
    <definedName name="SALDOSAP" hidden="1">{"PYGS",#N/A,FALSE,"PYG";"ACTIS",#N/A,FALSE,"BCE_GRAL-ACTIVO";"PASIS",#N/A,FALSE,"BCE_GRAL-PASIVO-PATRIM";"CAJAS",#N/A,FALSE,"CAJA"}</definedName>
    <definedName name="SAPBEXhrIndnt" hidden="1">1</definedName>
    <definedName name="SAPBEXrevision" hidden="1">1</definedName>
    <definedName name="SAPBEXsysID" hidden="1">"BWP"</definedName>
    <definedName name="SAPBEXwbID" hidden="1">"3PAIY8A0PAFUN0NVJ1AMBH10D"</definedName>
    <definedName name="sd" hidden="1">{#N/A,#N/A,FALSE,"Aging Summary";#N/A,#N/A,FALSE,"Ratio Analysis";#N/A,#N/A,FALSE,"Test 120 Day Accts";#N/A,#N/A,FALSE,"Tickmarks"}</definedName>
    <definedName name="sdsdsd" localSheetId="4" hidden="1">#REF!</definedName>
    <definedName name="sdsdsd" localSheetId="3" hidden="1">#REF!</definedName>
    <definedName name="sdsdsd" localSheetId="2" hidden="1">#REF!</definedName>
    <definedName name="sdsdsd" hidden="1">#REF!</definedName>
    <definedName name="SELLO" hidden="1">{#N/A,#N/A,FALSE,"Aging Summary";#N/A,#N/A,FALSE,"Ratio Analysis";#N/A,#N/A,FALSE,"Test 120 Day Accts";#N/A,#N/A,FALSE,"Tickmarks"}</definedName>
    <definedName name="sencount" hidden="1">1</definedName>
    <definedName name="servicios" hidden="1">{#N/A,#N/A,FALSE,"Aging Summary";#N/A,#N/A,FALSE,"Ratio Analysis";#N/A,#N/A,FALSE,"Test 120 Day Accts";#N/A,#N/A,FALSE,"Tickmarks"}</definedName>
    <definedName name="sjjsjs" localSheetId="4" hidden="1">{#N/A,#N/A,TRUE,"TAPA ";"INDICE_CLP",#N/A,TRUE,"Indice";#N/A,#N/A,TRUE,"Cond";#N/A,#N/A,TRUE,"Bce_hold";#N/A,#N/A,TRUE,"eerr_hold";#N/A,#N/A,TRUE,"eerr_prod";#N/A,#N/A,TRUE,"eerr_tipogtos";#N/A,#N/A,TRUE,"Flujo";#N/A,#N/A,TRUE,"Var_Ebit";#N/A,#N/A,TRUE,"Noa";#N/A,#N/A,TRUE,"Var_Noa"}</definedName>
    <definedName name="sjjsjs" localSheetId="3" hidden="1">{#N/A,#N/A,TRUE,"TAPA ";"INDICE_CLP",#N/A,TRUE,"Indice";#N/A,#N/A,TRUE,"Cond";#N/A,#N/A,TRUE,"Bce_hold";#N/A,#N/A,TRUE,"eerr_hold";#N/A,#N/A,TRUE,"eerr_prod";#N/A,#N/A,TRUE,"eerr_tipogtos";#N/A,#N/A,TRUE,"Flujo";#N/A,#N/A,TRUE,"Var_Ebit";#N/A,#N/A,TRUE,"Noa";#N/A,#N/A,TRUE,"Var_Noa"}</definedName>
    <definedName name="sjjsjs" localSheetId="2" hidden="1">{#N/A,#N/A,TRUE,"TAPA ";"INDICE_CLP",#N/A,TRUE,"Indice";#N/A,#N/A,TRUE,"Cond";#N/A,#N/A,TRUE,"Bce_hold";#N/A,#N/A,TRUE,"eerr_hold";#N/A,#N/A,TRUE,"eerr_prod";#N/A,#N/A,TRUE,"eerr_tipogtos";#N/A,#N/A,TRUE,"Flujo";#N/A,#N/A,TRUE,"Var_Ebit";#N/A,#N/A,TRUE,"Noa";#N/A,#N/A,TRUE,"Var_Noa"}</definedName>
    <definedName name="sjjsjs" hidden="1">{#N/A,#N/A,TRUE,"TAPA ";"INDICE_CLP",#N/A,TRUE,"Indice";#N/A,#N/A,TRUE,"Cond";#N/A,#N/A,TRUE,"Bce_hold";#N/A,#N/A,TRUE,"eerr_hold";#N/A,#N/A,TRUE,"eerr_prod";#N/A,#N/A,TRUE,"eerr_tipogtos";#N/A,#N/A,TRUE,"Flujo";#N/A,#N/A,TRUE,"Var_Ebit";#N/A,#N/A,TRUE,"Noa";#N/A,#N/A,TRUE,"Var_Noa"}</definedName>
    <definedName name="sjjskjs" localSheetId="4" hidden="1">{"INDICE_USD",#N/A,FALSE,"Indice";#N/A,#N/A,FALSE,"Condusd";#N/A,#N/A,FALSE,"Bce_holdusd";#N/A,#N/A,FALSE,"eerr_holdusd";#N/A,#N/A,FALSE,"eerr_produsd";#N/A,#N/A,FALSE,"eerr_tipogtosusd";#N/A,#N/A,FALSE,"Flujousd";#N/A,#N/A,FALSE,"Var_Ebitusd";#N/A,#N/A,FALSE,"Noausd";#N/A,#N/A,FALSE,"Var_Noausd"}</definedName>
    <definedName name="sjjskjs" localSheetId="3" hidden="1">{"INDICE_USD",#N/A,FALSE,"Indice";#N/A,#N/A,FALSE,"Condusd";#N/A,#N/A,FALSE,"Bce_holdusd";#N/A,#N/A,FALSE,"eerr_holdusd";#N/A,#N/A,FALSE,"eerr_produsd";#N/A,#N/A,FALSE,"eerr_tipogtosusd";#N/A,#N/A,FALSE,"Flujousd";#N/A,#N/A,FALSE,"Var_Ebitusd";#N/A,#N/A,FALSE,"Noausd";#N/A,#N/A,FALSE,"Var_Noausd"}</definedName>
    <definedName name="sjjskjs" localSheetId="2" hidden="1">{"INDICE_USD",#N/A,FALSE,"Indice";#N/A,#N/A,FALSE,"Condusd";#N/A,#N/A,FALSE,"Bce_holdusd";#N/A,#N/A,FALSE,"eerr_holdusd";#N/A,#N/A,FALSE,"eerr_produsd";#N/A,#N/A,FALSE,"eerr_tipogtosusd";#N/A,#N/A,FALSE,"Flujousd";#N/A,#N/A,FALSE,"Var_Ebitusd";#N/A,#N/A,FALSE,"Noausd";#N/A,#N/A,FALSE,"Var_Noausd"}</definedName>
    <definedName name="sjjskjs" hidden="1">{"INDICE_USD",#N/A,FALSE,"Indice";#N/A,#N/A,FALSE,"Condusd";#N/A,#N/A,FALSE,"Bce_holdusd";#N/A,#N/A,FALSE,"eerr_holdusd";#N/A,#N/A,FALSE,"eerr_produsd";#N/A,#N/A,FALSE,"eerr_tipogtosusd";#N/A,#N/A,FALSE,"Flujousd";#N/A,#N/A,FALSE,"Var_Ebitusd";#N/A,#N/A,FALSE,"Noausd";#N/A,#N/A,FALSE,"Var_Noausd"}</definedName>
    <definedName name="sksssd" localSheetId="4" hidden="1">{#N/A,#N/A,TRUE,"Cond";#N/A,#N/A,TRUE,"Bce_hold";#N/A,#N/A,TRUE,"eerr_hold";#N/A,#N/A,TRUE,"eerr_prod";#N/A,#N/A,TRUE,"eerr_tipogtos";#N/A,#N/A,TRUE,"Flujo";#N/A,#N/A,TRUE,"Var_Ebit";#N/A,#N/A,TRUE,"Noa";#N/A,#N/A,TRUE,"Var_Noa"}</definedName>
    <definedName name="sksssd" localSheetId="3" hidden="1">{#N/A,#N/A,TRUE,"Cond";#N/A,#N/A,TRUE,"Bce_hold";#N/A,#N/A,TRUE,"eerr_hold";#N/A,#N/A,TRUE,"eerr_prod";#N/A,#N/A,TRUE,"eerr_tipogtos";#N/A,#N/A,TRUE,"Flujo";#N/A,#N/A,TRUE,"Var_Ebit";#N/A,#N/A,TRUE,"Noa";#N/A,#N/A,TRUE,"Var_Noa"}</definedName>
    <definedName name="sksssd" localSheetId="2" hidden="1">{#N/A,#N/A,TRUE,"Cond";#N/A,#N/A,TRUE,"Bce_hold";#N/A,#N/A,TRUE,"eerr_hold";#N/A,#N/A,TRUE,"eerr_prod";#N/A,#N/A,TRUE,"eerr_tipogtos";#N/A,#N/A,TRUE,"Flujo";#N/A,#N/A,TRUE,"Var_Ebit";#N/A,#N/A,TRUE,"Noa";#N/A,#N/A,TRUE,"Var_Noa"}</definedName>
    <definedName name="sksssd" hidden="1">{#N/A,#N/A,TRUE,"Cond";#N/A,#N/A,TRUE,"Bce_hold";#N/A,#N/A,TRUE,"eerr_hold";#N/A,#N/A,TRUE,"eerr_prod";#N/A,#N/A,TRUE,"eerr_tipogtos";#N/A,#N/A,TRUE,"Flujo";#N/A,#N/A,TRUE,"Var_Ebit";#N/A,#N/A,TRUE,"Noa";#N/A,#N/A,TRUE,"Var_Noa"}</definedName>
    <definedName name="slslkdkd" localSheetId="4" hidden="1">{"INDICE_USD",#N/A,FALSE,"Indice";#N/A,#N/A,FALSE,"Condusd";#N/A,#N/A,FALSE,"Bce_holdusd";#N/A,#N/A,FALSE,"eerr_holdusd";#N/A,#N/A,FALSE,"eerr_produsd";#N/A,#N/A,FALSE,"eerr_tipogtosusd";#N/A,#N/A,FALSE,"Flujousd";#N/A,#N/A,FALSE,"Var_Ebitusd";#N/A,#N/A,FALSE,"Noausd";#N/A,#N/A,FALSE,"Var_Noausd"}</definedName>
    <definedName name="slslkdkd" localSheetId="3" hidden="1">{"INDICE_USD",#N/A,FALSE,"Indice";#N/A,#N/A,FALSE,"Condusd";#N/A,#N/A,FALSE,"Bce_holdusd";#N/A,#N/A,FALSE,"eerr_holdusd";#N/A,#N/A,FALSE,"eerr_produsd";#N/A,#N/A,FALSE,"eerr_tipogtosusd";#N/A,#N/A,FALSE,"Flujousd";#N/A,#N/A,FALSE,"Var_Ebitusd";#N/A,#N/A,FALSE,"Noausd";#N/A,#N/A,FALSE,"Var_Noausd"}</definedName>
    <definedName name="slslkdkd" localSheetId="2" hidden="1">{"INDICE_USD",#N/A,FALSE,"Indice";#N/A,#N/A,FALSE,"Condusd";#N/A,#N/A,FALSE,"Bce_holdusd";#N/A,#N/A,FALSE,"eerr_holdusd";#N/A,#N/A,FALSE,"eerr_produsd";#N/A,#N/A,FALSE,"eerr_tipogtosusd";#N/A,#N/A,FALSE,"Flujousd";#N/A,#N/A,FALSE,"Var_Ebitusd";#N/A,#N/A,FALSE,"Noausd";#N/A,#N/A,FALSE,"Var_Noausd"}</definedName>
    <definedName name="slslkdkd" hidden="1">{"INDICE_USD",#N/A,FALSE,"Indice";#N/A,#N/A,FALSE,"Condusd";#N/A,#N/A,FALSE,"Bce_holdusd";#N/A,#N/A,FALSE,"eerr_holdusd";#N/A,#N/A,FALSE,"eerr_produsd";#N/A,#N/A,FALSE,"eerr_tipogtosusd";#N/A,#N/A,FALSE,"Flujousd";#N/A,#N/A,FALSE,"Var_Ebitusd";#N/A,#N/A,FALSE,"Noausd";#N/A,#N/A,FALSE,"Var_Noausd"}</definedName>
    <definedName name="slslslsl" localSheetId="4" hidden="1">{"INDICE_USD",#N/A,FALSE,"Indice";#N/A,#N/A,FALSE,"Condusd";#N/A,#N/A,FALSE,"Bce_holdusd";#N/A,#N/A,FALSE,"eerr_holdusd";#N/A,#N/A,FALSE,"eerr_produsd";#N/A,#N/A,FALSE,"eerr_tipogtosusd";#N/A,#N/A,FALSE,"Flujousd";#N/A,#N/A,FALSE,"Var_Ebitusd";#N/A,#N/A,FALSE,"Noausd";#N/A,#N/A,FALSE,"Var_Noausd"}</definedName>
    <definedName name="slslslsl" localSheetId="3" hidden="1">{"INDICE_USD",#N/A,FALSE,"Indice";#N/A,#N/A,FALSE,"Condusd";#N/A,#N/A,FALSE,"Bce_holdusd";#N/A,#N/A,FALSE,"eerr_holdusd";#N/A,#N/A,FALSE,"eerr_produsd";#N/A,#N/A,FALSE,"eerr_tipogtosusd";#N/A,#N/A,FALSE,"Flujousd";#N/A,#N/A,FALSE,"Var_Ebitusd";#N/A,#N/A,FALSE,"Noausd";#N/A,#N/A,FALSE,"Var_Noausd"}</definedName>
    <definedName name="slslslsl" localSheetId="2" hidden="1">{"INDICE_USD",#N/A,FALSE,"Indice";#N/A,#N/A,FALSE,"Condusd";#N/A,#N/A,FALSE,"Bce_holdusd";#N/A,#N/A,FALSE,"eerr_holdusd";#N/A,#N/A,FALSE,"eerr_produsd";#N/A,#N/A,FALSE,"eerr_tipogtosusd";#N/A,#N/A,FALSE,"Flujousd";#N/A,#N/A,FALSE,"Var_Ebitusd";#N/A,#N/A,FALSE,"Noausd";#N/A,#N/A,FALSE,"Var_Noausd"}</definedName>
    <definedName name="slslslsl" hidden="1">{"INDICE_USD",#N/A,FALSE,"Indice";#N/A,#N/A,FALSE,"Condusd";#N/A,#N/A,FALSE,"Bce_holdusd";#N/A,#N/A,FALSE,"eerr_holdusd";#N/A,#N/A,FALSE,"eerr_produsd";#N/A,#N/A,FALSE,"eerr_tipogtosusd";#N/A,#N/A,FALSE,"Flujousd";#N/A,#N/A,FALSE,"Var_Ebitusd";#N/A,#N/A,FALSE,"Noausd";#N/A,#N/A,FALSE,"Var_Noausd"}</definedName>
    <definedName name="smmaj" localSheetId="4" hidden="1">{"INDICE_USD",#N/A,FALSE,"Indice";#N/A,#N/A,FALSE,"Condusd";#N/A,#N/A,FALSE,"Bce_holdusd";#N/A,#N/A,FALSE,"eerr_holdusd";#N/A,#N/A,FALSE,"eerr_produsd";#N/A,#N/A,FALSE,"eerr_tipogtosusd";#N/A,#N/A,FALSE,"Flujousd";#N/A,#N/A,FALSE,"Var_Ebitusd";#N/A,#N/A,FALSE,"Noausd";#N/A,#N/A,FALSE,"Var_Noausd"}</definedName>
    <definedName name="smmaj" localSheetId="3" hidden="1">{"INDICE_USD",#N/A,FALSE,"Indice";#N/A,#N/A,FALSE,"Condusd";#N/A,#N/A,FALSE,"Bce_holdusd";#N/A,#N/A,FALSE,"eerr_holdusd";#N/A,#N/A,FALSE,"eerr_produsd";#N/A,#N/A,FALSE,"eerr_tipogtosusd";#N/A,#N/A,FALSE,"Flujousd";#N/A,#N/A,FALSE,"Var_Ebitusd";#N/A,#N/A,FALSE,"Noausd";#N/A,#N/A,FALSE,"Var_Noausd"}</definedName>
    <definedName name="smmaj" localSheetId="2" hidden="1">{"INDICE_USD",#N/A,FALSE,"Indice";#N/A,#N/A,FALSE,"Condusd";#N/A,#N/A,FALSE,"Bce_holdusd";#N/A,#N/A,FALSE,"eerr_holdusd";#N/A,#N/A,FALSE,"eerr_produsd";#N/A,#N/A,FALSE,"eerr_tipogtosusd";#N/A,#N/A,FALSE,"Flujousd";#N/A,#N/A,FALSE,"Var_Ebitusd";#N/A,#N/A,FALSE,"Noausd";#N/A,#N/A,FALSE,"Var_Noausd"}</definedName>
    <definedName name="smmaj" hidden="1">{"INDICE_USD",#N/A,FALSE,"Indice";#N/A,#N/A,FALSE,"Condusd";#N/A,#N/A,FALSE,"Bce_holdusd";#N/A,#N/A,FALSE,"eerr_holdusd";#N/A,#N/A,FALSE,"eerr_produsd";#N/A,#N/A,FALSE,"eerr_tipogtosusd";#N/A,#N/A,FALSE,"Flujousd";#N/A,#N/A,FALSE,"Var_Ebitusd";#N/A,#N/A,FALSE,"Noausd";#N/A,#N/A,FALSE,"Var_Noausd"}</definedName>
    <definedName name="smmsmsms" localSheetId="4" hidden="1">{"INDICE_USD",#N/A,FALSE,"Indice";#N/A,#N/A,FALSE,"Condusd";#N/A,#N/A,FALSE,"Bce_holdusd";#N/A,#N/A,FALSE,"eerr_holdusd";#N/A,#N/A,FALSE,"eerr_produsd";#N/A,#N/A,FALSE,"eerr_tipogtosusd";#N/A,#N/A,FALSE,"Flujousd";#N/A,#N/A,FALSE,"Var_Ebitusd";#N/A,#N/A,FALSE,"Noausd";#N/A,#N/A,FALSE,"Var_Noausd"}</definedName>
    <definedName name="smmsmsms" localSheetId="3" hidden="1">{"INDICE_USD",#N/A,FALSE,"Indice";#N/A,#N/A,FALSE,"Condusd";#N/A,#N/A,FALSE,"Bce_holdusd";#N/A,#N/A,FALSE,"eerr_holdusd";#N/A,#N/A,FALSE,"eerr_produsd";#N/A,#N/A,FALSE,"eerr_tipogtosusd";#N/A,#N/A,FALSE,"Flujousd";#N/A,#N/A,FALSE,"Var_Ebitusd";#N/A,#N/A,FALSE,"Noausd";#N/A,#N/A,FALSE,"Var_Noausd"}</definedName>
    <definedName name="smmsmsms" localSheetId="2" hidden="1">{"INDICE_USD",#N/A,FALSE,"Indice";#N/A,#N/A,FALSE,"Condusd";#N/A,#N/A,FALSE,"Bce_holdusd";#N/A,#N/A,FALSE,"eerr_holdusd";#N/A,#N/A,FALSE,"eerr_produsd";#N/A,#N/A,FALSE,"eerr_tipogtosusd";#N/A,#N/A,FALSE,"Flujousd";#N/A,#N/A,FALSE,"Var_Ebitusd";#N/A,#N/A,FALSE,"Noausd";#N/A,#N/A,FALSE,"Var_Noausd"}</definedName>
    <definedName name="smmsmsms" hidden="1">{"INDICE_USD",#N/A,FALSE,"Indice";#N/A,#N/A,FALSE,"Condusd";#N/A,#N/A,FALSE,"Bce_holdusd";#N/A,#N/A,FALSE,"eerr_holdusd";#N/A,#N/A,FALSE,"eerr_produsd";#N/A,#N/A,FALSE,"eerr_tipogtosusd";#N/A,#N/A,FALSE,"Flujousd";#N/A,#N/A,FALSE,"Var_Ebitusd";#N/A,#N/A,FALSE,"Noausd";#N/A,#N/A,FALSE,"Var_Noausd"}</definedName>
    <definedName name="smmssaa" localSheetId="4" hidden="1">{#N/A,#N/A,TRUE,"Cond";#N/A,#N/A,TRUE,"Bce_hold";#N/A,#N/A,TRUE,"eerr_hold";#N/A,#N/A,TRUE,"eerr_prod";#N/A,#N/A,TRUE,"eerr_tipogtos";#N/A,#N/A,TRUE,"Flujo";#N/A,#N/A,TRUE,"Var_Ebit";#N/A,#N/A,TRUE,"Noa";#N/A,#N/A,TRUE,"Var_Noa"}</definedName>
    <definedName name="smmssaa" localSheetId="3" hidden="1">{#N/A,#N/A,TRUE,"Cond";#N/A,#N/A,TRUE,"Bce_hold";#N/A,#N/A,TRUE,"eerr_hold";#N/A,#N/A,TRUE,"eerr_prod";#N/A,#N/A,TRUE,"eerr_tipogtos";#N/A,#N/A,TRUE,"Flujo";#N/A,#N/A,TRUE,"Var_Ebit";#N/A,#N/A,TRUE,"Noa";#N/A,#N/A,TRUE,"Var_Noa"}</definedName>
    <definedName name="smmssaa" localSheetId="2" hidden="1">{#N/A,#N/A,TRUE,"Cond";#N/A,#N/A,TRUE,"Bce_hold";#N/A,#N/A,TRUE,"eerr_hold";#N/A,#N/A,TRUE,"eerr_prod";#N/A,#N/A,TRUE,"eerr_tipogtos";#N/A,#N/A,TRUE,"Flujo";#N/A,#N/A,TRUE,"Var_Ebit";#N/A,#N/A,TRUE,"Noa";#N/A,#N/A,TRUE,"Var_Noa"}</definedName>
    <definedName name="smmssaa" hidden="1">{#N/A,#N/A,TRUE,"Cond";#N/A,#N/A,TRUE,"Bce_hold";#N/A,#N/A,TRUE,"eerr_hold";#N/A,#N/A,TRUE,"eerr_prod";#N/A,#N/A,TRUE,"eerr_tipogtos";#N/A,#N/A,TRUE,"Flujo";#N/A,#N/A,TRUE,"Var_Ebit";#N/A,#N/A,TRUE,"Noa";#N/A,#N/A,TRUE,"Var_Noa"}</definedName>
    <definedName name="sñalskd" localSheetId="4" hidden="1">{#N/A,#N/A,TRUE,"TAPA ";"INDICE_CLP",#N/A,TRUE,"Indice";#N/A,#N/A,TRUE,"Cond";#N/A,#N/A,TRUE,"Bce_hold";#N/A,#N/A,TRUE,"eerr_hold";#N/A,#N/A,TRUE,"eerr_prod";#N/A,#N/A,TRUE,"eerr_tipogtos";#N/A,#N/A,TRUE,"Flujo";#N/A,#N/A,TRUE,"Var_Ebit";#N/A,#N/A,TRUE,"Noa";#N/A,#N/A,TRUE,"Var_Noa"}</definedName>
    <definedName name="sñalskd" localSheetId="3" hidden="1">{#N/A,#N/A,TRUE,"TAPA ";"INDICE_CLP",#N/A,TRUE,"Indice";#N/A,#N/A,TRUE,"Cond";#N/A,#N/A,TRUE,"Bce_hold";#N/A,#N/A,TRUE,"eerr_hold";#N/A,#N/A,TRUE,"eerr_prod";#N/A,#N/A,TRUE,"eerr_tipogtos";#N/A,#N/A,TRUE,"Flujo";#N/A,#N/A,TRUE,"Var_Ebit";#N/A,#N/A,TRUE,"Noa";#N/A,#N/A,TRUE,"Var_Noa"}</definedName>
    <definedName name="sñalskd" localSheetId="2" hidden="1">{#N/A,#N/A,TRUE,"TAPA ";"INDICE_CLP",#N/A,TRUE,"Indice";#N/A,#N/A,TRUE,"Cond";#N/A,#N/A,TRUE,"Bce_hold";#N/A,#N/A,TRUE,"eerr_hold";#N/A,#N/A,TRUE,"eerr_prod";#N/A,#N/A,TRUE,"eerr_tipogtos";#N/A,#N/A,TRUE,"Flujo";#N/A,#N/A,TRUE,"Var_Ebit";#N/A,#N/A,TRUE,"Noa";#N/A,#N/A,TRUE,"Var_Noa"}</definedName>
    <definedName name="sñalskd" hidden="1">{#N/A,#N/A,TRUE,"TAPA ";"INDICE_CLP",#N/A,TRUE,"Indice";#N/A,#N/A,TRUE,"Cond";#N/A,#N/A,TRUE,"Bce_hold";#N/A,#N/A,TRUE,"eerr_hold";#N/A,#N/A,TRUE,"eerr_prod";#N/A,#N/A,TRUE,"eerr_tipogtos";#N/A,#N/A,TRUE,"Flujo";#N/A,#N/A,TRUE,"Var_Ebit";#N/A,#N/A,TRUE,"Noa";#N/A,#N/A,TRUE,"Var_Noa"}</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pre" hidden="1">0.000001</definedName>
    <definedName name="solver_scl" hidden="1">0</definedName>
    <definedName name="solver_sho" hidden="1">0</definedName>
    <definedName name="solver_tim" hidden="1">100</definedName>
    <definedName name="solver_tmp" hidden="1">#NULL!</definedName>
    <definedName name="solver_tol" hidden="1">0.05</definedName>
    <definedName name="solver_typ" hidden="1">1</definedName>
    <definedName name="solver_val" hidden="1">999999999</definedName>
    <definedName name="SpecialPrice" localSheetId="4" hidden="1">#REF!</definedName>
    <definedName name="SpecialPrice" localSheetId="3" hidden="1">#REF!</definedName>
    <definedName name="SpecialPrice" localSheetId="2" hidden="1">#REF!</definedName>
    <definedName name="SpecialPrice" hidden="1">#REF!</definedName>
    <definedName name="ssaaaaaa" localSheetId="4" hidden="1">{"INDICE_USD",#N/A,FALSE,"Indice";#N/A,#N/A,FALSE,"Condusd";#N/A,#N/A,FALSE,"Bce_holdusd";#N/A,#N/A,FALSE,"eerr_holdusd";#N/A,#N/A,FALSE,"eerr_produsd";#N/A,#N/A,FALSE,"eerr_tipogtosusd";#N/A,#N/A,FALSE,"Flujousd";#N/A,#N/A,FALSE,"Var_Ebitusd";#N/A,#N/A,FALSE,"Noausd";#N/A,#N/A,FALSE,"Var_Noausd"}</definedName>
    <definedName name="ssaaaaaa" localSheetId="3" hidden="1">{"INDICE_USD",#N/A,FALSE,"Indice";#N/A,#N/A,FALSE,"Condusd";#N/A,#N/A,FALSE,"Bce_holdusd";#N/A,#N/A,FALSE,"eerr_holdusd";#N/A,#N/A,FALSE,"eerr_produsd";#N/A,#N/A,FALSE,"eerr_tipogtosusd";#N/A,#N/A,FALSE,"Flujousd";#N/A,#N/A,FALSE,"Var_Ebitusd";#N/A,#N/A,FALSE,"Noausd";#N/A,#N/A,FALSE,"Var_Noausd"}</definedName>
    <definedName name="ssaaaaaa" localSheetId="2" hidden="1">{"INDICE_USD",#N/A,FALSE,"Indice";#N/A,#N/A,FALSE,"Condusd";#N/A,#N/A,FALSE,"Bce_holdusd";#N/A,#N/A,FALSE,"eerr_holdusd";#N/A,#N/A,FALSE,"eerr_produsd";#N/A,#N/A,FALSE,"eerr_tipogtosusd";#N/A,#N/A,FALSE,"Flujousd";#N/A,#N/A,FALSE,"Var_Ebitusd";#N/A,#N/A,FALSE,"Noausd";#N/A,#N/A,FALSE,"Var_Noausd"}</definedName>
    <definedName name="ssaaaaaa" hidden="1">{"INDICE_USD",#N/A,FALSE,"Indice";#N/A,#N/A,FALSE,"Condusd";#N/A,#N/A,FALSE,"Bce_holdusd";#N/A,#N/A,FALSE,"eerr_holdusd";#N/A,#N/A,FALSE,"eerr_produsd";#N/A,#N/A,FALSE,"eerr_tipogtosusd";#N/A,#N/A,FALSE,"Flujousd";#N/A,#N/A,FALSE,"Var_Ebitusd";#N/A,#N/A,FALSE,"Noausd";#N/A,#N/A,FALSE,"Var_Noausd"}</definedName>
    <definedName name="ssnwhs" localSheetId="4" hidden="1">{#N/A,#N/A,TRUE,"TAPA ";"INDICE_CLP",#N/A,TRUE,"Indice";#N/A,#N/A,TRUE,"Cond";#N/A,#N/A,TRUE,"Bce_hold";#N/A,#N/A,TRUE,"eerr_hold";#N/A,#N/A,TRUE,"eerr_prod";#N/A,#N/A,TRUE,"eerr_tipogtos";#N/A,#N/A,TRUE,"Flujo";#N/A,#N/A,TRUE,"Var_Ebit";#N/A,#N/A,TRUE,"Noa";#N/A,#N/A,TRUE,"Var_Noa"}</definedName>
    <definedName name="ssnwhs" localSheetId="3" hidden="1">{#N/A,#N/A,TRUE,"TAPA ";"INDICE_CLP",#N/A,TRUE,"Indice";#N/A,#N/A,TRUE,"Cond";#N/A,#N/A,TRUE,"Bce_hold";#N/A,#N/A,TRUE,"eerr_hold";#N/A,#N/A,TRUE,"eerr_prod";#N/A,#N/A,TRUE,"eerr_tipogtos";#N/A,#N/A,TRUE,"Flujo";#N/A,#N/A,TRUE,"Var_Ebit";#N/A,#N/A,TRUE,"Noa";#N/A,#N/A,TRUE,"Var_Noa"}</definedName>
    <definedName name="ssnwhs" localSheetId="2" hidden="1">{#N/A,#N/A,TRUE,"TAPA ";"INDICE_CLP",#N/A,TRUE,"Indice";#N/A,#N/A,TRUE,"Cond";#N/A,#N/A,TRUE,"Bce_hold";#N/A,#N/A,TRUE,"eerr_hold";#N/A,#N/A,TRUE,"eerr_prod";#N/A,#N/A,TRUE,"eerr_tipogtos";#N/A,#N/A,TRUE,"Flujo";#N/A,#N/A,TRUE,"Var_Ebit";#N/A,#N/A,TRUE,"Noa";#N/A,#N/A,TRUE,"Var_Noa"}</definedName>
    <definedName name="ssnwhs" hidden="1">{#N/A,#N/A,TRUE,"TAPA ";"INDICE_CLP",#N/A,TRUE,"Indice";#N/A,#N/A,TRUE,"Cond";#N/A,#N/A,TRUE,"Bce_hold";#N/A,#N/A,TRUE,"eerr_hold";#N/A,#N/A,TRUE,"eerr_prod";#N/A,#N/A,TRUE,"eerr_tipogtos";#N/A,#N/A,TRUE,"Flujo";#N/A,#N/A,TRUE,"Var_Ebit";#N/A,#N/A,TRUE,"Noa";#N/A,#N/A,TRUE,"Var_Noa"}</definedName>
    <definedName name="SSS" localSheetId="4" hidden="1">#REF!</definedName>
    <definedName name="SSS" localSheetId="3" hidden="1">#REF!</definedName>
    <definedName name="SSS" localSheetId="2" hidden="1">#REF!</definedName>
    <definedName name="SSS" hidden="1">#REF!</definedName>
    <definedName name="sssnna" localSheetId="4" hidden="1">{"INDICE_USD",#N/A,FALSE,"Indice";#N/A,#N/A,FALSE,"Condusd";#N/A,#N/A,FALSE,"Bce_holdusd";#N/A,#N/A,FALSE,"eerr_holdusd";#N/A,#N/A,FALSE,"eerr_produsd";#N/A,#N/A,FALSE,"eerr_tipogtosusd";#N/A,#N/A,FALSE,"Flujousd";#N/A,#N/A,FALSE,"Var_Ebitusd";#N/A,#N/A,FALSE,"Noausd";#N/A,#N/A,FALSE,"Var_Noausd"}</definedName>
    <definedName name="sssnna" localSheetId="3" hidden="1">{"INDICE_USD",#N/A,FALSE,"Indice";#N/A,#N/A,FALSE,"Condusd";#N/A,#N/A,FALSE,"Bce_holdusd";#N/A,#N/A,FALSE,"eerr_holdusd";#N/A,#N/A,FALSE,"eerr_produsd";#N/A,#N/A,FALSE,"eerr_tipogtosusd";#N/A,#N/A,FALSE,"Flujousd";#N/A,#N/A,FALSE,"Var_Ebitusd";#N/A,#N/A,FALSE,"Noausd";#N/A,#N/A,FALSE,"Var_Noausd"}</definedName>
    <definedName name="sssnna" localSheetId="2" hidden="1">{"INDICE_USD",#N/A,FALSE,"Indice";#N/A,#N/A,FALSE,"Condusd";#N/A,#N/A,FALSE,"Bce_holdusd";#N/A,#N/A,FALSE,"eerr_holdusd";#N/A,#N/A,FALSE,"eerr_produsd";#N/A,#N/A,FALSE,"eerr_tipogtosusd";#N/A,#N/A,FALSE,"Flujousd";#N/A,#N/A,FALSE,"Var_Ebitusd";#N/A,#N/A,FALSE,"Noausd";#N/A,#N/A,FALSE,"Var_Noausd"}</definedName>
    <definedName name="sssnna" hidden="1">{"INDICE_USD",#N/A,FALSE,"Indice";#N/A,#N/A,FALSE,"Condusd";#N/A,#N/A,FALSE,"Bce_holdusd";#N/A,#N/A,FALSE,"eerr_holdusd";#N/A,#N/A,FALSE,"eerr_produsd";#N/A,#N/A,FALSE,"eerr_tipogtosusd";#N/A,#N/A,FALSE,"Flujousd";#N/A,#N/A,FALSE,"Var_Ebitusd";#N/A,#N/A,FALSE,"Noausd";#N/A,#N/A,FALSE,"Var_Noausd"}</definedName>
    <definedName name="ssss" localSheetId="4" hidden="1">{#N/A,#N/A,TRUE,"TAPA ";"INDICE_CLP",#N/A,TRUE,"Indice";#N/A,#N/A,TRUE,"Cond";#N/A,#N/A,TRUE,"Bce_hold";#N/A,#N/A,TRUE,"eerr_hold";#N/A,#N/A,TRUE,"eerr_prod";#N/A,#N/A,TRUE,"eerr_tipogtos";#N/A,#N/A,TRUE,"Flujo";#N/A,#N/A,TRUE,"Var_Ebit";#N/A,#N/A,TRUE,"Noa";#N/A,#N/A,TRUE,"Var_Noa"}</definedName>
    <definedName name="ssss" localSheetId="3" hidden="1">{#N/A,#N/A,TRUE,"TAPA ";"INDICE_CLP",#N/A,TRUE,"Indice";#N/A,#N/A,TRUE,"Cond";#N/A,#N/A,TRUE,"Bce_hold";#N/A,#N/A,TRUE,"eerr_hold";#N/A,#N/A,TRUE,"eerr_prod";#N/A,#N/A,TRUE,"eerr_tipogtos";#N/A,#N/A,TRUE,"Flujo";#N/A,#N/A,TRUE,"Var_Ebit";#N/A,#N/A,TRUE,"Noa";#N/A,#N/A,TRUE,"Var_Noa"}</definedName>
    <definedName name="ssss" localSheetId="2" hidden="1">{#N/A,#N/A,TRUE,"TAPA ";"INDICE_CLP",#N/A,TRUE,"Indice";#N/A,#N/A,TRUE,"Cond";#N/A,#N/A,TRUE,"Bce_hold";#N/A,#N/A,TRUE,"eerr_hold";#N/A,#N/A,TRUE,"eerr_prod";#N/A,#N/A,TRUE,"eerr_tipogtos";#N/A,#N/A,TRUE,"Flujo";#N/A,#N/A,TRUE,"Var_Ebit";#N/A,#N/A,TRUE,"Noa";#N/A,#N/A,TRUE,"Var_Noa"}</definedName>
    <definedName name="ssss" hidden="1">{#N/A,#N/A,TRUE,"TAPA ";"INDICE_CLP",#N/A,TRUE,"Indice";#N/A,#N/A,TRUE,"Cond";#N/A,#N/A,TRUE,"Bce_hold";#N/A,#N/A,TRUE,"eerr_hold";#N/A,#N/A,TRUE,"eerr_prod";#N/A,#N/A,TRUE,"eerr_tipogtos";#N/A,#N/A,TRUE,"Flujo";#N/A,#N/A,TRUE,"Var_Ebit";#N/A,#N/A,TRUE,"Noa";#N/A,#N/A,TRUE,"Var_Noa"}</definedName>
    <definedName name="SSSSDSTYU" localSheetId="4" hidden="1">{"PYGT",#N/A,FALSE,"PYG";"ACTIT",#N/A,FALSE,"BCE_GRAL-ACTIVO";"PASIT",#N/A,FALSE,"BCE_GRAL-PASIVO-PATRIM";"CAJAT",#N/A,FALSE,"CAJA"}</definedName>
    <definedName name="SSSSDSTYU" localSheetId="3" hidden="1">{"PYGT",#N/A,FALSE,"PYG";"ACTIT",#N/A,FALSE,"BCE_GRAL-ACTIVO";"PASIT",#N/A,FALSE,"BCE_GRAL-PASIVO-PATRIM";"CAJAT",#N/A,FALSE,"CAJA"}</definedName>
    <definedName name="SSSSDSTYU" localSheetId="2" hidden="1">{"PYGT",#N/A,FALSE,"PYG";"ACTIT",#N/A,FALSE,"BCE_GRAL-ACTIVO";"PASIT",#N/A,FALSE,"BCE_GRAL-PASIVO-PATRIM";"CAJAT",#N/A,FALSE,"CAJA"}</definedName>
    <definedName name="SSSSDSTYU" hidden="1">{"PYGT",#N/A,FALSE,"PYG";"ACTIT",#N/A,FALSE,"BCE_GRAL-ACTIVO";"PASIT",#N/A,FALSE,"BCE_GRAL-PASIVO-PATRIM";"CAJAT",#N/A,FALSE,"CAJA"}</definedName>
    <definedName name="sssss" localSheetId="4" hidden="1">{"INDICE_USD",#N/A,FALSE,"Indice";#N/A,#N/A,FALSE,"Condusd";#N/A,#N/A,FALSE,"Bce_holdusd";#N/A,#N/A,FALSE,"eerr_holdusd";#N/A,#N/A,FALSE,"eerr_produsd";#N/A,#N/A,FALSE,"eerr_tipogtosusd";#N/A,#N/A,FALSE,"Flujousd";#N/A,#N/A,FALSE,"Var_Ebitusd";#N/A,#N/A,FALSE,"Noausd";#N/A,#N/A,FALSE,"Var_Noausd"}</definedName>
    <definedName name="sssss" localSheetId="3" hidden="1">{"INDICE_USD",#N/A,FALSE,"Indice";#N/A,#N/A,FALSE,"Condusd";#N/A,#N/A,FALSE,"Bce_holdusd";#N/A,#N/A,FALSE,"eerr_holdusd";#N/A,#N/A,FALSE,"eerr_produsd";#N/A,#N/A,FALSE,"eerr_tipogtosusd";#N/A,#N/A,FALSE,"Flujousd";#N/A,#N/A,FALSE,"Var_Ebitusd";#N/A,#N/A,FALSE,"Noausd";#N/A,#N/A,FALSE,"Var_Noausd"}</definedName>
    <definedName name="sssss" localSheetId="2" hidden="1">{"INDICE_USD",#N/A,FALSE,"Indice";#N/A,#N/A,FALSE,"Condusd";#N/A,#N/A,FALSE,"Bce_holdusd";#N/A,#N/A,FALSE,"eerr_holdusd";#N/A,#N/A,FALSE,"eerr_produsd";#N/A,#N/A,FALSE,"eerr_tipogtosusd";#N/A,#N/A,FALSE,"Flujousd";#N/A,#N/A,FALSE,"Var_Ebitusd";#N/A,#N/A,FALSE,"Noausd";#N/A,#N/A,FALSE,"Var_Noausd"}</definedName>
    <definedName name="sssss" hidden="1">{"INDICE_USD",#N/A,FALSE,"Indice";#N/A,#N/A,FALSE,"Condusd";#N/A,#N/A,FALSE,"Bce_holdusd";#N/A,#N/A,FALSE,"eerr_holdusd";#N/A,#N/A,FALSE,"eerr_produsd";#N/A,#N/A,FALSE,"eerr_tipogtosusd";#N/A,#N/A,FALSE,"Flujousd";#N/A,#N/A,FALSE,"Var_Ebitusd";#N/A,#N/A,FALSE,"Noausd";#N/A,#N/A,FALSE,"Var_Noausd"}</definedName>
    <definedName name="sssssssssss" localSheetId="4" hidden="1">{#N/A,#N/A,FALSE,"GRAFICO";#N/A,#N/A,FALSE,"CAJA (2)";#N/A,#N/A,FALSE,"TERCEROS-PROMEDIO";#N/A,#N/A,FALSE,"CAJA";#N/A,#N/A,FALSE,"INGRESOS1995-2003";#N/A,#N/A,FALSE,"GASTOS1995-2003"}</definedName>
    <definedName name="sssssssssss" localSheetId="3" hidden="1">{#N/A,#N/A,FALSE,"GRAFICO";#N/A,#N/A,FALSE,"CAJA (2)";#N/A,#N/A,FALSE,"TERCEROS-PROMEDIO";#N/A,#N/A,FALSE,"CAJA";#N/A,#N/A,FALSE,"INGRESOS1995-2003";#N/A,#N/A,FALSE,"GASTOS1995-2003"}</definedName>
    <definedName name="sssssssssss" localSheetId="2" hidden="1">{#N/A,#N/A,FALSE,"GRAFICO";#N/A,#N/A,FALSE,"CAJA (2)";#N/A,#N/A,FALSE,"TERCEROS-PROMEDIO";#N/A,#N/A,FALSE,"CAJA";#N/A,#N/A,FALSE,"INGRESOS1995-2003";#N/A,#N/A,FALSE,"GASTOS1995-2003"}</definedName>
    <definedName name="sssssssssss" hidden="1">{#N/A,#N/A,FALSE,"GRAFICO";#N/A,#N/A,FALSE,"CAJA (2)";#N/A,#N/A,FALSE,"TERCEROS-PROMEDIO";#N/A,#N/A,FALSE,"CAJA";#N/A,#N/A,FALSE,"INGRESOS1995-2003";#N/A,#N/A,FALSE,"GASTOS1995-2003"}</definedName>
    <definedName name="STELLA" hidden="1">{#N/A,#N/A,FALSE,"Aging Summary";#N/A,#N/A,FALSE,"Ratio Analysis";#N/A,#N/A,FALSE,"Test 120 Day Accts";#N/A,#N/A,FALSE,"Tickmarks"}</definedName>
    <definedName name="t" localSheetId="4" hidden="1">{"'S. C. B.'!$E$207"}</definedName>
    <definedName name="t" localSheetId="3" hidden="1">{"'S. C. B.'!$E$207"}</definedName>
    <definedName name="t" localSheetId="2" hidden="1">{"'S. C. B.'!$E$207"}</definedName>
    <definedName name="t" hidden="1">{"'S. C. B.'!$E$207"}</definedName>
    <definedName name="TablaHistorico" hidden="1">#REF!</definedName>
    <definedName name="tbl_ProdInfo" localSheetId="4" hidden="1">#REF!</definedName>
    <definedName name="tbl_ProdInfo" localSheetId="3" hidden="1">#REF!</definedName>
    <definedName name="tbl_ProdInfo" localSheetId="2" hidden="1">#REF!</definedName>
    <definedName name="tbl_ProdInfo" hidden="1">#REF!</definedName>
    <definedName name="TC" localSheetId="4" hidden="1">{#N/A,#N/A,FALSE,"GRAFICO";#N/A,#N/A,FALSE,"CAJA (2)";#N/A,#N/A,FALSE,"TERCEROS-PROMEDIO";#N/A,#N/A,FALSE,"CAJA";#N/A,#N/A,FALSE,"INGRESOS1995-2003";#N/A,#N/A,FALSE,"GASTOS1995-2003"}</definedName>
    <definedName name="TC" localSheetId="3" hidden="1">{#N/A,#N/A,FALSE,"GRAFICO";#N/A,#N/A,FALSE,"CAJA (2)";#N/A,#N/A,FALSE,"TERCEROS-PROMEDIO";#N/A,#N/A,FALSE,"CAJA";#N/A,#N/A,FALSE,"INGRESOS1995-2003";#N/A,#N/A,FALSE,"GASTOS1995-2003"}</definedName>
    <definedName name="TC" localSheetId="2" hidden="1">{#N/A,#N/A,FALSE,"GRAFICO";#N/A,#N/A,FALSE,"CAJA (2)";#N/A,#N/A,FALSE,"TERCEROS-PROMEDIO";#N/A,#N/A,FALSE,"CAJA";#N/A,#N/A,FALSE,"INGRESOS1995-2003";#N/A,#N/A,FALSE,"GASTOS1995-2003"}</definedName>
    <definedName name="TC" hidden="1">{#N/A,#N/A,FALSE,"GRAFICO";#N/A,#N/A,FALSE,"CAJA (2)";#N/A,#N/A,FALSE,"TERCEROS-PROMEDIO";#N/A,#N/A,FALSE,"CAJA";#N/A,#N/A,FALSE,"INGRESOS1995-2003";#N/A,#N/A,FALSE,"GASTOS1995-2003"}</definedName>
    <definedName name="TESV" localSheetId="4" hidden="1">{"'S. C. B.'!$E$207"}</definedName>
    <definedName name="TESV" localSheetId="3" hidden="1">{"'S. C. B.'!$E$207"}</definedName>
    <definedName name="TESV" localSheetId="2" hidden="1">{"'S. C. B.'!$E$207"}</definedName>
    <definedName name="TESV" hidden="1">{"'S. C. B.'!$E$207"}</definedName>
    <definedName name="TextRefCopyRangeCount" hidden="1">2</definedName>
    <definedName name="tid" localSheetId="4" hidden="1">{"'S. C. B.'!$E$207"}</definedName>
    <definedName name="tid" localSheetId="3" hidden="1">{"'S. C. B.'!$E$207"}</definedName>
    <definedName name="tid" localSheetId="2" hidden="1">{"'S. C. B.'!$E$207"}</definedName>
    <definedName name="tid" hidden="1">{"'S. C. B.'!$E$207"}</definedName>
    <definedName name="TONELADA" localSheetId="4" hidden="1">{#N/A,#N/A,FALSE,"balance";#N/A,#N/A,FALSE,"PYG"}</definedName>
    <definedName name="TONELADA" localSheetId="3" hidden="1">{#N/A,#N/A,FALSE,"balance";#N/A,#N/A,FALSE,"PYG"}</definedName>
    <definedName name="TONELADA" localSheetId="2" hidden="1">{#N/A,#N/A,FALSE,"balance";#N/A,#N/A,FALSE,"PYG"}</definedName>
    <definedName name="TONELADA" hidden="1">{#N/A,#N/A,FALSE,"balance";#N/A,#N/A,FALSE,"PYG"}</definedName>
    <definedName name="TONELADAS" localSheetId="4" hidden="1">{#N/A,#N/A,FALSE,"balance";#N/A,#N/A,FALSE,"PYG"}</definedName>
    <definedName name="TONELADAS" localSheetId="3" hidden="1">{#N/A,#N/A,FALSE,"balance";#N/A,#N/A,FALSE,"PYG"}</definedName>
    <definedName name="TONELADAS" localSheetId="2" hidden="1">{#N/A,#N/A,FALSE,"balance";#N/A,#N/A,FALSE,"PYG"}</definedName>
    <definedName name="TONELADAS" hidden="1">{#N/A,#N/A,FALSE,"balance";#N/A,#N/A,FALSE,"PYG"}</definedName>
    <definedName name="TORO" hidden="1">{"PYGT",#N/A,FALSE,"PYG";"ACTIT",#N/A,FALSE,"BCE_GRAL-ACTIVO";"PASIT",#N/A,FALSE,"BCE_GRAL-PASIVO-PATRIM";"CAJAT",#N/A,FALSE,"CAJA"}</definedName>
    <definedName name="tr" hidden="1">{#N/A,#N/A,FALSE,"Aging Summary";#N/A,#N/A,FALSE,"Ratio Analysis";#N/A,#N/A,FALSE,"Test 120 Day Accts";#N/A,#N/A,FALSE,"Tickmarks"}</definedName>
    <definedName name="treeList" hidden="1">"10000000000000000000000000000000000000000000000000000000000000000000000000000000000000000000000000000000000000000000000000000000000000000000000000000000000000000000000000000000000000000000000000000000"</definedName>
    <definedName name="TRIO" hidden="1">{#N/A,#N/A,FALSE,"GRAFICO";#N/A,#N/A,FALSE,"CAJA (2)";#N/A,#N/A,FALSE,"TERCEROS-PROMEDIO";#N/A,#N/A,FALSE,"CAJA";#N/A,#N/A,FALSE,"INGRESOS1995-2003";#N/A,#N/A,FALSE,"GASTOS1995-2003"}</definedName>
    <definedName name="Triunfo" localSheetId="6" hidden="1">{#N/A,#N/A,FALSE,"balance";#N/A,#N/A,FALSE,"PYG"}</definedName>
    <definedName name="Triunfo" localSheetId="1" hidden="1">{#N/A,#N/A,FALSE,"balance";#N/A,#N/A,FALSE,"PYG"}</definedName>
    <definedName name="Triunfo" localSheetId="4" hidden="1">{#N/A,#N/A,FALSE,"balance";#N/A,#N/A,FALSE,"PYG"}</definedName>
    <definedName name="Triunfo" localSheetId="0" hidden="1">{#N/A,#N/A,FALSE,"balance";#N/A,#N/A,FALSE,"PYG"}</definedName>
    <definedName name="Triunfo" localSheetId="3" hidden="1">{#N/A,#N/A,FALSE,"balance";#N/A,#N/A,FALSE,"PYG"}</definedName>
    <definedName name="Triunfo" localSheetId="2" hidden="1">{#N/A,#N/A,FALSE,"balance";#N/A,#N/A,FALSE,"PYG"}</definedName>
    <definedName name="Triunfo" localSheetId="5" hidden="1">{#N/A,#N/A,FALSE,"balance";#N/A,#N/A,FALSE,"PYG"}</definedName>
    <definedName name="Triunfo" localSheetId="7" hidden="1">{#N/A,#N/A,FALSE,"balance";#N/A,#N/A,FALSE,"PYG"}</definedName>
    <definedName name="Triunfo" hidden="1">{#N/A,#N/A,FALSE,"balance";#N/A,#N/A,FALSE,"PYG"}</definedName>
    <definedName name="TTT" localSheetId="4" hidden="1">{"KWHTONTOTAL",#N/A,FALSE,"KWHTON"}</definedName>
    <definedName name="TTT" localSheetId="3" hidden="1">{"KWHTONTOTAL",#N/A,FALSE,"KWHTON"}</definedName>
    <definedName name="TTT" localSheetId="2" hidden="1">{"KWHTONTOTAL",#N/A,FALSE,"KWHTON"}</definedName>
    <definedName name="TTT" hidden="1">{"KWHTONTOTAL",#N/A,FALSE,"KWHTON"}</definedName>
    <definedName name="tttttttt" localSheetId="4" hidden="1">{"PYGT",#N/A,FALSE,"PYG";"ACTIT",#N/A,FALSE,"BCE_GRAL-ACTIVO";"PASIT",#N/A,FALSE,"BCE_GRAL-PASIVO-PATRIM";"CAJAT",#N/A,FALSE,"CAJA"}</definedName>
    <definedName name="tttttttt" localSheetId="3" hidden="1">{"PYGT",#N/A,FALSE,"PYG";"ACTIT",#N/A,FALSE,"BCE_GRAL-ACTIVO";"PASIT",#N/A,FALSE,"BCE_GRAL-PASIVO-PATRIM";"CAJAT",#N/A,FALSE,"CAJA"}</definedName>
    <definedName name="tttttttt" localSheetId="2" hidden="1">{"PYGT",#N/A,FALSE,"PYG";"ACTIT",#N/A,FALSE,"BCE_GRAL-ACTIVO";"PASIT",#N/A,FALSE,"BCE_GRAL-PASIVO-PATRIM";"CAJAT",#N/A,FALSE,"CAJA"}</definedName>
    <definedName name="tttttttt" hidden="1">{"PYGT",#N/A,FALSE,"PYG";"ACTIT",#N/A,FALSE,"BCE_GRAL-ACTIVO";"PASIT",#N/A,FALSE,"BCE_GRAL-PASIVO-PATRIM";"CAJAT",#N/A,FALSE,"CAJA"}</definedName>
    <definedName name="ttttttttttt" localSheetId="4" hidden="1">{"PYGT",#N/A,FALSE,"PYG";"ACTIT",#N/A,FALSE,"BCE_GRAL-ACTIVO";"PASIT",#N/A,FALSE,"BCE_GRAL-PASIVO-PATRIM";"CAJAT",#N/A,FALSE,"CAJA"}</definedName>
    <definedName name="ttttttttttt" localSheetId="3" hidden="1">{"PYGT",#N/A,FALSE,"PYG";"ACTIT",#N/A,FALSE,"BCE_GRAL-ACTIVO";"PASIT",#N/A,FALSE,"BCE_GRAL-PASIVO-PATRIM";"CAJAT",#N/A,FALSE,"CAJA"}</definedName>
    <definedName name="ttttttttttt" localSheetId="2" hidden="1">{"PYGT",#N/A,FALSE,"PYG";"ACTIT",#N/A,FALSE,"BCE_GRAL-ACTIVO";"PASIT",#N/A,FALSE,"BCE_GRAL-PASIVO-PATRIM";"CAJAT",#N/A,FALSE,"CAJA"}</definedName>
    <definedName name="ttttttttttt" hidden="1">{"PYGT",#N/A,FALSE,"PYG";"ACTIT",#N/A,FALSE,"BCE_GRAL-ACTIVO";"PASIT",#N/A,FALSE,"BCE_GRAL-PASIVO-PATRIM";"CAJAT",#N/A,FALSE,"CAJA"}</definedName>
    <definedName name="ttttttttttttt" localSheetId="4" hidden="1">{"PYGT",#N/A,FALSE,"PYG";"ACTIT",#N/A,FALSE,"BCE_GRAL-ACTIVO";"PASIT",#N/A,FALSE,"BCE_GRAL-PASIVO-PATRIM";"CAJAT",#N/A,FALSE,"CAJA"}</definedName>
    <definedName name="ttttttttttttt" localSheetId="3" hidden="1">{"PYGT",#N/A,FALSE,"PYG";"ACTIT",#N/A,FALSE,"BCE_GRAL-ACTIVO";"PASIT",#N/A,FALSE,"BCE_GRAL-PASIVO-PATRIM";"CAJAT",#N/A,FALSE,"CAJA"}</definedName>
    <definedName name="ttttttttttttt" localSheetId="2" hidden="1">{"PYGT",#N/A,FALSE,"PYG";"ACTIT",#N/A,FALSE,"BCE_GRAL-ACTIVO";"PASIT",#N/A,FALSE,"BCE_GRAL-PASIVO-PATRIM";"CAJAT",#N/A,FALSE,"CAJA"}</definedName>
    <definedName name="ttttttttttttt" hidden="1">{"PYGT",#N/A,FALSE,"PYG";"ACTIT",#N/A,FALSE,"BCE_GRAL-ACTIVO";"PASIT",#N/A,FALSE,"BCE_GRAL-PASIVO-PATRIM";"CAJAT",#N/A,FALSE,"CAJA"}</definedName>
    <definedName name="tyuio" hidden="1">{"PYGS",#N/A,FALSE,"PYG";"ACTIS",#N/A,FALSE,"BCE_GRAL-ACTIVO";"PASIS",#N/A,FALSE,"BCE_GRAL-PASIVO-PATRIM";"CAJAS",#N/A,FALSE,"CAJA"}</definedName>
    <definedName name="TYUT" hidden="1">{#N/A,#N/A,FALSE,"Aging Summary";#N/A,#N/A,FALSE,"Ratio Analysis";#N/A,#N/A,FALSE,"Test 120 Day Accts";#N/A,#N/A,FALSE,"Tickmarks"}</definedName>
    <definedName name="u" localSheetId="4" hidden="1">{#N/A,#N/A,TRUE,"Cond";#N/A,#N/A,TRUE,"Bce_hold";#N/A,#N/A,TRUE,"eerr_hold";#N/A,#N/A,TRUE,"eerr_prod";#N/A,#N/A,TRUE,"eerr_tipogtos";#N/A,#N/A,TRUE,"Flujo";#N/A,#N/A,TRUE,"Var_Ebit";#N/A,#N/A,TRUE,"Noa";#N/A,#N/A,TRUE,"Var_Noa"}</definedName>
    <definedName name="u" localSheetId="3" hidden="1">{#N/A,#N/A,TRUE,"Cond";#N/A,#N/A,TRUE,"Bce_hold";#N/A,#N/A,TRUE,"eerr_hold";#N/A,#N/A,TRUE,"eerr_prod";#N/A,#N/A,TRUE,"eerr_tipogtos";#N/A,#N/A,TRUE,"Flujo";#N/A,#N/A,TRUE,"Var_Ebit";#N/A,#N/A,TRUE,"Noa";#N/A,#N/A,TRUE,"Var_Noa"}</definedName>
    <definedName name="u" localSheetId="2" hidden="1">{#N/A,#N/A,TRUE,"Cond";#N/A,#N/A,TRUE,"Bce_hold";#N/A,#N/A,TRUE,"eerr_hold";#N/A,#N/A,TRUE,"eerr_prod";#N/A,#N/A,TRUE,"eerr_tipogtos";#N/A,#N/A,TRUE,"Flujo";#N/A,#N/A,TRUE,"Var_Ebit";#N/A,#N/A,TRUE,"Noa";#N/A,#N/A,TRUE,"Var_Noa"}</definedName>
    <definedName name="u" hidden="1">{#N/A,#N/A,TRUE,"Cond";#N/A,#N/A,TRUE,"Bce_hold";#N/A,#N/A,TRUE,"eerr_hold";#N/A,#N/A,TRUE,"eerr_prod";#N/A,#N/A,TRUE,"eerr_tipogtos";#N/A,#N/A,TRUE,"Flujo";#N/A,#N/A,TRUE,"Var_Ebit";#N/A,#N/A,TRUE,"Noa";#N/A,#N/A,TRUE,"Var_Noa"}</definedName>
    <definedName name="Ua" localSheetId="4" hidden="1">{#N/A,#N/A,FALSE,"balance";#N/A,#N/A,FALSE,"PYG"}</definedName>
    <definedName name="Ua" localSheetId="3" hidden="1">{#N/A,#N/A,FALSE,"balance";#N/A,#N/A,FALSE,"PYG"}</definedName>
    <definedName name="Ua" localSheetId="2" hidden="1">{#N/A,#N/A,FALSE,"balance";#N/A,#N/A,FALSE,"PYG"}</definedName>
    <definedName name="Ua" hidden="1">{#N/A,#N/A,FALSE,"balance";#N/A,#N/A,FALSE,"PYG"}</definedName>
    <definedName name="uf" hidden="1">{#N/A,#N/A,FALSE,"Aging Summary";#N/A,#N/A,FALSE,"Ratio Analysis";#N/A,#N/A,FALSE,"Test 120 Day Accts";#N/A,#N/A,FALSE,"Tickmarks"}</definedName>
    <definedName name="ui" localSheetId="4" hidden="1">{#N/A,#N/A,TRUE,"Cond";#N/A,#N/A,TRUE,"Bce_hold";#N/A,#N/A,TRUE,"eerr_hold";#N/A,#N/A,TRUE,"eerr_prod";#N/A,#N/A,TRUE,"eerr_tipogtos";#N/A,#N/A,TRUE,"Flujo";#N/A,#N/A,TRUE,"Var_Ebit";#N/A,#N/A,TRUE,"Noa";#N/A,#N/A,TRUE,"Var_Noa"}</definedName>
    <definedName name="ui" localSheetId="3" hidden="1">{#N/A,#N/A,TRUE,"Cond";#N/A,#N/A,TRUE,"Bce_hold";#N/A,#N/A,TRUE,"eerr_hold";#N/A,#N/A,TRUE,"eerr_prod";#N/A,#N/A,TRUE,"eerr_tipogtos";#N/A,#N/A,TRUE,"Flujo";#N/A,#N/A,TRUE,"Var_Ebit";#N/A,#N/A,TRUE,"Noa";#N/A,#N/A,TRUE,"Var_Noa"}</definedName>
    <definedName name="ui" localSheetId="2" hidden="1">{#N/A,#N/A,TRUE,"Cond";#N/A,#N/A,TRUE,"Bce_hold";#N/A,#N/A,TRUE,"eerr_hold";#N/A,#N/A,TRUE,"eerr_prod";#N/A,#N/A,TRUE,"eerr_tipogtos";#N/A,#N/A,TRUE,"Flujo";#N/A,#N/A,TRUE,"Var_Ebit";#N/A,#N/A,TRUE,"Noa";#N/A,#N/A,TRUE,"Var_Noa"}</definedName>
    <definedName name="ui" hidden="1">{#N/A,#N/A,TRUE,"Cond";#N/A,#N/A,TRUE,"Bce_hold";#N/A,#N/A,TRUE,"eerr_hold";#N/A,#N/A,TRUE,"eerr_prod";#N/A,#N/A,TRUE,"eerr_tipogtos";#N/A,#N/A,TRUE,"Flujo";#N/A,#N/A,TRUE,"Var_Ebit";#N/A,#N/A,TRUE,"Noa";#N/A,#N/A,TRUE,"Var_Noa"}</definedName>
    <definedName name="UÑA" hidden="1">{#N/A,#N/A,FALSE,"Aging Summary";#N/A,#N/A,FALSE,"Ratio Analysis";#N/A,#N/A,FALSE,"Test 120 Day Accts";#N/A,#N/A,FALSE,"Tickmarks"}</definedName>
    <definedName name="UÑERO" hidden="1">{"PYGS",#N/A,FALSE,"PYG";"ACTIS",#N/A,FALSE,"BCE_GRAL-ACTIVO";"PASIS",#N/A,FALSE,"BCE_GRAL-PASIVO-PATRIM";"CAJAS",#N/A,FALSE,"CAJA"}</definedName>
    <definedName name="util" hidden="1">{"'Hoja2'!$A$4:$H$68"}</definedName>
    <definedName name="v" hidden="1">{#N/A,#N/A,FALSE,"GRAFICO";#N/A,#N/A,FALSE,"CAJA (2)";#N/A,#N/A,FALSE,"TERCEROS-PROMEDIO";#N/A,#N/A,FALSE,"CAJA";#N/A,#N/A,FALSE,"INGRESOS1995-2003";#N/A,#N/A,FALSE,"GASTOS1995-2003"}</definedName>
    <definedName name="vb" hidden="1">{"Parcial",#N/A,FALSE,"GastFuncionamiento";"Parcial2",#N/A,FALSE,"GastFuncionamiento";"Total",#N/A,FALSE,"GastFuncionamiento"}</definedName>
    <definedName name="VENTA" localSheetId="4" hidden="1">{"'S. C. B.'!$E$207"}</definedName>
    <definedName name="VENTA" localSheetId="3" hidden="1">{"'S. C. B.'!$E$207"}</definedName>
    <definedName name="VENTA" localSheetId="2" hidden="1">{"'S. C. B.'!$E$207"}</definedName>
    <definedName name="VENTA" hidden="1">{"'S. C. B.'!$E$207"}</definedName>
    <definedName name="VENTAS" localSheetId="4" hidden="1">{"'S. C. B.'!$E$207"}</definedName>
    <definedName name="VENTAS" localSheetId="3" hidden="1">{"'S. C. B.'!$E$207"}</definedName>
    <definedName name="VENTAS" localSheetId="2" hidden="1">{"'S. C. B.'!$E$207"}</definedName>
    <definedName name="VENTAS" hidden="1">{"'S. C. B.'!$E$207"}</definedName>
    <definedName name="verde" hidden="1">{#N/A,#N/A,FALSE,"Aging Summary";#N/A,#N/A,FALSE,"Ratio Analysis";#N/A,#N/A,FALSE,"Test 120 Day Accts";#N/A,#N/A,FALSE,"Tickmarks"}</definedName>
    <definedName name="vghf" hidden="1">{#N/A,#N/A,FALSE,"Aging Summary";#N/A,#N/A,FALSE,"Ratio Analysis";#N/A,#N/A,FALSE,"Test 120 Day Accts";#N/A,#N/A,FALSE,"Tickmarks"}</definedName>
    <definedName name="VTA" localSheetId="4" hidden="1">{"'S. C. B.'!$E$207"}</definedName>
    <definedName name="VTA" localSheetId="3" hidden="1">{"'S. C. B.'!$E$207"}</definedName>
    <definedName name="VTA" localSheetId="2" hidden="1">{"'S. C. B.'!$E$207"}</definedName>
    <definedName name="VTA" hidden="1">{"'S. C. B.'!$E$207"}</definedName>
    <definedName name="vvvv" localSheetId="4" hidden="1">{#N/A,#N/A,FALSE,"balance";#N/A,#N/A,FALSE,"PYG"}</definedName>
    <definedName name="vvvv" localSheetId="3" hidden="1">{#N/A,#N/A,FALSE,"balance";#N/A,#N/A,FALSE,"PYG"}</definedName>
    <definedName name="vvvv" localSheetId="2" hidden="1">{#N/A,#N/A,FALSE,"balance";#N/A,#N/A,FALSE,"PYG"}</definedName>
    <definedName name="vvvv" hidden="1">{#N/A,#N/A,FALSE,"balance";#N/A,#N/A,FALSE,"PYG"}</definedName>
    <definedName name="VVVVV" hidden="1">{#N/A,#N/A,FALSE,"Full";#N/A,#N/A,FALSE,"Half";#N/A,#N/A,FALSE,"Op Expenses";#N/A,#N/A,FALSE,"Cap Charge";#N/A,#N/A,FALSE,"Cost C";#N/A,#N/A,FALSE,"PP&amp;E";#N/A,#N/A,FALSE,"R&amp;D"}</definedName>
    <definedName name="w" localSheetId="6" hidden="1">{#N/A,#N/A,FALSE,"Aging Summary";#N/A,#N/A,FALSE,"Ratio Analysis";#N/A,#N/A,FALSE,"Test 120 Day Accts";#N/A,#N/A,FALSE,"Tickmarks"}</definedName>
    <definedName name="w" localSheetId="1" hidden="1">{#N/A,#N/A,FALSE,"Aging Summary";#N/A,#N/A,FALSE,"Ratio Analysis";#N/A,#N/A,FALSE,"Test 120 Day Accts";#N/A,#N/A,FALSE,"Tickmarks"}</definedName>
    <definedName name="w" localSheetId="4" hidden="1">{#N/A,#N/A,FALSE,"Aging Summary";#N/A,#N/A,FALSE,"Ratio Analysis";#N/A,#N/A,FALSE,"Test 120 Day Accts";#N/A,#N/A,FALSE,"Tickmarks"}</definedName>
    <definedName name="w" localSheetId="0" hidden="1">{#N/A,#N/A,FALSE,"Aging Summary";#N/A,#N/A,FALSE,"Ratio Analysis";#N/A,#N/A,FALSE,"Test 120 Day Accts";#N/A,#N/A,FALSE,"Tickmarks"}</definedName>
    <definedName name="w" localSheetId="3" hidden="1">{#N/A,#N/A,FALSE,"Aging Summary";#N/A,#N/A,FALSE,"Ratio Analysis";#N/A,#N/A,FALSE,"Test 120 Day Accts";#N/A,#N/A,FALSE,"Tickmarks"}</definedName>
    <definedName name="w" localSheetId="2" hidden="1">{#N/A,#N/A,FALSE,"Aging Summary";#N/A,#N/A,FALSE,"Ratio Analysis";#N/A,#N/A,FALSE,"Test 120 Day Accts";#N/A,#N/A,FALSE,"Tickmarks"}</definedName>
    <definedName name="w" localSheetId="5" hidden="1">{#N/A,#N/A,FALSE,"Aging Summary";#N/A,#N/A,FALSE,"Ratio Analysis";#N/A,#N/A,FALSE,"Test 120 Day Accts";#N/A,#N/A,FALSE,"Tickmarks"}</definedName>
    <definedName name="w" localSheetId="7" hidden="1">{#N/A,#N/A,FALSE,"Aging Summary";#N/A,#N/A,FALSE,"Ratio Analysis";#N/A,#N/A,FALSE,"Test 120 Day Accts";#N/A,#N/A,FALSE,"Tickmarks"}</definedName>
    <definedName name="w" hidden="1">{#N/A,#N/A,FALSE,"Aging Summary";#N/A,#N/A,FALSE,"Ratio Analysis";#N/A,#N/A,FALSE,"Test 120 Day Accts";#N/A,#N/A,FALSE,"Tickmarks"}</definedName>
    <definedName name="WEAR" hidden="1">{#N/A,#N/A,FALSE,"Aging Summary";#N/A,#N/A,FALSE,"Ratio Analysis";#N/A,#N/A,FALSE,"Test 120 Day Accts";#N/A,#N/A,FALSE,"Tickmarks"}</definedName>
    <definedName name="william" hidden="1">{#N/A,#N/A,FALSE,"Aging Summary";#N/A,#N/A,FALSE,"Ratio Analysis";#N/A,#N/A,FALSE,"Test 120 Day Accts";#N/A,#N/A,FALSE,"Tickmarks"}</definedName>
    <definedName name="wq" hidden="1">{#N/A,#N/A,FALSE,"Aging Summary";#N/A,#N/A,FALSE,"Ratio Analysis";#N/A,#N/A,FALSE,"Test 120 Day Accts";#N/A,#N/A,FALSE,"Tickmarks"}</definedName>
    <definedName name="wqa" hidden="1">{#N/A,#N/A,FALSE,"Aging Summary";#N/A,#N/A,FALSE,"Ratio Analysis";#N/A,#N/A,FALSE,"Test 120 Day Accts";#N/A,#N/A,FALSE,"Tickmarks"}</definedName>
    <definedName name="wr"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6" hidden="1">{#N/A,#N/A,FALSE,"BL&amp;GPA";#N/A,#N/A,FALSE,"Summary";#N/A,#N/A,FALSE,"hts"}</definedName>
    <definedName name="wrn.all." localSheetId="1" hidden="1">{#N/A,#N/A,FALSE,"BL&amp;GPA";#N/A,#N/A,FALSE,"Summary";#N/A,#N/A,FALSE,"hts"}</definedName>
    <definedName name="wrn.all." localSheetId="4" hidden="1">{#N/A,#N/A,FALSE,"BL&amp;GPA";#N/A,#N/A,FALSE,"Summary";#N/A,#N/A,FALSE,"hts"}</definedName>
    <definedName name="wrn.all." localSheetId="0" hidden="1">{#N/A,#N/A,FALSE,"BL&amp;GPA";#N/A,#N/A,FALSE,"Summary";#N/A,#N/A,FALSE,"hts"}</definedName>
    <definedName name="wrn.all." localSheetId="3" hidden="1">{#N/A,#N/A,FALSE,"BL&amp;GPA";#N/A,#N/A,FALSE,"Summary";#N/A,#N/A,FALSE,"hts"}</definedName>
    <definedName name="wrn.all." localSheetId="2" hidden="1">{#N/A,#N/A,FALSE,"BL&amp;GPA";#N/A,#N/A,FALSE,"Summary";#N/A,#N/A,FALSE,"hts"}</definedName>
    <definedName name="wrn.all." localSheetId="5" hidden="1">{#N/A,#N/A,FALSE,"BL&amp;GPA";#N/A,#N/A,FALSE,"Summary";#N/A,#N/A,FALSE,"hts"}</definedName>
    <definedName name="wrn.all." localSheetId="7" hidden="1">{#N/A,#N/A,FALSE,"BL&amp;GPA";#N/A,#N/A,FALSE,"Summary";#N/A,#N/A,FALSE,"hts"}</definedName>
    <definedName name="wrn.all." hidden="1">{#N/A,#N/A,FALSE,"BL&amp;GPA";#N/A,#N/A,FALSE,"Summary";#N/A,#N/A,FALSE,"hts"}</definedName>
    <definedName name="WRN.ALL.2" localSheetId="6" hidden="1">{#N/A,#N/A,FALSE,"BL&amp;GPA";#N/A,#N/A,FALSE,"Summary";#N/A,#N/A,FALSE,"hts"}</definedName>
    <definedName name="WRN.ALL.2" localSheetId="1" hidden="1">{#N/A,#N/A,FALSE,"BL&amp;GPA";#N/A,#N/A,FALSE,"Summary";#N/A,#N/A,FALSE,"hts"}</definedName>
    <definedName name="WRN.ALL.2" localSheetId="4" hidden="1">{#N/A,#N/A,FALSE,"BL&amp;GPA";#N/A,#N/A,FALSE,"Summary";#N/A,#N/A,FALSE,"hts"}</definedName>
    <definedName name="WRN.ALL.2" localSheetId="0" hidden="1">{#N/A,#N/A,FALSE,"BL&amp;GPA";#N/A,#N/A,FALSE,"Summary";#N/A,#N/A,FALSE,"hts"}</definedName>
    <definedName name="WRN.ALL.2" localSheetId="3" hidden="1">{#N/A,#N/A,FALSE,"BL&amp;GPA";#N/A,#N/A,FALSE,"Summary";#N/A,#N/A,FALSE,"hts"}</definedName>
    <definedName name="WRN.ALL.2" localSheetId="2" hidden="1">{#N/A,#N/A,FALSE,"BL&amp;GPA";#N/A,#N/A,FALSE,"Summary";#N/A,#N/A,FALSE,"hts"}</definedName>
    <definedName name="WRN.ALL.2" localSheetId="5" hidden="1">{#N/A,#N/A,FALSE,"BL&amp;GPA";#N/A,#N/A,FALSE,"Summary";#N/A,#N/A,FALSE,"hts"}</definedName>
    <definedName name="WRN.ALL.2" localSheetId="7" hidden="1">{#N/A,#N/A,FALSE,"BL&amp;GPA";#N/A,#N/A,FALSE,"Summary";#N/A,#N/A,FALSE,"hts"}</definedName>
    <definedName name="WRN.ALL.2" hidden="1">{#N/A,#N/A,FALSE,"BL&amp;GPA";#N/A,#N/A,FALSE,"Summary";#N/A,#N/A,FALSE,"hts"}</definedName>
    <definedName name="wrn.Book." hidden="1">{"EVA",#N/A,FALSE,"SMT2";#N/A,#N/A,FALSE,"Summary";#N/A,#N/A,FALSE,"Graphs";#N/A,#N/A,FALSE,"4 Panel"}</definedName>
    <definedName name="wrn.Complete." hidden="1">{#N/A,#N/A,FALSE,"SMT1";#N/A,#N/A,FALSE,"SMT2";#N/A,#N/A,FALSE,"Summary";#N/A,#N/A,FALSE,"Graphs";#N/A,#N/A,FALSE,"4 Panel"}</definedName>
    <definedName name="wrn.Complete._.Set." hidden="1">{#N/A,#N/A,FALSE,"Full";#N/A,#N/A,FALSE,"Half";#N/A,#N/A,FALSE,"Op Expenses";#N/A,#N/A,FALSE,"Cap Charge";#N/A,#N/A,FALSE,"Cost C";#N/A,#N/A,FALSE,"PP&amp;E";#N/A,#N/A,FALSE,"R&amp;D"}</definedName>
    <definedName name="wrn.Financ_polchem." localSheetId="4" hidden="1">{#N/A,#N/A,TRUE,"Cond";#N/A,#N/A,TRUE,"Bce_hold";#N/A,#N/A,TRUE,"eerr_hold";#N/A,#N/A,TRUE,"eerr_prod";#N/A,#N/A,TRUE,"eerr_tipogtos";#N/A,#N/A,TRUE,"Flujo";#N/A,#N/A,TRUE,"Var_Ebit";#N/A,#N/A,TRUE,"Noa";#N/A,#N/A,TRUE,"Var_Noa"}</definedName>
    <definedName name="wrn.Financ_polchem." localSheetId="3" hidden="1">{#N/A,#N/A,TRUE,"Cond";#N/A,#N/A,TRUE,"Bce_hold";#N/A,#N/A,TRUE,"eerr_hold";#N/A,#N/A,TRUE,"eerr_prod";#N/A,#N/A,TRUE,"eerr_tipogtos";#N/A,#N/A,TRUE,"Flujo";#N/A,#N/A,TRUE,"Var_Ebit";#N/A,#N/A,TRUE,"Noa";#N/A,#N/A,TRUE,"Var_Noa"}</definedName>
    <definedName name="wrn.Financ_polchem." localSheetId="2" hidden="1">{#N/A,#N/A,TRUE,"Cond";#N/A,#N/A,TRUE,"Bce_hold";#N/A,#N/A,TRUE,"eerr_hold";#N/A,#N/A,TRUE,"eerr_prod";#N/A,#N/A,TRUE,"eerr_tipogtos";#N/A,#N/A,TRUE,"Flujo";#N/A,#N/A,TRUE,"Var_Ebit";#N/A,#N/A,TRUE,"Noa";#N/A,#N/A,TRUE,"Var_Noa"}</definedName>
    <definedName name="wrn.Financ_polchem." hidden="1">{#N/A,#N/A,TRUE,"Cond";#N/A,#N/A,TRUE,"Bce_hold";#N/A,#N/A,TRUE,"eerr_hold";#N/A,#N/A,TRUE,"eerr_prod";#N/A,#N/A,TRUE,"eerr_tipogtos";#N/A,#N/A,TRUE,"Flujo";#N/A,#N/A,TRUE,"Var_Ebit";#N/A,#N/A,TRUE,"Noa";#N/A,#N/A,TRUE,"Var_Noa"}</definedName>
    <definedName name="wrn.indirectostotal." localSheetId="6" hidden="1">{"idirectoskwh",#N/A,FALSE,"INDIRECTOS"}</definedName>
    <definedName name="wrn.indirectostotal." localSheetId="1" hidden="1">{"idirectoskwh",#N/A,FALSE,"INDIRECTOS"}</definedName>
    <definedName name="wrn.indirectostotal." localSheetId="4" hidden="1">{"idirectoskwh",#N/A,FALSE,"INDIRECTOS"}</definedName>
    <definedName name="wrn.indirectostotal." localSheetId="0" hidden="1">{"idirectoskwh",#N/A,FALSE,"INDIRECTOS"}</definedName>
    <definedName name="wrn.indirectostotal." localSheetId="3" hidden="1">{"idirectoskwh",#N/A,FALSE,"INDIRECTOS"}</definedName>
    <definedName name="wrn.indirectostotal." localSheetId="2" hidden="1">{"idirectoskwh",#N/A,FALSE,"INDIRECTOS"}</definedName>
    <definedName name="wrn.indirectostotal." localSheetId="5" hidden="1">{"idirectoskwh",#N/A,FALSE,"INDIRECTOS"}</definedName>
    <definedName name="wrn.indirectostotal." localSheetId="7" hidden="1">{"idirectoskwh",#N/A,FALSE,"INDIRECTOS"}</definedName>
    <definedName name="wrn.indirectostotal." hidden="1">{"idirectoskwh",#N/A,FALSE,"INDIRECTOS"}</definedName>
    <definedName name="wrn.Inf_CLP." localSheetId="4" hidden="1">{#N/A,#N/A,TRUE,"TAPA ";"INDICE_CLP",#N/A,TRUE,"Indice";#N/A,#N/A,TRUE,"Cond";#N/A,#N/A,TRUE,"Bce_hold";#N/A,#N/A,TRUE,"eerr_hold";#N/A,#N/A,TRUE,"eerr_prod";#N/A,#N/A,TRUE,"eerr_tipogtos";#N/A,#N/A,TRUE,"Flujo";#N/A,#N/A,TRUE,"Var_Ebit";#N/A,#N/A,TRUE,"Noa";#N/A,#N/A,TRUE,"Var_Noa"}</definedName>
    <definedName name="wrn.Inf_CLP." localSheetId="3" hidden="1">{#N/A,#N/A,TRUE,"TAPA ";"INDICE_CLP",#N/A,TRUE,"Indice";#N/A,#N/A,TRUE,"Cond";#N/A,#N/A,TRUE,"Bce_hold";#N/A,#N/A,TRUE,"eerr_hold";#N/A,#N/A,TRUE,"eerr_prod";#N/A,#N/A,TRUE,"eerr_tipogtos";#N/A,#N/A,TRUE,"Flujo";#N/A,#N/A,TRUE,"Var_Ebit";#N/A,#N/A,TRUE,"Noa";#N/A,#N/A,TRUE,"Var_Noa"}</definedName>
    <definedName name="wrn.Inf_CLP." localSheetId="2" hidden="1">{#N/A,#N/A,TRUE,"TAPA ";"INDICE_CLP",#N/A,TRUE,"Indice";#N/A,#N/A,TRUE,"Cond";#N/A,#N/A,TRUE,"Bce_hold";#N/A,#N/A,TRUE,"eerr_hold";#N/A,#N/A,TRUE,"eerr_prod";#N/A,#N/A,TRUE,"eerr_tipogtos";#N/A,#N/A,TRUE,"Flujo";#N/A,#N/A,TRUE,"Var_Ebit";#N/A,#N/A,TRUE,"Noa";#N/A,#N/A,TRUE,"Var_Noa"}</definedName>
    <definedName name="wrn.Inf_CLP." hidden="1">{#N/A,#N/A,TRUE,"TAPA ";"INDICE_CLP",#N/A,TRUE,"Indice";#N/A,#N/A,TRUE,"Cond";#N/A,#N/A,TRUE,"Bce_hold";#N/A,#N/A,TRUE,"eerr_hold";#N/A,#N/A,TRUE,"eerr_prod";#N/A,#N/A,TRUE,"eerr_tipogtos";#N/A,#N/A,TRUE,"Flujo";#N/A,#N/A,TRUE,"Var_Ebit";#N/A,#N/A,TRUE,"Noa";#N/A,#N/A,TRUE,"Var_Noa"}</definedName>
    <definedName name="wrn.INF_USD." localSheetId="4" hidden="1">{"INDICE_USD",#N/A,FALSE,"Indice";#N/A,#N/A,FALSE,"Condusd";#N/A,#N/A,FALSE,"Bce_holdusd";#N/A,#N/A,FALSE,"eerr_holdusd";#N/A,#N/A,FALSE,"eerr_produsd";#N/A,#N/A,FALSE,"eerr_tipogtosusd";#N/A,#N/A,FALSE,"Flujousd";#N/A,#N/A,FALSE,"Var_Ebitusd";#N/A,#N/A,FALSE,"Noausd";#N/A,#N/A,FALSE,"Var_Noausd"}</definedName>
    <definedName name="wrn.INF_USD." localSheetId="3" hidden="1">{"INDICE_USD",#N/A,FALSE,"Indice";#N/A,#N/A,FALSE,"Condusd";#N/A,#N/A,FALSE,"Bce_holdusd";#N/A,#N/A,FALSE,"eerr_holdusd";#N/A,#N/A,FALSE,"eerr_produsd";#N/A,#N/A,FALSE,"eerr_tipogtosusd";#N/A,#N/A,FALSE,"Flujousd";#N/A,#N/A,FALSE,"Var_Ebitusd";#N/A,#N/A,FALSE,"Noausd";#N/A,#N/A,FALSE,"Var_Noausd"}</definedName>
    <definedName name="wrn.INF_USD." localSheetId="2" hidden="1">{"INDICE_USD",#N/A,FALSE,"Indice";#N/A,#N/A,FALSE,"Condusd";#N/A,#N/A,FALSE,"Bce_holdusd";#N/A,#N/A,FALSE,"eerr_holdusd";#N/A,#N/A,FALSE,"eerr_produsd";#N/A,#N/A,FALSE,"eerr_tipogtosusd";#N/A,#N/A,FALSE,"Flujousd";#N/A,#N/A,FALSE,"Var_Ebitusd";#N/A,#N/A,FALSE,"Noausd";#N/A,#N/A,FALSE,"Var_Noausd"}</definedName>
    <definedName name="wrn.INF_USD." hidden="1">{"INDICE_USD",#N/A,FALSE,"Indice";#N/A,#N/A,FALSE,"Condusd";#N/A,#N/A,FALSE,"Bce_holdusd";#N/A,#N/A,FALSE,"eerr_holdusd";#N/A,#N/A,FALSE,"eerr_produsd";#N/A,#N/A,FALSE,"eerr_tipogtosusd";#N/A,#N/A,FALSE,"Flujousd";#N/A,#N/A,FALSE,"Var_Ebitusd";#N/A,#N/A,FALSE,"Noausd";#N/A,#N/A,FALSE,"Var_Noausd"}</definedName>
    <definedName name="wrn.junta." localSheetId="6" hidden="1">{#N/A,#N/A,FALSE,"balance";#N/A,#N/A,FALSE,"PYG"}</definedName>
    <definedName name="wrn.junta." localSheetId="1" hidden="1">{#N/A,#N/A,FALSE,"balance";#N/A,#N/A,FALSE,"PYG"}</definedName>
    <definedName name="wrn.junta." localSheetId="4" hidden="1">{#N/A,#N/A,FALSE,"balance";#N/A,#N/A,FALSE,"PYG"}</definedName>
    <definedName name="wrn.junta." localSheetId="0" hidden="1">{#N/A,#N/A,FALSE,"balance";#N/A,#N/A,FALSE,"PYG"}</definedName>
    <definedName name="wrn.junta." localSheetId="3" hidden="1">{#N/A,#N/A,FALSE,"balance";#N/A,#N/A,FALSE,"PYG"}</definedName>
    <definedName name="wrn.junta." localSheetId="2" hidden="1">{#N/A,#N/A,FALSE,"balance";#N/A,#N/A,FALSE,"PYG"}</definedName>
    <definedName name="wrn.junta." localSheetId="5" hidden="1">{#N/A,#N/A,FALSE,"balance";#N/A,#N/A,FALSE,"PYG"}</definedName>
    <definedName name="wrn.junta." localSheetId="7" hidden="1">{#N/A,#N/A,FALSE,"balance";#N/A,#N/A,FALSE,"PYG"}</definedName>
    <definedName name="wrn.junta." hidden="1">{#N/A,#N/A,FALSE,"balance";#N/A,#N/A,FALSE,"PYG"}</definedName>
    <definedName name="wrn.Junta._.Principal." localSheetId="4" hidden="1">{#N/A,#N/A,FALSE,"VENTAS";#N/A,#N/A,FALSE,"U. BRUTA";#N/A,#N/A,FALSE,"G. PERSONAL";#N/A,#N/A,FALSE,"G. OPERACION";#N/A,#N/A,FALSE,"G. DEPYAM";#N/A,#N/A,FALSE,"INGRESOS";#N/A,#N/A,FALSE,"G.o P.1";#N/A,#N/A,FALSE,"3%Informe Junta";#N/A,#N/A,FALSE,"P Y G (2)";#N/A,#N/A,FALSE,"CART. PROV.";#N/A,#N/A,FALSE,"Usecmes";#N/A,#N/A,FALSE,"Usecacu"}</definedName>
    <definedName name="wrn.Junta._.Principal." localSheetId="3" hidden="1">{#N/A,#N/A,FALSE,"VENTAS";#N/A,#N/A,FALSE,"U. BRUTA";#N/A,#N/A,FALSE,"G. PERSONAL";#N/A,#N/A,FALSE,"G. OPERACION";#N/A,#N/A,FALSE,"G. DEPYAM";#N/A,#N/A,FALSE,"INGRESOS";#N/A,#N/A,FALSE,"G.o P.1";#N/A,#N/A,FALSE,"3%Informe Junta";#N/A,#N/A,FALSE,"P Y G (2)";#N/A,#N/A,FALSE,"CART. PROV.";#N/A,#N/A,FALSE,"Usecmes";#N/A,#N/A,FALSE,"Usecacu"}</definedName>
    <definedName name="wrn.Junta._.Principal." localSheetId="2" hidden="1">{#N/A,#N/A,FALSE,"VENTAS";#N/A,#N/A,FALSE,"U. BRUTA";#N/A,#N/A,FALSE,"G. PERSONAL";#N/A,#N/A,FALSE,"G. OPERACION";#N/A,#N/A,FALSE,"G. DEPYAM";#N/A,#N/A,FALSE,"INGRESOS";#N/A,#N/A,FALSE,"G.o P.1";#N/A,#N/A,FALSE,"3%Informe Junta";#N/A,#N/A,FALSE,"P Y G (2)";#N/A,#N/A,FALSE,"CART. PROV.";#N/A,#N/A,FALSE,"Usecmes";#N/A,#N/A,FALSE,"Usecacu"}</definedName>
    <definedName name="wrn.Junta._.Principal." hidden="1">{#N/A,#N/A,FALSE,"VENTAS";#N/A,#N/A,FALSE,"U. BRUTA";#N/A,#N/A,FALSE,"G. PERSONAL";#N/A,#N/A,FALSE,"G. OPERACION";#N/A,#N/A,FALSE,"G. DEPYAM";#N/A,#N/A,FALSE,"INGRESOS";#N/A,#N/A,FALSE,"G.o P.1";#N/A,#N/A,FALSE,"3%Informe Junta";#N/A,#N/A,FALSE,"P Y G (2)";#N/A,#N/A,FALSE,"CART. PROV.";#N/A,#N/A,FALSE,"Usecmes";#N/A,#N/A,FALSE,"Usecacu"}</definedName>
    <definedName name="wrn.junta.2" localSheetId="6" hidden="1">{#N/A,#N/A,FALSE,"balance";#N/A,#N/A,FALSE,"PYG"}</definedName>
    <definedName name="wrn.junta.2" localSheetId="1" hidden="1">{#N/A,#N/A,FALSE,"balance";#N/A,#N/A,FALSE,"PYG"}</definedName>
    <definedName name="wrn.junta.2" localSheetId="4" hidden="1">{#N/A,#N/A,FALSE,"balance";#N/A,#N/A,FALSE,"PYG"}</definedName>
    <definedName name="wrn.junta.2" localSheetId="0" hidden="1">{#N/A,#N/A,FALSE,"balance";#N/A,#N/A,FALSE,"PYG"}</definedName>
    <definedName name="wrn.junta.2" localSheetId="3" hidden="1">{#N/A,#N/A,FALSE,"balance";#N/A,#N/A,FALSE,"PYG"}</definedName>
    <definedName name="wrn.junta.2" localSheetId="2" hidden="1">{#N/A,#N/A,FALSE,"balance";#N/A,#N/A,FALSE,"PYG"}</definedName>
    <definedName name="wrn.junta.2" localSheetId="5" hidden="1">{#N/A,#N/A,FALSE,"balance";#N/A,#N/A,FALSE,"PYG"}</definedName>
    <definedName name="wrn.junta.2" localSheetId="7" hidden="1">{#N/A,#N/A,FALSE,"balance";#N/A,#N/A,FALSE,"PYG"}</definedName>
    <definedName name="wrn.junta.2" hidden="1">{#N/A,#N/A,FALSE,"balance";#N/A,#N/A,FALSE,"PYG"}</definedName>
    <definedName name="wrn.KWHTOTAL." localSheetId="6" hidden="1">{"KWHTONTOTAL",#N/A,FALSE,"KWHTON"}</definedName>
    <definedName name="wrn.KWHTOTAL." localSheetId="1" hidden="1">{"KWHTONTOTAL",#N/A,FALSE,"KWHTON"}</definedName>
    <definedName name="wrn.KWHTOTAL." localSheetId="4" hidden="1">{"KWHTONTOTAL",#N/A,FALSE,"KWHTON"}</definedName>
    <definedName name="wrn.KWHTOTAL." localSheetId="0" hidden="1">{"KWHTONTOTAL",#N/A,FALSE,"KWHTON"}</definedName>
    <definedName name="wrn.KWHTOTAL." localSheetId="3" hidden="1">{"KWHTONTOTAL",#N/A,FALSE,"KWHTON"}</definedName>
    <definedName name="wrn.KWHTOTAL." localSheetId="2" hidden="1">{"KWHTONTOTAL",#N/A,FALSE,"KWHTON"}</definedName>
    <definedName name="wrn.KWHTOTAL." localSheetId="5" hidden="1">{"KWHTONTOTAL",#N/A,FALSE,"KWHTON"}</definedName>
    <definedName name="wrn.KWHTOTAL." localSheetId="7" hidden="1">{"KWHTONTOTAL",#N/A,FALSE,"KWHTON"}</definedName>
    <definedName name="wrn.KWHTOTAL." hidden="1">{"KWHTONTOTAL",#N/A,FALSE,"KWHTON"}</definedName>
    <definedName name="wrn.print._.rept.." localSheetId="6" hidden="1">{#N/A,#N/A,FALSE,"GP";#N/A,#N/A,FALSE,"Summary"}</definedName>
    <definedName name="wrn.print._.rept.." localSheetId="1" hidden="1">{#N/A,#N/A,FALSE,"GP";#N/A,#N/A,FALSE,"Summary"}</definedName>
    <definedName name="wrn.print._.rept.." localSheetId="4" hidden="1">{#N/A,#N/A,FALSE,"GP";#N/A,#N/A,FALSE,"Summary"}</definedName>
    <definedName name="wrn.print._.rept.." localSheetId="0" hidden="1">{#N/A,#N/A,FALSE,"GP";#N/A,#N/A,FALSE,"Summary"}</definedName>
    <definedName name="wrn.print._.rept.." localSheetId="3" hidden="1">{#N/A,#N/A,FALSE,"GP";#N/A,#N/A,FALSE,"Summary"}</definedName>
    <definedName name="wrn.print._.rept.." localSheetId="2" hidden="1">{#N/A,#N/A,FALSE,"GP";#N/A,#N/A,FALSE,"Summary"}</definedName>
    <definedName name="wrn.print._.rept.." localSheetId="5" hidden="1">{#N/A,#N/A,FALSE,"GP";#N/A,#N/A,FALSE,"Summary"}</definedName>
    <definedName name="wrn.print._.rept.." localSheetId="7" hidden="1">{#N/A,#N/A,FALSE,"GP";#N/A,#N/A,FALSE,"Summary"}</definedName>
    <definedName name="wrn.print._.rept.." hidden="1">{#N/A,#N/A,FALSE,"GP";#N/A,#N/A,FALSE,"Summary"}</definedName>
    <definedName name="wrn.PROYEC." localSheetId="4" hidden="1">{#N/A,#N/A,FALSE,"GRAFICO";#N/A,#N/A,FALSE,"CAJA (2)";#N/A,#N/A,FALSE,"TERCEROS-PROMEDIO";#N/A,#N/A,FALSE,"CAJA";#N/A,#N/A,FALSE,"INGRESOS1995-2003";#N/A,#N/A,FALSE,"GASTOS1995-2003"}</definedName>
    <definedName name="wrn.PROYEC." localSheetId="3" hidden="1">{#N/A,#N/A,FALSE,"GRAFICO";#N/A,#N/A,FALSE,"CAJA (2)";#N/A,#N/A,FALSE,"TERCEROS-PROMEDIO";#N/A,#N/A,FALSE,"CAJA";#N/A,#N/A,FALSE,"INGRESOS1995-2003";#N/A,#N/A,FALSE,"GASTOS1995-2003"}</definedName>
    <definedName name="wrn.PROYEC." localSheetId="2" hidden="1">{#N/A,#N/A,FALSE,"GRAFICO";#N/A,#N/A,FALSE,"CAJA (2)";#N/A,#N/A,FALSE,"TERCEROS-PROMEDIO";#N/A,#N/A,FALSE,"CAJA";#N/A,#N/A,FALSE,"INGRESOS1995-2003";#N/A,#N/A,FALSE,"GASTOS1995-2003"}</definedName>
    <definedName name="wrn.PROYEC." hidden="1">{#N/A,#N/A,FALSE,"GRAFICO";#N/A,#N/A,FALSE,"CAJA (2)";#N/A,#N/A,FALSE,"TERCEROS-PROMEDIO";#N/A,#N/A,FALSE,"CAJA";#N/A,#N/A,FALSE,"INGRESOS1995-2003";#N/A,#N/A,FALSE,"GASTOS1995-2003"}</definedName>
    <definedName name="wrn.SENCILLO." localSheetId="4" hidden="1">{"PYGS",#N/A,FALSE,"PYG";"ACTIS",#N/A,FALSE,"BCE_GRAL-ACTIVO";"PASIS",#N/A,FALSE,"BCE_GRAL-PASIVO-PATRIM";"CAJAS",#N/A,FALSE,"CAJA"}</definedName>
    <definedName name="wrn.SENCILLO." localSheetId="3" hidden="1">{"PYGS",#N/A,FALSE,"PYG";"ACTIS",#N/A,FALSE,"BCE_GRAL-ACTIVO";"PASIS",#N/A,FALSE,"BCE_GRAL-PASIVO-PATRIM";"CAJAS",#N/A,FALSE,"CAJA"}</definedName>
    <definedName name="wrn.SENCILLO." localSheetId="2" hidden="1">{"PYGS",#N/A,FALSE,"PYG";"ACTIS",#N/A,FALSE,"BCE_GRAL-ACTIVO";"PASIS",#N/A,FALSE,"BCE_GRAL-PASIVO-PATRIM";"CAJAS",#N/A,FALSE,"CAJA"}</definedName>
    <definedName name="wrn.SENCILLO." hidden="1">{"PYGS",#N/A,FALSE,"PYG";"ACTIS",#N/A,FALSE,"BCE_GRAL-ACTIVO";"PASIS",#N/A,FALSE,"BCE_GRAL-PASIVO-PATRIM";"CAJAS",#N/A,FALSE,"CAJA"}</definedName>
    <definedName name="wrn.TOTAL." localSheetId="4" hidden="1">{"PYGT",#N/A,FALSE,"PYG";"ACTIT",#N/A,FALSE,"BCE_GRAL-ACTIVO";"PASIT",#N/A,FALSE,"BCE_GRAL-PASIVO-PATRIM";"CAJAT",#N/A,FALSE,"CAJA"}</definedName>
    <definedName name="wrn.TOTAL." localSheetId="3" hidden="1">{"PYGT",#N/A,FALSE,"PYG";"ACTIT",#N/A,FALSE,"BCE_GRAL-ACTIVO";"PASIT",#N/A,FALSE,"BCE_GRAL-PASIVO-PATRIM";"CAJAT",#N/A,FALSE,"CAJA"}</definedName>
    <definedName name="wrn.TOTAL." localSheetId="2" hidden="1">{"PYGT",#N/A,FALSE,"PYG";"ACTIT",#N/A,FALSE,"BCE_GRAL-ACTIVO";"PASIT",#N/A,FALSE,"BCE_GRAL-PASIVO-PATRIM";"CAJAT",#N/A,FALSE,"CAJA"}</definedName>
    <definedName name="wrn.TOTAL." hidden="1">{"PYGT",#N/A,FALSE,"PYG";"ACTIT",#N/A,FALSE,"BCE_GRAL-ACTIVO";"PASIT",#N/A,FALSE,"BCE_GRAL-PASIVO-PATRIM";"CAJAT",#N/A,FALSE,"CAJA"}</definedName>
    <definedName name="Wrn_print._rept_2" localSheetId="6" hidden="1">{#N/A,#N/A,FALSE,"GP";#N/A,#N/A,FALSE,"Summary"}</definedName>
    <definedName name="Wrn_print._rept_2" localSheetId="1" hidden="1">{#N/A,#N/A,FALSE,"GP";#N/A,#N/A,FALSE,"Summary"}</definedName>
    <definedName name="Wrn_print._rept_2" localSheetId="4" hidden="1">{#N/A,#N/A,FALSE,"GP";#N/A,#N/A,FALSE,"Summary"}</definedName>
    <definedName name="Wrn_print._rept_2" localSheetId="0" hidden="1">{#N/A,#N/A,FALSE,"GP";#N/A,#N/A,FALSE,"Summary"}</definedName>
    <definedName name="Wrn_print._rept_2" localSheetId="3" hidden="1">{#N/A,#N/A,FALSE,"GP";#N/A,#N/A,FALSE,"Summary"}</definedName>
    <definedName name="Wrn_print._rept_2" localSheetId="2" hidden="1">{#N/A,#N/A,FALSE,"GP";#N/A,#N/A,FALSE,"Summary"}</definedName>
    <definedName name="Wrn_print._rept_2" localSheetId="5" hidden="1">{#N/A,#N/A,FALSE,"GP";#N/A,#N/A,FALSE,"Summary"}</definedName>
    <definedName name="Wrn_print._rept_2" localSheetId="7" hidden="1">{#N/A,#N/A,FALSE,"GP";#N/A,#N/A,FALSE,"Summary"}</definedName>
    <definedName name="Wrn_print._rept_2" hidden="1">{#N/A,#N/A,FALSE,"GP";#N/A,#N/A,FALSE,"Summary"}</definedName>
    <definedName name="WWWW" localSheetId="4" hidden="1">{"KWHTONTOTAL",#N/A,FALSE,"KWHTON"}</definedName>
    <definedName name="WWWW" localSheetId="3" hidden="1">{"KWHTONTOTAL",#N/A,FALSE,"KWHTON"}</definedName>
    <definedName name="WWWW" localSheetId="2" hidden="1">{"KWHTONTOTAL",#N/A,FALSE,"KWHTON"}</definedName>
    <definedName name="WWWW" hidden="1">{"KWHTONTOTAL",#N/A,FALSE,"KWHTON"}</definedName>
    <definedName name="wwwwww" localSheetId="4" hidden="1">{#N/A,#N/A,TRUE,"Cond";#N/A,#N/A,TRUE,"Bce_hold";#N/A,#N/A,TRUE,"eerr_hold";#N/A,#N/A,TRUE,"eerr_prod";#N/A,#N/A,TRUE,"eerr_tipogtos";#N/A,#N/A,TRUE,"Flujo";#N/A,#N/A,TRUE,"Var_Ebit";#N/A,#N/A,TRUE,"Noa";#N/A,#N/A,TRUE,"Var_Noa"}</definedName>
    <definedName name="wwwwww" localSheetId="3" hidden="1">{#N/A,#N/A,TRUE,"Cond";#N/A,#N/A,TRUE,"Bce_hold";#N/A,#N/A,TRUE,"eerr_hold";#N/A,#N/A,TRUE,"eerr_prod";#N/A,#N/A,TRUE,"eerr_tipogtos";#N/A,#N/A,TRUE,"Flujo";#N/A,#N/A,TRUE,"Var_Ebit";#N/A,#N/A,TRUE,"Noa";#N/A,#N/A,TRUE,"Var_Noa"}</definedName>
    <definedName name="wwwwww" localSheetId="2" hidden="1">{#N/A,#N/A,TRUE,"Cond";#N/A,#N/A,TRUE,"Bce_hold";#N/A,#N/A,TRUE,"eerr_hold";#N/A,#N/A,TRUE,"eerr_prod";#N/A,#N/A,TRUE,"eerr_tipogtos";#N/A,#N/A,TRUE,"Flujo";#N/A,#N/A,TRUE,"Var_Ebit";#N/A,#N/A,TRUE,"Noa";#N/A,#N/A,TRUE,"Var_Noa"}</definedName>
    <definedName name="wwwwww" hidden="1">{#N/A,#N/A,TRUE,"Cond";#N/A,#N/A,TRUE,"Bce_hold";#N/A,#N/A,TRUE,"eerr_hold";#N/A,#N/A,TRUE,"eerr_prod";#N/A,#N/A,TRUE,"eerr_tipogtos";#N/A,#N/A,TRUE,"Flujo";#N/A,#N/A,TRUE,"Var_Ebit";#N/A,#N/A,TRUE,"Noa";#N/A,#N/A,TRUE,"Var_Noa"}</definedName>
    <definedName name="xa" hidden="1">{"'Hoja2'!$A$4:$H$68"}</definedName>
    <definedName name="xchk" localSheetId="6" hidden="1">{#N/A,#N/A,FALSE,"balance";#N/A,#N/A,FALSE,"PYG"}</definedName>
    <definedName name="xchk" localSheetId="1" hidden="1">{#N/A,#N/A,FALSE,"balance";#N/A,#N/A,FALSE,"PYG"}</definedName>
    <definedName name="xchk" localSheetId="4" hidden="1">{#N/A,#N/A,FALSE,"balance";#N/A,#N/A,FALSE,"PYG"}</definedName>
    <definedName name="xchk" localSheetId="0" hidden="1">{#N/A,#N/A,FALSE,"balance";#N/A,#N/A,FALSE,"PYG"}</definedName>
    <definedName name="xchk" localSheetId="3" hidden="1">{#N/A,#N/A,FALSE,"balance";#N/A,#N/A,FALSE,"PYG"}</definedName>
    <definedName name="xchk" localSheetId="2" hidden="1">{#N/A,#N/A,FALSE,"balance";#N/A,#N/A,FALSE,"PYG"}</definedName>
    <definedName name="xchk" localSheetId="5" hidden="1">{#N/A,#N/A,FALSE,"balance";#N/A,#N/A,FALSE,"PYG"}</definedName>
    <definedName name="xchk" localSheetId="7" hidden="1">{#N/A,#N/A,FALSE,"balance";#N/A,#N/A,FALSE,"PYG"}</definedName>
    <definedName name="xchk" hidden="1">{#N/A,#N/A,FALSE,"balance";#N/A,#N/A,FALSE,"PYG"}</definedName>
    <definedName name="XEROS" hidden="1">{#N/A,#N/A,FALSE,"Aging Summary";#N/A,#N/A,FALSE,"Ratio Analysis";#N/A,#N/A,FALSE,"Test 120 Day Accts";#N/A,#N/A,FALSE,"Tickmarks"}</definedName>
    <definedName name="XIOMARA" hidden="1">{"PYGS",#N/A,FALSE,"PYG";"ACTIS",#N/A,FALSE,"BCE_GRAL-ACTIVO";"PASIS",#N/A,FALSE,"BCE_GRAL-PASIVO-PATRIM";"CAJAS",#N/A,FALSE,"CAJA"}</definedName>
    <definedName name="XION" hidden="1">{#N/A,#N/A,FALSE,"Aging Summary";#N/A,#N/A,FALSE,"Ratio Analysis";#N/A,#N/A,FALSE,"Test 120 Day Accts";#N/A,#N/A,FALSE,"Tickmarks"}</definedName>
    <definedName name="XREF_COLUMN_1" localSheetId="1" hidden="1">#REF!</definedName>
    <definedName name="XREF_COLUMN_1" localSheetId="4" hidden="1">#REF!</definedName>
    <definedName name="XREF_COLUMN_1" localSheetId="0" hidden="1">#REF!</definedName>
    <definedName name="XREF_COLUMN_1" localSheetId="3" hidden="1">#REF!</definedName>
    <definedName name="XREF_COLUMN_1" localSheetId="2" hidden="1">#REF!</definedName>
    <definedName name="XREF_COLUMN_1" hidden="1">#REF!</definedName>
    <definedName name="XREF_COLUMN_10" localSheetId="4" hidden="1">'[13]ANTICIPO DE IMPUESTOS (1355)'!#REF!</definedName>
    <definedName name="XREF_COLUMN_10" localSheetId="3" hidden="1">'[13]ANTICIPO DE IMPUESTOS (1355)'!#REF!</definedName>
    <definedName name="XREF_COLUMN_10" localSheetId="2" hidden="1">'[13]ANTICIPO DE IMPUESTOS (1355)'!#REF!</definedName>
    <definedName name="XREF_COLUMN_10" hidden="1">'[13]ANTICIPO DE IMPUESTOS (1355)'!#REF!</definedName>
    <definedName name="XREF_COLUMN_11" localSheetId="4" hidden="1">'[14]Prueba Global Act Fijos'!#REF!</definedName>
    <definedName name="XREF_COLUMN_11" localSheetId="3" hidden="1">'[14]Prueba Global Act Fijos'!#REF!</definedName>
    <definedName name="XREF_COLUMN_11" localSheetId="2" hidden="1">'[14]Prueba Global Act Fijos'!#REF!</definedName>
    <definedName name="XREF_COLUMN_11" hidden="1">'[14]Prueba Global Act Fijos'!#REF!</definedName>
    <definedName name="XREF_COLUMN_12" localSheetId="4" hidden="1">#REF!</definedName>
    <definedName name="XREF_COLUMN_12" localSheetId="3" hidden="1">#REF!</definedName>
    <definedName name="XREF_COLUMN_12" localSheetId="2" hidden="1">#REF!</definedName>
    <definedName name="XREF_COLUMN_12" hidden="1">#REF!</definedName>
    <definedName name="XREF_COLUMN_13" localSheetId="4" hidden="1">'[13]D. VARIOS (1380)'!#REF!</definedName>
    <definedName name="XREF_COLUMN_13" localSheetId="3" hidden="1">'[13]D. VARIOS (1380)'!#REF!</definedName>
    <definedName name="XREF_COLUMN_13" localSheetId="2" hidden="1">'[13]D. VARIOS (1380)'!#REF!</definedName>
    <definedName name="XREF_COLUMN_13" hidden="1">'[13]D. VARIOS (1380)'!#REF!</definedName>
    <definedName name="XREF_COLUMN_14" localSheetId="4" hidden="1">'[14]Prueba Global Act Fijos'!#REF!</definedName>
    <definedName name="XREF_COLUMN_14" localSheetId="3" hidden="1">'[14]Prueba Global Act Fijos'!#REF!</definedName>
    <definedName name="XREF_COLUMN_14" localSheetId="2" hidden="1">'[14]Prueba Global Act Fijos'!#REF!</definedName>
    <definedName name="XREF_COLUMN_14" hidden="1">'[14]Prueba Global Act Fijos'!#REF!</definedName>
    <definedName name="XREF_COLUMN_15" localSheetId="4" hidden="1">'[14]Prueba Global Act Fijos'!#REF!</definedName>
    <definedName name="XREF_COLUMN_15" localSheetId="3" hidden="1">'[14]Prueba Global Act Fijos'!#REF!</definedName>
    <definedName name="XREF_COLUMN_15" localSheetId="2" hidden="1">'[14]Prueba Global Act Fijos'!#REF!</definedName>
    <definedName name="XREF_COLUMN_15" hidden="1">'[14]Prueba Global Act Fijos'!#REF!</definedName>
    <definedName name="XREF_COLUMN_16" localSheetId="4" hidden="1">#REF!</definedName>
    <definedName name="XREF_COLUMN_16" localSheetId="3" hidden="1">#REF!</definedName>
    <definedName name="XREF_COLUMN_16" localSheetId="2" hidden="1">#REF!</definedName>
    <definedName name="XREF_COLUMN_16" hidden="1">#REF!</definedName>
    <definedName name="XREF_COLUMN_17" localSheetId="4" hidden="1">'[14]Prueba Global Act Fijos'!#REF!</definedName>
    <definedName name="XREF_COLUMN_17" localSheetId="3" hidden="1">'[14]Prueba Global Act Fijos'!#REF!</definedName>
    <definedName name="XREF_COLUMN_17" localSheetId="2" hidden="1">'[14]Prueba Global Act Fijos'!#REF!</definedName>
    <definedName name="XREF_COLUMN_17" hidden="1">'[14]Prueba Global Act Fijos'!#REF!</definedName>
    <definedName name="XREF_COLUMN_2" localSheetId="4" hidden="1">'[13]ANTICIPO DE IMPUESTOS (1355)'!#REF!</definedName>
    <definedName name="XREF_COLUMN_2" localSheetId="3" hidden="1">'[13]ANTICIPO DE IMPUESTOS (1355)'!#REF!</definedName>
    <definedName name="XREF_COLUMN_2" localSheetId="2" hidden="1">'[13]ANTICIPO DE IMPUESTOS (1355)'!#REF!</definedName>
    <definedName name="XREF_COLUMN_2" hidden="1">'[13]ANTICIPO DE IMPUESTOS (1355)'!#REF!</definedName>
    <definedName name="XREF_COLUMN_3" localSheetId="4" hidden="1">#REF!</definedName>
    <definedName name="XREF_COLUMN_3" localSheetId="3" hidden="1">#REF!</definedName>
    <definedName name="XREF_COLUMN_3" localSheetId="2" hidden="1">#REF!</definedName>
    <definedName name="XREF_COLUMN_3" hidden="1">#REF!</definedName>
    <definedName name="XREF_COLUMN_4" localSheetId="4" hidden="1">'[13]PROVISIONES (1399)'!#REF!</definedName>
    <definedName name="XREF_COLUMN_4" localSheetId="3" hidden="1">'[13]PROVISIONES (1399)'!#REF!</definedName>
    <definedName name="XREF_COLUMN_4" localSheetId="2" hidden="1">'[13]PROVISIONES (1399)'!#REF!</definedName>
    <definedName name="XREF_COLUMN_4" hidden="1">'[13]PROVISIONES (1399)'!#REF!</definedName>
    <definedName name="XREF_COLUMN_5" localSheetId="4" hidden="1">#REF!</definedName>
    <definedName name="XREF_COLUMN_5" localSheetId="3" hidden="1">#REF!</definedName>
    <definedName name="XREF_COLUMN_5" localSheetId="2" hidden="1">#REF!</definedName>
    <definedName name="XREF_COLUMN_5" hidden="1">#REF!</definedName>
    <definedName name="XREF_COLUMN_6" localSheetId="4" hidden="1">'[13]D. VARIOS (1380)'!#REF!</definedName>
    <definedName name="XREF_COLUMN_6" localSheetId="3" hidden="1">'[13]D. VARIOS (1380)'!#REF!</definedName>
    <definedName name="XREF_COLUMN_6" localSheetId="2" hidden="1">'[13]D. VARIOS (1380)'!#REF!</definedName>
    <definedName name="XREF_COLUMN_6" hidden="1">'[13]D. VARIOS (1380)'!#REF!</definedName>
    <definedName name="XREF_COLUMN_7" localSheetId="4" hidden="1">#REF!</definedName>
    <definedName name="XREF_COLUMN_7" localSheetId="3" hidden="1">#REF!</definedName>
    <definedName name="XREF_COLUMN_7" localSheetId="2" hidden="1">#REF!</definedName>
    <definedName name="XREF_COLUMN_7" hidden="1">#REF!</definedName>
    <definedName name="XREF_COLUMN_8" localSheetId="4" hidden="1">#REF!</definedName>
    <definedName name="XREF_COLUMN_8" localSheetId="3" hidden="1">#REF!</definedName>
    <definedName name="XREF_COLUMN_8" localSheetId="2" hidden="1">#REF!</definedName>
    <definedName name="XREF_COLUMN_8" hidden="1">#REF!</definedName>
    <definedName name="XREF_COLUMN_9" localSheetId="4" hidden="1">#REF!</definedName>
    <definedName name="XREF_COLUMN_9" localSheetId="3" hidden="1">#REF!</definedName>
    <definedName name="XREF_COLUMN_9" localSheetId="2" hidden="1">#REF!</definedName>
    <definedName name="XREF_COLUMN_9" hidden="1">#REF!</definedName>
    <definedName name="XRefActiveRow" localSheetId="1" hidden="1">#REF!</definedName>
    <definedName name="XRefActiveRow" localSheetId="4" hidden="1">#REF!</definedName>
    <definedName name="XRefActiveRow" localSheetId="0" hidden="1">#REF!</definedName>
    <definedName name="XRefActiveRow" localSheetId="3" hidden="1">#REF!</definedName>
    <definedName name="XRefActiveRow" localSheetId="2" hidden="1">#REF!</definedName>
    <definedName name="XRefActiveRow" hidden="1">#REF!</definedName>
    <definedName name="XRefColumnsCount" hidden="1">1</definedName>
    <definedName name="XRefCopy1" localSheetId="4" hidden="1">#REF!</definedName>
    <definedName name="XRefCopy1" localSheetId="3" hidden="1">#REF!</definedName>
    <definedName name="XRefCopy1" hidden="1">#REF!</definedName>
    <definedName name="XRefCopy10" localSheetId="4" hidden="1">'[15]Cálculo Detallado'!#REF!</definedName>
    <definedName name="XRefCopy10" localSheetId="3" hidden="1">'[15]Cálculo Detallado'!#REF!</definedName>
    <definedName name="XRefCopy10" localSheetId="2" hidden="1">'[15]Cálculo Detallado'!#REF!</definedName>
    <definedName name="XRefCopy10" hidden="1">'[15]Cálculo Detallado'!#REF!</definedName>
    <definedName name="XRefCopy10Row" localSheetId="4" hidden="1">#REF!</definedName>
    <definedName name="XRefCopy10Row" localSheetId="3" hidden="1">#REF!</definedName>
    <definedName name="XRefCopy10Row" localSheetId="2" hidden="1">#REF!</definedName>
    <definedName name="XRefCopy10Row" hidden="1">#REF!</definedName>
    <definedName name="XRefCopy11" localSheetId="4" hidden="1">#REF!</definedName>
    <definedName name="XRefCopy11" localSheetId="3" hidden="1">#REF!</definedName>
    <definedName name="XRefCopy11" localSheetId="2" hidden="1">#REF!</definedName>
    <definedName name="XRefCopy11" hidden="1">#REF!</definedName>
    <definedName name="XRefCopy11Row" localSheetId="4" hidden="1">#REF!</definedName>
    <definedName name="XRefCopy11Row" localSheetId="3" hidden="1">#REF!</definedName>
    <definedName name="XRefCopy11Row" localSheetId="2" hidden="1">#REF!</definedName>
    <definedName name="XRefCopy11Row" hidden="1">#REF!</definedName>
    <definedName name="XRefCopy12" localSheetId="4" hidden="1">#REF!</definedName>
    <definedName name="XRefCopy12" localSheetId="3" hidden="1">#REF!</definedName>
    <definedName name="XRefCopy12" hidden="1">#REF!</definedName>
    <definedName name="XRefCopy12Row" localSheetId="4" hidden="1">#REF!</definedName>
    <definedName name="XRefCopy12Row" localSheetId="3" hidden="1">#REF!</definedName>
    <definedName name="XRefCopy12Row" hidden="1">#REF!</definedName>
    <definedName name="XRefCopy13" hidden="1">'[15]Cálculo Detallado'!$L$112</definedName>
    <definedName name="XRefCopy13Row" localSheetId="4" hidden="1">#REF!</definedName>
    <definedName name="XRefCopy13Row" localSheetId="3" hidden="1">#REF!</definedName>
    <definedName name="XRefCopy13Row" localSheetId="2" hidden="1">#REF!</definedName>
    <definedName name="XRefCopy13Row" hidden="1">#REF!</definedName>
    <definedName name="XRefCopy14" hidden="1">'[15]Cálculo Detallado'!$C$112</definedName>
    <definedName name="XRefCopy14Row" localSheetId="4" hidden="1">#REF!</definedName>
    <definedName name="XRefCopy14Row" localSheetId="3" hidden="1">#REF!</definedName>
    <definedName name="XRefCopy14Row" localSheetId="2" hidden="1">#REF!</definedName>
    <definedName name="XRefCopy14Row" hidden="1">#REF!</definedName>
    <definedName name="XRefCopy15" hidden="1">'[15]Cálculo Detallado'!$J$112</definedName>
    <definedName name="XRefCopy15Row" localSheetId="4" hidden="1">[16]XREF!#REF!</definedName>
    <definedName name="XRefCopy15Row" localSheetId="3" hidden="1">[16]XREF!#REF!</definedName>
    <definedName name="XRefCopy15Row" localSheetId="2" hidden="1">[16]XREF!#REF!</definedName>
    <definedName name="XRefCopy15Row" hidden="1">[16]XREF!#REF!</definedName>
    <definedName name="XRefCopy16" localSheetId="4" hidden="1">#REF!</definedName>
    <definedName name="XRefCopy16" localSheetId="3" hidden="1">#REF!</definedName>
    <definedName name="XRefCopy16" localSheetId="2" hidden="1">#REF!</definedName>
    <definedName name="XRefCopy16" hidden="1">#REF!</definedName>
    <definedName name="XRefCopy16Row" localSheetId="4" hidden="1">[16]XREF!#REF!</definedName>
    <definedName name="XRefCopy16Row" localSheetId="3" hidden="1">[16]XREF!#REF!</definedName>
    <definedName name="XRefCopy16Row" localSheetId="2" hidden="1">[16]XREF!#REF!</definedName>
    <definedName name="XRefCopy16Row" hidden="1">[16]XREF!#REF!</definedName>
    <definedName name="XRefCopy17Row" localSheetId="4" hidden="1">[16]XREF!#REF!</definedName>
    <definedName name="XRefCopy17Row" localSheetId="3" hidden="1">[16]XREF!#REF!</definedName>
    <definedName name="XRefCopy17Row" localSheetId="2" hidden="1">[16]XREF!#REF!</definedName>
    <definedName name="XRefCopy17Row" hidden="1">[16]XREF!#REF!</definedName>
    <definedName name="XRefCopy18" localSheetId="4" hidden="1">[17]CXC!#REF!</definedName>
    <definedName name="XRefCopy18" localSheetId="3" hidden="1">[17]CXC!#REF!</definedName>
    <definedName name="XRefCopy18" localSheetId="2" hidden="1">[17]CXC!#REF!</definedName>
    <definedName name="XRefCopy18" hidden="1">[17]CXC!#REF!</definedName>
    <definedName name="XRefCopy18Row" localSheetId="4" hidden="1">#REF!</definedName>
    <definedName name="XRefCopy18Row" localSheetId="3" hidden="1">#REF!</definedName>
    <definedName name="XRefCopy18Row" localSheetId="2" hidden="1">#REF!</definedName>
    <definedName name="XRefCopy18Row" hidden="1">#REF!</definedName>
    <definedName name="XRefCopy19" localSheetId="4" hidden="1">[18]CxP!#REF!</definedName>
    <definedName name="XRefCopy19" localSheetId="3" hidden="1">[18]CxP!#REF!</definedName>
    <definedName name="XRefCopy19" localSheetId="2" hidden="1">[18]CxP!#REF!</definedName>
    <definedName name="XRefCopy19" hidden="1">[18]CxP!#REF!</definedName>
    <definedName name="XRefCopy19Row" localSheetId="4" hidden="1">#REF!</definedName>
    <definedName name="XRefCopy19Row" localSheetId="3" hidden="1">#REF!</definedName>
    <definedName name="XRefCopy19Row" localSheetId="2" hidden="1">#REF!</definedName>
    <definedName name="XRefCopy19Row" hidden="1">#REF!</definedName>
    <definedName name="XRefCopy1Row" localSheetId="4" hidden="1">#REF!</definedName>
    <definedName name="XRefCopy1Row" localSheetId="3" hidden="1">#REF!</definedName>
    <definedName name="XRefCopy1Row" localSheetId="2" hidden="1">#REF!</definedName>
    <definedName name="XRefCopy1Row" hidden="1">#REF!</definedName>
    <definedName name="XRefCopy2" localSheetId="4" hidden="1">'[15]Cálculo Detallado'!#REF!</definedName>
    <definedName name="XRefCopy2" localSheetId="3" hidden="1">'[15]Cálculo Detallado'!#REF!</definedName>
    <definedName name="XRefCopy2" localSheetId="2" hidden="1">'[15]Cálculo Detallado'!#REF!</definedName>
    <definedName name="XRefCopy2" hidden="1">'[15]Cálculo Detallado'!#REF!</definedName>
    <definedName name="XRefCopy20" localSheetId="4" hidden="1">#REF!</definedName>
    <definedName name="XRefCopy20" localSheetId="3" hidden="1">#REF!</definedName>
    <definedName name="XRefCopy20" localSheetId="2" hidden="1">#REF!</definedName>
    <definedName name="XRefCopy20" hidden="1">#REF!</definedName>
    <definedName name="XRefCopy20Row" localSheetId="4" hidden="1">#REF!</definedName>
    <definedName name="XRefCopy20Row" localSheetId="3" hidden="1">#REF!</definedName>
    <definedName name="XRefCopy20Row" localSheetId="2" hidden="1">#REF!</definedName>
    <definedName name="XRefCopy20Row" hidden="1">#REF!</definedName>
    <definedName name="XRefCopy21" localSheetId="4" hidden="1">#REF!</definedName>
    <definedName name="XRefCopy21" localSheetId="3" hidden="1">#REF!</definedName>
    <definedName name="XRefCopy21" localSheetId="2" hidden="1">#REF!</definedName>
    <definedName name="XRefCopy21" hidden="1">#REF!</definedName>
    <definedName name="XRefCopy21Row" localSheetId="4" hidden="1">#REF!</definedName>
    <definedName name="XRefCopy21Row" localSheetId="3" hidden="1">#REF!</definedName>
    <definedName name="XRefCopy21Row" hidden="1">#REF!</definedName>
    <definedName name="XRefCopy22" localSheetId="4" hidden="1">#REF!</definedName>
    <definedName name="XRefCopy22" localSheetId="3" hidden="1">#REF!</definedName>
    <definedName name="XRefCopy22" hidden="1">#REF!</definedName>
    <definedName name="XRefCopy22Row" localSheetId="4" hidden="1">#REF!</definedName>
    <definedName name="XRefCopy22Row" localSheetId="3" hidden="1">#REF!</definedName>
    <definedName name="XRefCopy22Row" hidden="1">#REF!</definedName>
    <definedName name="XRefCopy23" localSheetId="4" hidden="1">#REF!</definedName>
    <definedName name="XRefCopy23" localSheetId="3" hidden="1">#REF!</definedName>
    <definedName name="XRefCopy23" hidden="1">#REF!</definedName>
    <definedName name="XRefCopy23Row" localSheetId="4" hidden="1">[16]XREF!#REF!</definedName>
    <definedName name="XRefCopy23Row" localSheetId="3" hidden="1">[16]XREF!#REF!</definedName>
    <definedName name="XRefCopy23Row" localSheetId="2" hidden="1">[16]XREF!#REF!</definedName>
    <definedName name="XRefCopy23Row" hidden="1">[16]XREF!#REF!</definedName>
    <definedName name="XRefCopy24" localSheetId="4" hidden="1">'[10]D. VARIOS (1380)'!#REF!</definedName>
    <definedName name="XRefCopy24" localSheetId="3" hidden="1">'[10]D. VARIOS (1380)'!#REF!</definedName>
    <definedName name="XRefCopy24" localSheetId="2" hidden="1">'[10]D. VARIOS (1380)'!#REF!</definedName>
    <definedName name="XRefCopy24" hidden="1">'[10]D. VARIOS (1380)'!#REF!</definedName>
    <definedName name="XRefCopy24Row" localSheetId="4" hidden="1">#REF!</definedName>
    <definedName name="XRefCopy24Row" localSheetId="3" hidden="1">#REF!</definedName>
    <definedName name="XRefCopy24Row" localSheetId="2" hidden="1">#REF!</definedName>
    <definedName name="XRefCopy24Row" hidden="1">#REF!</definedName>
    <definedName name="XRefCopy25" localSheetId="4" hidden="1">#REF!</definedName>
    <definedName name="XRefCopy25" localSheetId="3" hidden="1">#REF!</definedName>
    <definedName name="XRefCopy25" localSheetId="2" hidden="1">#REF!</definedName>
    <definedName name="XRefCopy25" hidden="1">#REF!</definedName>
    <definedName name="XRefCopy25Row" localSheetId="4" hidden="1">#REF!</definedName>
    <definedName name="XRefCopy25Row" localSheetId="3" hidden="1">#REF!</definedName>
    <definedName name="XRefCopy25Row" localSheetId="2" hidden="1">#REF!</definedName>
    <definedName name="XRefCopy25Row" hidden="1">#REF!</definedName>
    <definedName name="XRefCopy26" localSheetId="4" hidden="1">'[14]Prueba Global Act Fijos'!#REF!</definedName>
    <definedName name="XRefCopy26" localSheetId="3" hidden="1">'[14]Prueba Global Act Fijos'!#REF!</definedName>
    <definedName name="XRefCopy26" localSheetId="2" hidden="1">'[14]Prueba Global Act Fijos'!#REF!</definedName>
    <definedName name="XRefCopy26" hidden="1">'[14]Prueba Global Act Fijos'!#REF!</definedName>
    <definedName name="XRefCopy26Row" localSheetId="4" hidden="1">#REF!</definedName>
    <definedName name="XRefCopy26Row" localSheetId="3" hidden="1">#REF!</definedName>
    <definedName name="XRefCopy26Row" localSheetId="2" hidden="1">#REF!</definedName>
    <definedName name="XRefCopy26Row" hidden="1">#REF!</definedName>
    <definedName name="XRefCopy27" localSheetId="4" hidden="1">#REF!</definedName>
    <definedName name="XRefCopy27" localSheetId="3" hidden="1">#REF!</definedName>
    <definedName name="XRefCopy27" localSheetId="2" hidden="1">#REF!</definedName>
    <definedName name="XRefCopy27" hidden="1">#REF!</definedName>
    <definedName name="XRefCopy28" localSheetId="4" hidden="1">#REF!</definedName>
    <definedName name="XRefCopy28" localSheetId="3" hidden="1">#REF!</definedName>
    <definedName name="XRefCopy28" localSheetId="2" hidden="1">#REF!</definedName>
    <definedName name="XRefCopy28" hidden="1">#REF!</definedName>
    <definedName name="XRefCopy28Row" localSheetId="4" hidden="1">#REF!</definedName>
    <definedName name="XRefCopy28Row" localSheetId="3" hidden="1">#REF!</definedName>
    <definedName name="XRefCopy28Row" hidden="1">#REF!</definedName>
    <definedName name="XRefCopy2Row" localSheetId="4" hidden="1">#REF!</definedName>
    <definedName name="XRefCopy2Row" localSheetId="3" hidden="1">#REF!</definedName>
    <definedName name="XRefCopy2Row" hidden="1">#REF!</definedName>
    <definedName name="XRefCopy3" localSheetId="4" hidden="1">'[15]Cálculo Detallado'!#REF!</definedName>
    <definedName name="XRefCopy3" localSheetId="3" hidden="1">'[15]Cálculo Detallado'!#REF!</definedName>
    <definedName name="XRefCopy3" localSheetId="2" hidden="1">'[15]Cálculo Detallado'!#REF!</definedName>
    <definedName name="XRefCopy3" hidden="1">'[15]Cálculo Detallado'!#REF!</definedName>
    <definedName name="XRefCopy30Row" localSheetId="4" hidden="1">#REF!</definedName>
    <definedName name="XRefCopy30Row" localSheetId="3" hidden="1">#REF!</definedName>
    <definedName name="XRefCopy30Row" localSheetId="2" hidden="1">#REF!</definedName>
    <definedName name="XRefCopy30Row" hidden="1">#REF!</definedName>
    <definedName name="XRefCopy3Row" localSheetId="4" hidden="1">#REF!</definedName>
    <definedName name="XRefCopy3Row" localSheetId="3" hidden="1">#REF!</definedName>
    <definedName name="XRefCopy3Row" localSheetId="2" hidden="1">#REF!</definedName>
    <definedName name="XRefCopy3Row" hidden="1">#REF!</definedName>
    <definedName name="XRefCopy4" localSheetId="4" hidden="1">'[15]Cálculo Detallado'!#REF!</definedName>
    <definedName name="XRefCopy4" localSheetId="3" hidden="1">'[15]Cálculo Detallado'!#REF!</definedName>
    <definedName name="XRefCopy4" localSheetId="2" hidden="1">'[15]Cálculo Detallado'!#REF!</definedName>
    <definedName name="XRefCopy4" hidden="1">'[15]Cálculo Detallado'!#REF!</definedName>
    <definedName name="XRefCopy4Row" localSheetId="4" hidden="1">#REF!</definedName>
    <definedName name="XRefCopy4Row" localSheetId="3" hidden="1">#REF!</definedName>
    <definedName name="XRefCopy4Row" localSheetId="2" hidden="1">#REF!</definedName>
    <definedName name="XRefCopy4Row" hidden="1">#REF!</definedName>
    <definedName name="XRefCopy5" localSheetId="4" hidden="1">'[15]Cálculo Detallado'!#REF!</definedName>
    <definedName name="XRefCopy5" localSheetId="3" hidden="1">'[15]Cálculo Detallado'!#REF!</definedName>
    <definedName name="XRefCopy5" localSheetId="2" hidden="1">'[15]Cálculo Detallado'!#REF!</definedName>
    <definedName name="XRefCopy5" hidden="1">'[15]Cálculo Detallado'!#REF!</definedName>
    <definedName name="XRefCopy5Row" localSheetId="4" hidden="1">#REF!</definedName>
    <definedName name="XRefCopy5Row" localSheetId="3" hidden="1">#REF!</definedName>
    <definedName name="XRefCopy5Row" localSheetId="2" hidden="1">#REF!</definedName>
    <definedName name="XRefCopy5Row" hidden="1">#REF!</definedName>
    <definedName name="XRefCopy6" localSheetId="4" hidden="1">#REF!</definedName>
    <definedName name="XRefCopy6" localSheetId="3" hidden="1">#REF!</definedName>
    <definedName name="XRefCopy6" localSheetId="2" hidden="1">#REF!</definedName>
    <definedName name="XRefCopy6" hidden="1">#REF!</definedName>
    <definedName name="XRefCopy6Row" localSheetId="4" hidden="1">#REF!</definedName>
    <definedName name="XRefCopy6Row" localSheetId="3" hidden="1">#REF!</definedName>
    <definedName name="XRefCopy6Row" localSheetId="2" hidden="1">#REF!</definedName>
    <definedName name="XRefCopy6Row" hidden="1">#REF!</definedName>
    <definedName name="XRefCopy7" localSheetId="4" hidden="1">#REF!</definedName>
    <definedName name="XRefCopy7" localSheetId="3" hidden="1">#REF!</definedName>
    <definedName name="XRefCopy7" hidden="1">#REF!</definedName>
    <definedName name="XRefCopy7Row" localSheetId="4" hidden="1">#REF!</definedName>
    <definedName name="XRefCopy7Row" localSheetId="3" hidden="1">#REF!</definedName>
    <definedName name="XRefCopy7Row" hidden="1">#REF!</definedName>
    <definedName name="XRefCopy8" hidden="1">'[15]Cálculo Detallado'!$H$33</definedName>
    <definedName name="XRefCopy8Row" localSheetId="4" hidden="1">#REF!</definedName>
    <definedName name="XRefCopy8Row" localSheetId="3" hidden="1">#REF!</definedName>
    <definedName name="XRefCopy8Row" localSheetId="2" hidden="1">#REF!</definedName>
    <definedName name="XRefCopy8Row" hidden="1">#REF!</definedName>
    <definedName name="XRefCopy9" localSheetId="4" hidden="1">'[15]Cálculo Detallado'!#REF!</definedName>
    <definedName name="XRefCopy9" localSheetId="3" hidden="1">'[15]Cálculo Detallado'!#REF!</definedName>
    <definedName name="XRefCopy9" localSheetId="2" hidden="1">'[15]Cálculo Detallado'!#REF!</definedName>
    <definedName name="XRefCopy9" hidden="1">'[15]Cálculo Detallado'!#REF!</definedName>
    <definedName name="XRefCopy9Row" localSheetId="4" hidden="1">#REF!</definedName>
    <definedName name="XRefCopy9Row" localSheetId="3" hidden="1">#REF!</definedName>
    <definedName name="XRefCopy9Row" localSheetId="2" hidden="1">#REF!</definedName>
    <definedName name="XRefCopy9Row" hidden="1">#REF!</definedName>
    <definedName name="XRefCopyRangeCount" hidden="1">1</definedName>
    <definedName name="XRefPaste1" localSheetId="4" hidden="1">#REF!</definedName>
    <definedName name="XRefPaste1" localSheetId="3" hidden="1">#REF!</definedName>
    <definedName name="XRefPaste1" localSheetId="2" hidden="1">#REF!</definedName>
    <definedName name="XRefPaste1" hidden="1">#REF!</definedName>
    <definedName name="XRefPaste10" localSheetId="4" hidden="1">#REF!</definedName>
    <definedName name="XRefPaste10" localSheetId="3" hidden="1">#REF!</definedName>
    <definedName name="XRefPaste10" localSheetId="2" hidden="1">#REF!</definedName>
    <definedName name="XRefPaste10" hidden="1">#REF!</definedName>
    <definedName name="XRefPaste10Row" localSheetId="4" hidden="1">#REF!</definedName>
    <definedName name="XRefPaste10Row" localSheetId="3" hidden="1">#REF!</definedName>
    <definedName name="XRefPaste10Row" hidden="1">#REF!</definedName>
    <definedName name="XRefPaste11" localSheetId="4" hidden="1">#REF!</definedName>
    <definedName name="XRefPaste11" localSheetId="3" hidden="1">#REF!</definedName>
    <definedName name="XRefPaste11" hidden="1">#REF!</definedName>
    <definedName name="XRefPaste11Row" localSheetId="4" hidden="1">#REF!</definedName>
    <definedName name="XRefPaste11Row" localSheetId="3" hidden="1">#REF!</definedName>
    <definedName name="XRefPaste11Row" hidden="1">#REF!</definedName>
    <definedName name="XRefPaste12" localSheetId="4" hidden="1">#REF!</definedName>
    <definedName name="XRefPaste12" localSheetId="3" hidden="1">#REF!</definedName>
    <definedName name="XRefPaste12" hidden="1">#REF!</definedName>
    <definedName name="XRefPaste12Row" localSheetId="4" hidden="1">#REF!</definedName>
    <definedName name="XRefPaste12Row" localSheetId="3" hidden="1">#REF!</definedName>
    <definedName name="XRefPaste12Row" hidden="1">#REF!</definedName>
    <definedName name="XRefPaste13" localSheetId="4" hidden="1">#REF!</definedName>
    <definedName name="XRefPaste13" localSheetId="3" hidden="1">#REF!</definedName>
    <definedName name="XRefPaste13" hidden="1">#REF!</definedName>
    <definedName name="XRefPaste13Row" localSheetId="4" hidden="1">#REF!</definedName>
    <definedName name="XRefPaste13Row" localSheetId="3" hidden="1">#REF!</definedName>
    <definedName name="XRefPaste13Row" hidden="1">#REF!</definedName>
    <definedName name="XRefPaste14" localSheetId="4" hidden="1">#REF!</definedName>
    <definedName name="XRefPaste14" localSheetId="3" hidden="1">#REF!</definedName>
    <definedName name="XRefPaste14" hidden="1">#REF!</definedName>
    <definedName name="XRefPaste14Row" localSheetId="4" hidden="1">#REF!</definedName>
    <definedName name="XRefPaste14Row" localSheetId="3" hidden="1">#REF!</definedName>
    <definedName name="XRefPaste14Row" hidden="1">#REF!</definedName>
    <definedName name="XRefPaste15Row" localSheetId="4" hidden="1">#REF!</definedName>
    <definedName name="XRefPaste15Row" localSheetId="3" hidden="1">#REF!</definedName>
    <definedName name="XRefPaste15Row" hidden="1">#REF!</definedName>
    <definedName name="XRefPaste16" localSheetId="4" hidden="1">#REF!</definedName>
    <definedName name="XRefPaste16" localSheetId="3" hidden="1">#REF!</definedName>
    <definedName name="XRefPaste16" hidden="1">#REF!</definedName>
    <definedName name="XRefPaste16Row" localSheetId="4" hidden="1">#REF!</definedName>
    <definedName name="XRefPaste16Row" localSheetId="3" hidden="1">#REF!</definedName>
    <definedName name="XRefPaste16Row" hidden="1">#REF!</definedName>
    <definedName name="XRefPaste17" localSheetId="4" hidden="1">#REF!</definedName>
    <definedName name="XRefPaste17" localSheetId="3" hidden="1">#REF!</definedName>
    <definedName name="XRefPaste17" hidden="1">#REF!</definedName>
    <definedName name="XRefPaste17Row" localSheetId="4" hidden="1">#REF!</definedName>
    <definedName name="XRefPaste17Row" localSheetId="3" hidden="1">#REF!</definedName>
    <definedName name="XRefPaste17Row" hidden="1">#REF!</definedName>
    <definedName name="XRefPaste18" localSheetId="4" hidden="1">#REF!</definedName>
    <definedName name="XRefPaste18" localSheetId="3" hidden="1">#REF!</definedName>
    <definedName name="XRefPaste18" hidden="1">#REF!</definedName>
    <definedName name="XRefPaste18Row" localSheetId="4" hidden="1">#REF!</definedName>
    <definedName name="XRefPaste18Row" localSheetId="3" hidden="1">#REF!</definedName>
    <definedName name="XRefPaste18Row" hidden="1">#REF!</definedName>
    <definedName name="XRefPaste19" localSheetId="4" hidden="1">#REF!</definedName>
    <definedName name="XRefPaste19" localSheetId="3" hidden="1">#REF!</definedName>
    <definedName name="XRefPaste19" hidden="1">#REF!</definedName>
    <definedName name="XRefPaste19Row" localSheetId="4" hidden="1">#REF!</definedName>
    <definedName name="XRefPaste19Row" localSheetId="3" hidden="1">#REF!</definedName>
    <definedName name="XRefPaste19Row" hidden="1">#REF!</definedName>
    <definedName name="XRefPaste1Row" localSheetId="4" hidden="1">#REF!</definedName>
    <definedName name="XRefPaste1Row" localSheetId="3" hidden="1">#REF!</definedName>
    <definedName name="XRefPaste1Row" hidden="1">#REF!</definedName>
    <definedName name="XRefPaste2" localSheetId="4" hidden="1">#REF!</definedName>
    <definedName name="XRefPaste2" localSheetId="3" hidden="1">#REF!</definedName>
    <definedName name="XRefPaste2" hidden="1">#REF!</definedName>
    <definedName name="XRefPaste20Row" localSheetId="4" hidden="1">#REF!</definedName>
    <definedName name="XRefPaste20Row" localSheetId="3" hidden="1">#REF!</definedName>
    <definedName name="XRefPaste20Row" hidden="1">#REF!</definedName>
    <definedName name="XRefPaste21Row" localSheetId="4" hidden="1">#REF!</definedName>
    <definedName name="XRefPaste21Row" localSheetId="3" hidden="1">#REF!</definedName>
    <definedName name="XRefPaste21Row" hidden="1">#REF!</definedName>
    <definedName name="XRefPaste22Row" localSheetId="4" hidden="1">#REF!</definedName>
    <definedName name="XRefPaste22Row" localSheetId="3" hidden="1">#REF!</definedName>
    <definedName name="XRefPaste22Row" hidden="1">#REF!</definedName>
    <definedName name="XRefPaste23Row" localSheetId="4" hidden="1">#REF!</definedName>
    <definedName name="XRefPaste23Row" localSheetId="3" hidden="1">#REF!</definedName>
    <definedName name="XRefPaste23Row" hidden="1">#REF!</definedName>
    <definedName name="XRefPaste24" localSheetId="4" hidden="1">#REF!</definedName>
    <definedName name="XRefPaste24" localSheetId="3" hidden="1">#REF!</definedName>
    <definedName name="XRefPaste24" hidden="1">#REF!</definedName>
    <definedName name="XRefPaste24Row" localSheetId="4" hidden="1">#REF!</definedName>
    <definedName name="XRefPaste24Row" localSheetId="3" hidden="1">#REF!</definedName>
    <definedName name="XRefPaste24Row" hidden="1">#REF!</definedName>
    <definedName name="XRefPaste2Row" localSheetId="4" hidden="1">#REF!</definedName>
    <definedName name="XRefPaste2Row" localSheetId="3" hidden="1">#REF!</definedName>
    <definedName name="XRefPaste2Row" hidden="1">#REF!</definedName>
    <definedName name="XRefPaste3" localSheetId="4" hidden="1">#REF!</definedName>
    <definedName name="XRefPaste3" localSheetId="3" hidden="1">#REF!</definedName>
    <definedName name="XRefPaste3" hidden="1">#REF!</definedName>
    <definedName name="XRefPaste3Row" localSheetId="4" hidden="1">#REF!</definedName>
    <definedName name="XRefPaste3Row" localSheetId="3" hidden="1">#REF!</definedName>
    <definedName name="XRefPaste3Row" hidden="1">#REF!</definedName>
    <definedName name="XRefPaste4" localSheetId="4" hidden="1">[18]CxP!#REF!</definedName>
    <definedName name="XRefPaste4" localSheetId="3" hidden="1">[18]CxP!#REF!</definedName>
    <definedName name="XRefPaste4" localSheetId="2" hidden="1">[18]CxP!#REF!</definedName>
    <definedName name="XRefPaste4" hidden="1">[18]CxP!#REF!</definedName>
    <definedName name="XRefPaste4Row" localSheetId="4" hidden="1">#REF!</definedName>
    <definedName name="XRefPaste4Row" localSheetId="3" hidden="1">#REF!</definedName>
    <definedName name="XRefPaste4Row" localSheetId="2" hidden="1">#REF!</definedName>
    <definedName name="XRefPaste4Row" hidden="1">#REF!</definedName>
    <definedName name="XRefPaste5" localSheetId="4" hidden="1">[17]CXC!#REF!</definedName>
    <definedName name="XRefPaste5" localSheetId="3" hidden="1">[17]CXC!#REF!</definedName>
    <definedName name="XRefPaste5" localSheetId="2" hidden="1">[17]CXC!#REF!</definedName>
    <definedName name="XRefPaste5" hidden="1">[17]CXC!#REF!</definedName>
    <definedName name="XRefPaste5Row" localSheetId="4" hidden="1">#REF!</definedName>
    <definedName name="XRefPaste5Row" localSheetId="3" hidden="1">#REF!</definedName>
    <definedName name="XRefPaste5Row" localSheetId="2" hidden="1">#REF!</definedName>
    <definedName name="XRefPaste5Row" hidden="1">#REF!</definedName>
    <definedName name="XRefPaste6" localSheetId="4" hidden="1">#REF!</definedName>
    <definedName name="XRefPaste6" localSheetId="3" hidden="1">#REF!</definedName>
    <definedName name="XRefPaste6" localSheetId="2" hidden="1">#REF!</definedName>
    <definedName name="XRefPaste6" hidden="1">#REF!</definedName>
    <definedName name="XRefPaste6Row" localSheetId="4" hidden="1">#REF!</definedName>
    <definedName name="XRefPaste6Row" localSheetId="3" hidden="1">#REF!</definedName>
    <definedName name="XRefPaste6Row" localSheetId="2" hidden="1">#REF!</definedName>
    <definedName name="XRefPaste6Row" hidden="1">#REF!</definedName>
    <definedName name="XRefPaste7" localSheetId="4" hidden="1">#REF!</definedName>
    <definedName name="XRefPaste7" localSheetId="3" hidden="1">#REF!</definedName>
    <definedName name="XRefPaste7" hidden="1">#REF!</definedName>
    <definedName name="XRefPaste7Row" localSheetId="4" hidden="1">#REF!</definedName>
    <definedName name="XRefPaste7Row" localSheetId="3" hidden="1">#REF!</definedName>
    <definedName name="XRefPaste7Row" hidden="1">#REF!</definedName>
    <definedName name="XRefPaste8" localSheetId="4" hidden="1">#REF!</definedName>
    <definedName name="XRefPaste8" localSheetId="3" hidden="1">#REF!</definedName>
    <definedName name="XRefPaste8" hidden="1">#REF!</definedName>
    <definedName name="XRefPaste8Row" localSheetId="4" hidden="1">#REF!</definedName>
    <definedName name="XRefPaste8Row" localSheetId="3" hidden="1">#REF!</definedName>
    <definedName name="XRefPaste8Row" hidden="1">#REF!</definedName>
    <definedName name="XRefPaste9" localSheetId="4" hidden="1">#REF!</definedName>
    <definedName name="XRefPaste9" localSheetId="3" hidden="1">#REF!</definedName>
    <definedName name="XRefPaste9" hidden="1">#REF!</definedName>
    <definedName name="XRefPaste9Row" localSheetId="4" hidden="1">#REF!</definedName>
    <definedName name="XRefPaste9Row" localSheetId="3" hidden="1">#REF!</definedName>
    <definedName name="XRefPaste9Row" hidden="1">#REF!</definedName>
    <definedName name="XRefPasteRangeCount" hidden="1">1</definedName>
    <definedName name="XXX" localSheetId="6" hidden="1">{#N/A,#N/A,FALSE,"balance";#N/A,#N/A,FALSE,"PYG"}</definedName>
    <definedName name="XXX" localSheetId="1" hidden="1">{#N/A,#N/A,FALSE,"balance";#N/A,#N/A,FALSE,"PYG"}</definedName>
    <definedName name="XXX" localSheetId="4" hidden="1">{#N/A,#N/A,FALSE,"balance";#N/A,#N/A,FALSE,"PYG"}</definedName>
    <definedName name="XXX" localSheetId="0" hidden="1">{#N/A,#N/A,FALSE,"balance";#N/A,#N/A,FALSE,"PYG"}</definedName>
    <definedName name="XXX" localSheetId="3" hidden="1">{#N/A,#N/A,FALSE,"balance";#N/A,#N/A,FALSE,"PYG"}</definedName>
    <definedName name="XXX" localSheetId="2" hidden="1">{#N/A,#N/A,FALSE,"balance";#N/A,#N/A,FALSE,"PYG"}</definedName>
    <definedName name="XXX" localSheetId="5" hidden="1">{#N/A,#N/A,FALSE,"balance";#N/A,#N/A,FALSE,"PYG"}</definedName>
    <definedName name="XXX" localSheetId="7" hidden="1">{#N/A,#N/A,FALSE,"balance";#N/A,#N/A,FALSE,"PYG"}</definedName>
    <definedName name="XXX" hidden="1">{#N/A,#N/A,FALSE,"balance";#N/A,#N/A,FALSE,"PYG"}</definedName>
    <definedName name="XXXDE" hidden="1">{#N/A,#N/A,FALSE,"Aging Summary";#N/A,#N/A,FALSE,"Ratio Analysis";#N/A,#N/A,FALSE,"Test 120 Day Accts";#N/A,#N/A,FALSE,"Tickmarks"}</definedName>
    <definedName name="XXXX" localSheetId="4" hidden="1">{#N/A,#N/A,FALSE,"Aging Summary";#N/A,#N/A,FALSE,"Ratio Analysis";#N/A,#N/A,FALSE,"Test 120 Day Accts";#N/A,#N/A,FALSE,"Tickmarks"}</definedName>
    <definedName name="XXXX" localSheetId="3" hidden="1">{#N/A,#N/A,FALSE,"Aging Summary";#N/A,#N/A,FALSE,"Ratio Analysis";#N/A,#N/A,FALSE,"Test 120 Day Accts";#N/A,#N/A,FALSE,"Tickmarks"}</definedName>
    <definedName name="XXXX" localSheetId="2" hidden="1">{#N/A,#N/A,FALSE,"Aging Summary";#N/A,#N/A,FALSE,"Ratio Analysis";#N/A,#N/A,FALSE,"Test 120 Day Accts";#N/A,#N/A,FALSE,"Tickmarks"}</definedName>
    <definedName name="XXXX" hidden="1">{#N/A,#N/A,FALSE,"Aging Summary";#N/A,#N/A,FALSE,"Ratio Analysis";#N/A,#N/A,FALSE,"Test 120 Day Accts";#N/A,#N/A,FALSE,"Tickmarks"}</definedName>
    <definedName name="xxxxxx" localSheetId="4" hidden="1">{#N/A,#N/A,FALSE,"Aging Summary";#N/A,#N/A,FALSE,"Ratio Analysis";#N/A,#N/A,FALSE,"Test 120 Day Accts";#N/A,#N/A,FALSE,"Tickmarks"}</definedName>
    <definedName name="xxxxxx" localSheetId="3" hidden="1">{#N/A,#N/A,FALSE,"Aging Summary";#N/A,#N/A,FALSE,"Ratio Analysis";#N/A,#N/A,FALSE,"Test 120 Day Accts";#N/A,#N/A,FALSE,"Tickmarks"}</definedName>
    <definedName name="xxxxxx" localSheetId="2" hidden="1">{#N/A,#N/A,FALSE,"Aging Summary";#N/A,#N/A,FALSE,"Ratio Analysis";#N/A,#N/A,FALSE,"Test 120 Day Accts";#N/A,#N/A,FALSE,"Tickmarks"}</definedName>
    <definedName name="xxxxxx" hidden="1">{#N/A,#N/A,FALSE,"Aging Summary";#N/A,#N/A,FALSE,"Ratio Analysis";#N/A,#N/A,FALSE,"Test 120 Day Accts";#N/A,#N/A,FALSE,"Tickmarks"}</definedName>
    <definedName name="xxxxxxxxxxxx" localSheetId="4" hidden="1">{#N/A,#N/A,FALSE,"Aging Summary";#N/A,#N/A,FALSE,"Ratio Analysis";#N/A,#N/A,FALSE,"Test 120 Day Accts";#N/A,#N/A,FALSE,"Tickmarks"}</definedName>
    <definedName name="xxxxxxxxxxxx" localSheetId="3" hidden="1">{#N/A,#N/A,FALSE,"Aging Summary";#N/A,#N/A,FALSE,"Ratio Analysis";#N/A,#N/A,FALSE,"Test 120 Day Accts";#N/A,#N/A,FALSE,"Tickmarks"}</definedName>
    <definedName name="xxxxxxxxxxxx" localSheetId="2" hidden="1">{#N/A,#N/A,FALSE,"Aging Summary";#N/A,#N/A,FALSE,"Ratio Analysis";#N/A,#N/A,FALSE,"Test 120 Day Accts";#N/A,#N/A,FALSE,"Tickmarks"}</definedName>
    <definedName name="xxxxxxxxxxxx" hidden="1">{#N/A,#N/A,FALSE,"Aging Summary";#N/A,#N/A,FALSE,"Ratio Analysis";#N/A,#N/A,FALSE,"Test 120 Day Accts";#N/A,#N/A,FALSE,"Tickmarks"}</definedName>
    <definedName name="xxxzsd" hidden="1">{#N/A,#N/A,FALSE,"Aging Summary";#N/A,#N/A,FALSE,"Ratio Analysis";#N/A,#N/A,FALSE,"Test 120 Day Accts";#N/A,#N/A,FALSE,"Tickmarks"}</definedName>
    <definedName name="xz" hidden="1">{"PYGS",#N/A,FALSE,"PYG";"ACTIS",#N/A,FALSE,"BCE_GRAL-ACTIVO";"PASIS",#N/A,FALSE,"BCE_GRAL-PASIVO-PATRIM";"CAJAS",#N/A,FALSE,"CAJA"}</definedName>
    <definedName name="xzc" hidden="1">{#N/A,#N/A,FALSE,"Aging Summary";#N/A,#N/A,FALSE,"Ratio Analysis";#N/A,#N/A,FALSE,"Test 120 Day Accts";#N/A,#N/A,FALSE,"Tickmarks"}</definedName>
    <definedName name="Y" localSheetId="4" hidden="1">{#N/A,#N/A,FALSE,"VENTAS";#N/A,#N/A,FALSE,"U. BRUTA";#N/A,#N/A,FALSE,"G. PERSONAL";#N/A,#N/A,FALSE,"G. OPERACION";#N/A,#N/A,FALSE,"G. DEPYAM";#N/A,#N/A,FALSE,"INGRESOS";#N/A,#N/A,FALSE,"G.o P.1";#N/A,#N/A,FALSE,"3%Informe Junta";#N/A,#N/A,FALSE,"P Y G (2)";#N/A,#N/A,FALSE,"CART. PROV.";#N/A,#N/A,FALSE,"Usecmes";#N/A,#N/A,FALSE,"Usecacu"}</definedName>
    <definedName name="Y" localSheetId="3" hidden="1">{#N/A,#N/A,FALSE,"VENTAS";#N/A,#N/A,FALSE,"U. BRUTA";#N/A,#N/A,FALSE,"G. PERSONAL";#N/A,#N/A,FALSE,"G. OPERACION";#N/A,#N/A,FALSE,"G. DEPYAM";#N/A,#N/A,FALSE,"INGRESOS";#N/A,#N/A,FALSE,"G.o P.1";#N/A,#N/A,FALSE,"3%Informe Junta";#N/A,#N/A,FALSE,"P Y G (2)";#N/A,#N/A,FALSE,"CART. PROV.";#N/A,#N/A,FALSE,"Usecmes";#N/A,#N/A,FALSE,"Usecacu"}</definedName>
    <definedName name="Y" localSheetId="2" hidden="1">{#N/A,#N/A,FALSE,"VENTAS";#N/A,#N/A,FALSE,"U. BRUTA";#N/A,#N/A,FALSE,"G. PERSONAL";#N/A,#N/A,FALSE,"G. OPERACION";#N/A,#N/A,FALSE,"G. DEPYAM";#N/A,#N/A,FALSE,"INGRESOS";#N/A,#N/A,FALSE,"G.o P.1";#N/A,#N/A,FALSE,"3%Informe Junta";#N/A,#N/A,FALSE,"P Y G (2)";#N/A,#N/A,FALSE,"CART. PROV.";#N/A,#N/A,FALSE,"Usecmes";#N/A,#N/A,FALSE,"Usecacu"}</definedName>
    <definedName name="Y" hidden="1">{#N/A,#N/A,FALSE,"VENTAS";#N/A,#N/A,FALSE,"U. BRUTA";#N/A,#N/A,FALSE,"G. PERSONAL";#N/A,#N/A,FALSE,"G. OPERACION";#N/A,#N/A,FALSE,"G. DEPYAM";#N/A,#N/A,FALSE,"INGRESOS";#N/A,#N/A,FALSE,"G.o P.1";#N/A,#N/A,FALSE,"3%Informe Junta";#N/A,#N/A,FALSE,"P Y G (2)";#N/A,#N/A,FALSE,"CART. PROV.";#N/A,#N/A,FALSE,"Usecmes";#N/A,#N/A,FALSE,"Usecacu"}</definedName>
    <definedName name="yema" hidden="1">{#N/A,#N/A,FALSE,"Aging Summary";#N/A,#N/A,FALSE,"Ratio Analysis";#N/A,#N/A,FALSE,"Test 120 Day Accts";#N/A,#N/A,FALSE,"Tickmarks"}</definedName>
    <definedName name="YO" localSheetId="4" hidden="1">{#N/A,#N/A,FALSE,"GRAFICO";#N/A,#N/A,FALSE,"CAJA (2)";#N/A,#N/A,FALSE,"TERCEROS-PROMEDIO";#N/A,#N/A,FALSE,"CAJA";#N/A,#N/A,FALSE,"INGRESOS1995-2003";#N/A,#N/A,FALSE,"GASTOS1995-2003"}</definedName>
    <definedName name="YO" localSheetId="3" hidden="1">{#N/A,#N/A,FALSE,"GRAFICO";#N/A,#N/A,FALSE,"CAJA (2)";#N/A,#N/A,FALSE,"TERCEROS-PROMEDIO";#N/A,#N/A,FALSE,"CAJA";#N/A,#N/A,FALSE,"INGRESOS1995-2003";#N/A,#N/A,FALSE,"GASTOS1995-2003"}</definedName>
    <definedName name="YO" localSheetId="2" hidden="1">{#N/A,#N/A,FALSE,"GRAFICO";#N/A,#N/A,FALSE,"CAJA (2)";#N/A,#N/A,FALSE,"TERCEROS-PROMEDIO";#N/A,#N/A,FALSE,"CAJA";#N/A,#N/A,FALSE,"INGRESOS1995-2003";#N/A,#N/A,FALSE,"GASTOS1995-2003"}</definedName>
    <definedName name="YO" hidden="1">{#N/A,#N/A,FALSE,"GRAFICO";#N/A,#N/A,FALSE,"CAJA (2)";#N/A,#N/A,FALSE,"TERCEROS-PROMEDIO";#N/A,#N/A,FALSE,"CAJA";#N/A,#N/A,FALSE,"INGRESOS1995-2003";#N/A,#N/A,FALSE,"GASTOS1995-2003"}</definedName>
    <definedName name="yt" hidden="1">{#N/A,#N/A,FALSE,"Aging Summary";#N/A,#N/A,FALSE,"Ratio Analysis";#N/A,#N/A,FALSE,"Test 120 Day Accts";#N/A,#N/A,FALSE,"Tickmarks"}</definedName>
    <definedName name="YTG" hidden="1">{#N/A,#N/A,FALSE,"Aging Summary";#N/A,#N/A,FALSE,"Ratio Analysis";#N/A,#N/A,FALSE,"Test 120 Day Accts";#N/A,#N/A,FALSE,"Tickmarks"}</definedName>
    <definedName name="YTYR" hidden="1">{#N/A,#N/A,FALSE,"Aging Summary";#N/A,#N/A,FALSE,"Ratio Analysis";#N/A,#N/A,FALSE,"Test 120 Day Accts";#N/A,#N/A,FALSE,"Tickmarks"}</definedName>
    <definedName name="yuftfyf" localSheetId="6" hidden="1">{#N/A,#N/A,FALSE,"balance";#N/A,#N/A,FALSE,"PYG"}</definedName>
    <definedName name="yuftfyf" localSheetId="1" hidden="1">{#N/A,#N/A,FALSE,"balance";#N/A,#N/A,FALSE,"PYG"}</definedName>
    <definedName name="yuftfyf" localSheetId="4" hidden="1">{#N/A,#N/A,FALSE,"balance";#N/A,#N/A,FALSE,"PYG"}</definedName>
    <definedName name="yuftfyf" localSheetId="0" hidden="1">{#N/A,#N/A,FALSE,"balance";#N/A,#N/A,FALSE,"PYG"}</definedName>
    <definedName name="yuftfyf" localSheetId="3" hidden="1">{#N/A,#N/A,FALSE,"balance";#N/A,#N/A,FALSE,"PYG"}</definedName>
    <definedName name="yuftfyf" localSheetId="2" hidden="1">{#N/A,#N/A,FALSE,"balance";#N/A,#N/A,FALSE,"PYG"}</definedName>
    <definedName name="yuftfyf" localSheetId="5" hidden="1">{#N/A,#N/A,FALSE,"balance";#N/A,#N/A,FALSE,"PYG"}</definedName>
    <definedName name="yuftfyf" localSheetId="7" hidden="1">{#N/A,#N/A,FALSE,"balance";#N/A,#N/A,FALSE,"PYG"}</definedName>
    <definedName name="yuftfyf" hidden="1">{#N/A,#N/A,FALSE,"balance";#N/A,#N/A,FALSE,"PYG"}</definedName>
    <definedName name="yugdnk" localSheetId="6" hidden="1">{#N/A,#N/A,FALSE,"balance";#N/A,#N/A,FALSE,"PYG"}</definedName>
    <definedName name="yugdnk" localSheetId="1" hidden="1">{#N/A,#N/A,FALSE,"balance";#N/A,#N/A,FALSE,"PYG"}</definedName>
    <definedName name="yugdnk" localSheetId="4" hidden="1">{#N/A,#N/A,FALSE,"balance";#N/A,#N/A,FALSE,"PYG"}</definedName>
    <definedName name="yugdnk" localSheetId="0" hidden="1">{#N/A,#N/A,FALSE,"balance";#N/A,#N/A,FALSE,"PYG"}</definedName>
    <definedName name="yugdnk" localSheetId="3" hidden="1">{#N/A,#N/A,FALSE,"balance";#N/A,#N/A,FALSE,"PYG"}</definedName>
    <definedName name="yugdnk" localSheetId="2" hidden="1">{#N/A,#N/A,FALSE,"balance";#N/A,#N/A,FALSE,"PYG"}</definedName>
    <definedName name="yugdnk" localSheetId="5" hidden="1">{#N/A,#N/A,FALSE,"balance";#N/A,#N/A,FALSE,"PYG"}</definedName>
    <definedName name="yugdnk" localSheetId="7" hidden="1">{#N/A,#N/A,FALSE,"balance";#N/A,#N/A,FALSE,"PYG"}</definedName>
    <definedName name="yugdnk" hidden="1">{#N/A,#N/A,FALSE,"balance";#N/A,#N/A,FALSE,"PYG"}</definedName>
    <definedName name="yute" hidden="1">{"PYGT",#N/A,FALSE,"PYG";"ACTIT",#N/A,FALSE,"BCE_GRAL-ACTIVO";"PASIT",#N/A,FALSE,"BCE_GRAL-PASIVO-PATRIM";"CAJAT",#N/A,FALSE,"CAJA"}</definedName>
    <definedName name="YY" localSheetId="4" hidden="1">{#N/A,#N/A,FALSE,"GRAFICO";#N/A,#N/A,FALSE,"CAJA (2)";#N/A,#N/A,FALSE,"TERCEROS-PROMEDIO";#N/A,#N/A,FALSE,"CAJA";#N/A,#N/A,FALSE,"INGRESOS1995-2003";#N/A,#N/A,FALSE,"GASTOS1995-2003"}</definedName>
    <definedName name="YY" localSheetId="3" hidden="1">{#N/A,#N/A,FALSE,"GRAFICO";#N/A,#N/A,FALSE,"CAJA (2)";#N/A,#N/A,FALSE,"TERCEROS-PROMEDIO";#N/A,#N/A,FALSE,"CAJA";#N/A,#N/A,FALSE,"INGRESOS1995-2003";#N/A,#N/A,FALSE,"GASTOS1995-2003"}</definedName>
    <definedName name="YY" localSheetId="2" hidden="1">{#N/A,#N/A,FALSE,"GRAFICO";#N/A,#N/A,FALSE,"CAJA (2)";#N/A,#N/A,FALSE,"TERCEROS-PROMEDIO";#N/A,#N/A,FALSE,"CAJA";#N/A,#N/A,FALSE,"INGRESOS1995-2003";#N/A,#N/A,FALSE,"GASTOS1995-2003"}</definedName>
    <definedName name="YY" hidden="1">{#N/A,#N/A,FALSE,"GRAFICO";#N/A,#N/A,FALSE,"CAJA (2)";#N/A,#N/A,FALSE,"TERCEROS-PROMEDIO";#N/A,#N/A,FALSE,"CAJA";#N/A,#N/A,FALSE,"INGRESOS1995-2003";#N/A,#N/A,FALSE,"GASTOS1995-2003"}</definedName>
    <definedName name="yyy" hidden="1">{#N/A,#N/A,FALSE,"Aging Summary";#N/A,#N/A,FALSE,"Ratio Analysis";#N/A,#N/A,FALSE,"Test 120 Day Accts";#N/A,#N/A,FALSE,"Tickmarks"}</definedName>
    <definedName name="YYYY" localSheetId="4" hidden="1">{#N/A,#N/A,FALSE,"GRAFICO";#N/A,#N/A,FALSE,"CAJA (2)";#N/A,#N/A,FALSE,"TERCEROS-PROMEDIO";#N/A,#N/A,FALSE,"CAJA";#N/A,#N/A,FALSE,"INGRESOS1995-2003";#N/A,#N/A,FALSE,"GASTOS1995-2003"}</definedName>
    <definedName name="YYYY" localSheetId="3" hidden="1">{#N/A,#N/A,FALSE,"GRAFICO";#N/A,#N/A,FALSE,"CAJA (2)";#N/A,#N/A,FALSE,"TERCEROS-PROMEDIO";#N/A,#N/A,FALSE,"CAJA";#N/A,#N/A,FALSE,"INGRESOS1995-2003";#N/A,#N/A,FALSE,"GASTOS1995-2003"}</definedName>
    <definedName name="YYYY" localSheetId="2" hidden="1">{#N/A,#N/A,FALSE,"GRAFICO";#N/A,#N/A,FALSE,"CAJA (2)";#N/A,#N/A,FALSE,"TERCEROS-PROMEDIO";#N/A,#N/A,FALSE,"CAJA";#N/A,#N/A,FALSE,"INGRESOS1995-2003";#N/A,#N/A,FALSE,"GASTOS1995-2003"}</definedName>
    <definedName name="YYYY" hidden="1">{#N/A,#N/A,FALSE,"GRAFICO";#N/A,#N/A,FALSE,"CAJA (2)";#N/A,#N/A,FALSE,"TERCEROS-PROMEDIO";#N/A,#N/A,FALSE,"CAJA";#N/A,#N/A,FALSE,"INGRESOS1995-2003";#N/A,#N/A,FALSE,"GASTOS1995-2003"}</definedName>
    <definedName name="yyyyyy" localSheetId="4" hidden="1">{"PYGS",#N/A,FALSE,"PYG";"ACTIS",#N/A,FALSE,"BCE_GRAL-ACTIVO";"PASIS",#N/A,FALSE,"BCE_GRAL-PASIVO-PATRIM";"CAJAS",#N/A,FALSE,"CAJA"}</definedName>
    <definedName name="yyyyyy" localSheetId="3" hidden="1">{"PYGS",#N/A,FALSE,"PYG";"ACTIS",#N/A,FALSE,"BCE_GRAL-ACTIVO";"PASIS",#N/A,FALSE,"BCE_GRAL-PASIVO-PATRIM";"CAJAS",#N/A,FALSE,"CAJA"}</definedName>
    <definedName name="yyyyyy" localSheetId="2" hidden="1">{"PYGS",#N/A,FALSE,"PYG";"ACTIS",#N/A,FALSE,"BCE_GRAL-ACTIVO";"PASIS",#N/A,FALSE,"BCE_GRAL-PASIVO-PATRIM";"CAJAS",#N/A,FALSE,"CAJA"}</definedName>
    <definedName name="yyyyyy" hidden="1">{"PYGS",#N/A,FALSE,"PYG";"ACTIS",#N/A,FALSE,"BCE_GRAL-ACTIVO";"PASIS",#N/A,FALSE,"BCE_GRAL-PASIVO-PATRIM";"CAJAS",#N/A,FALSE,"CAJA"}</definedName>
    <definedName name="yyyyyyyyyyyyyyy" localSheetId="4" hidden="1">{#N/A,#N/A,FALSE,"GRAFICO";#N/A,#N/A,FALSE,"CAJA (2)";#N/A,#N/A,FALSE,"TERCEROS-PROMEDIO";#N/A,#N/A,FALSE,"CAJA";#N/A,#N/A,FALSE,"INGRESOS1995-2003";#N/A,#N/A,FALSE,"GASTOS1995-2003"}</definedName>
    <definedName name="yyyyyyyyyyyyyyy" localSheetId="3" hidden="1">{#N/A,#N/A,FALSE,"GRAFICO";#N/A,#N/A,FALSE,"CAJA (2)";#N/A,#N/A,FALSE,"TERCEROS-PROMEDIO";#N/A,#N/A,FALSE,"CAJA";#N/A,#N/A,FALSE,"INGRESOS1995-2003";#N/A,#N/A,FALSE,"GASTOS1995-2003"}</definedName>
    <definedName name="yyyyyyyyyyyyyyy" localSheetId="2" hidden="1">{#N/A,#N/A,FALSE,"GRAFICO";#N/A,#N/A,FALSE,"CAJA (2)";#N/A,#N/A,FALSE,"TERCEROS-PROMEDIO";#N/A,#N/A,FALSE,"CAJA";#N/A,#N/A,FALSE,"INGRESOS1995-2003";#N/A,#N/A,FALSE,"GASTOS1995-2003"}</definedName>
    <definedName name="yyyyyyyyyyyyyyy" hidden="1">{#N/A,#N/A,FALSE,"GRAFICO";#N/A,#N/A,FALSE,"CAJA (2)";#N/A,#N/A,FALSE,"TERCEROS-PROMEDIO";#N/A,#N/A,FALSE,"CAJA";#N/A,#N/A,FALSE,"INGRESOS1995-2003";#N/A,#N/A,FALSE,"GASTOS1995-2003"}</definedName>
    <definedName name="zmmxjd" localSheetId="4" hidden="1">{#N/A,#N/A,TRUE,"Cond";#N/A,#N/A,TRUE,"Bce_hold";#N/A,#N/A,TRUE,"eerr_hold";#N/A,#N/A,TRUE,"eerr_prod";#N/A,#N/A,TRUE,"eerr_tipogtos";#N/A,#N/A,TRUE,"Flujo";#N/A,#N/A,TRUE,"Var_Ebit";#N/A,#N/A,TRUE,"Noa";#N/A,#N/A,TRUE,"Var_Noa"}</definedName>
    <definedName name="zmmxjd" localSheetId="3" hidden="1">{#N/A,#N/A,TRUE,"Cond";#N/A,#N/A,TRUE,"Bce_hold";#N/A,#N/A,TRUE,"eerr_hold";#N/A,#N/A,TRUE,"eerr_prod";#N/A,#N/A,TRUE,"eerr_tipogtos";#N/A,#N/A,TRUE,"Flujo";#N/A,#N/A,TRUE,"Var_Ebit";#N/A,#N/A,TRUE,"Noa";#N/A,#N/A,TRUE,"Var_Noa"}</definedName>
    <definedName name="zmmxjd" localSheetId="2" hidden="1">{#N/A,#N/A,TRUE,"Cond";#N/A,#N/A,TRUE,"Bce_hold";#N/A,#N/A,TRUE,"eerr_hold";#N/A,#N/A,TRUE,"eerr_prod";#N/A,#N/A,TRUE,"eerr_tipogtos";#N/A,#N/A,TRUE,"Flujo";#N/A,#N/A,TRUE,"Var_Ebit";#N/A,#N/A,TRUE,"Noa";#N/A,#N/A,TRUE,"Var_Noa"}</definedName>
    <definedName name="zmmxjd" hidden="1">{#N/A,#N/A,TRUE,"Cond";#N/A,#N/A,TRUE,"Bce_hold";#N/A,#N/A,TRUE,"eerr_hold";#N/A,#N/A,TRUE,"eerr_prod";#N/A,#N/A,TRUE,"eerr_tipogtos";#N/A,#N/A,TRUE,"Flujo";#N/A,#N/A,TRUE,"Var_Ebit";#N/A,#N/A,TRUE,"Noa";#N/A,#N/A,TRUE,"Var_Noa"}</definedName>
    <definedName name="zzzz" hidden="1">{#N/A,#N/A,FALSE,"Aging Summary";#N/A,#N/A,FALSE,"Ratio Analysis";#N/A,#N/A,FALSE,"Test 120 Day Accts";#N/A,#N/A,FALSE,"Tickmarks"}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5" i="387" l="1"/>
  <c r="B65" i="387"/>
  <c r="C51" i="387"/>
  <c r="B51" i="387"/>
  <c r="C29" i="387"/>
  <c r="C32" i="387" s="1"/>
  <c r="C22" i="387"/>
  <c r="B22" i="387"/>
  <c r="B29" i="387" s="1"/>
  <c r="B32" i="387" s="1"/>
  <c r="D61" i="385"/>
  <c r="C61" i="385"/>
  <c r="D49" i="385"/>
  <c r="C49" i="385"/>
  <c r="D21" i="385"/>
  <c r="D29" i="385" s="1"/>
  <c r="D32" i="385" s="1"/>
  <c r="D62" i="385" s="1"/>
  <c r="D65" i="385" s="1"/>
  <c r="C21" i="385"/>
  <c r="C29" i="385" s="1"/>
  <c r="C32" i="385" s="1"/>
  <c r="C62" i="385" s="1"/>
  <c r="C65" i="385" s="1"/>
  <c r="AY43" i="378"/>
  <c r="AW43" i="378"/>
  <c r="AV43" i="378"/>
  <c r="AU43" i="378"/>
  <c r="AT43" i="378"/>
  <c r="AY29" i="378"/>
  <c r="AW29" i="378"/>
  <c r="AV29" i="378"/>
  <c r="AU29" i="378"/>
  <c r="AT29" i="378"/>
  <c r="AY23" i="378"/>
  <c r="AW23" i="378"/>
  <c r="AV23" i="378"/>
  <c r="AU23" i="378"/>
  <c r="AT23" i="378"/>
  <c r="AT21" i="378"/>
  <c r="AT20" i="378"/>
  <c r="AT35" i="378" s="1"/>
  <c r="AY16" i="378"/>
  <c r="AW16" i="378"/>
  <c r="AV16" i="378"/>
  <c r="AU16" i="378"/>
  <c r="AT16" i="378"/>
  <c r="AY10" i="378"/>
  <c r="AY20" i="378" s="1"/>
  <c r="AW10" i="378"/>
  <c r="AW20" i="378" s="1"/>
  <c r="AV10" i="378"/>
  <c r="AV20" i="378" s="1"/>
  <c r="AU10" i="378"/>
  <c r="AU20" i="378" s="1"/>
  <c r="AT10" i="378"/>
  <c r="AV82" i="376"/>
  <c r="AT82" i="376"/>
  <c r="AS82" i="376"/>
  <c r="AR82" i="376"/>
  <c r="AQ82" i="376"/>
  <c r="AS70" i="376"/>
  <c r="AQ70" i="376"/>
  <c r="AV69" i="376"/>
  <c r="AV70" i="376" s="1"/>
  <c r="AT69" i="376"/>
  <c r="AT70" i="376" s="1"/>
  <c r="AS69" i="376"/>
  <c r="AR69" i="376"/>
  <c r="AR70" i="376" s="1"/>
  <c r="AQ69" i="376"/>
  <c r="AV64" i="376"/>
  <c r="AT64" i="376"/>
  <c r="AS64" i="376"/>
  <c r="AR64" i="376"/>
  <c r="AQ64" i="376"/>
  <c r="AV51" i="376"/>
  <c r="AV66" i="376" s="1"/>
  <c r="AT51" i="376"/>
  <c r="AT66" i="376" s="1"/>
  <c r="AS51" i="376"/>
  <c r="AS66" i="376" s="1"/>
  <c r="AR51" i="376"/>
  <c r="AR66" i="376" s="1"/>
  <c r="AQ51" i="376"/>
  <c r="AQ66" i="376" s="1"/>
  <c r="AT35" i="376"/>
  <c r="AT36" i="376" s="1"/>
  <c r="AS35" i="376"/>
  <c r="AS36" i="376" s="1"/>
  <c r="AV33" i="376"/>
  <c r="AT33" i="376"/>
  <c r="AS33" i="376"/>
  <c r="AR33" i="376"/>
  <c r="AQ33" i="376"/>
  <c r="AV19" i="376"/>
  <c r="AV35" i="376" s="1"/>
  <c r="AV36" i="376" s="1"/>
  <c r="AT19" i="376"/>
  <c r="AS19" i="376"/>
  <c r="AR19" i="376"/>
  <c r="AR35" i="376" s="1"/>
  <c r="AR36" i="376" s="1"/>
  <c r="AQ19" i="376"/>
  <c r="AQ35" i="376" s="1"/>
  <c r="AQ36" i="376" s="1"/>
  <c r="BE63" i="33"/>
  <c r="BD63" i="33"/>
  <c r="BF47" i="33"/>
  <c r="BE47" i="33"/>
  <c r="BE46" i="33" s="1"/>
  <c r="BH46" i="33"/>
  <c r="BF46" i="33"/>
  <c r="BD46" i="33"/>
  <c r="BC46" i="33"/>
  <c r="BD34" i="33"/>
  <c r="BD33" i="33" s="1"/>
  <c r="BH33" i="33"/>
  <c r="BF33" i="33"/>
  <c r="BE33" i="33"/>
  <c r="BC33" i="33"/>
  <c r="BF31" i="33"/>
  <c r="BE31" i="33"/>
  <c r="BF30" i="33"/>
  <c r="BE30" i="33"/>
  <c r="BD30" i="33"/>
  <c r="BH29" i="33"/>
  <c r="BH27" i="33" s="1"/>
  <c r="BF29" i="33"/>
  <c r="BE29" i="33"/>
  <c r="BF28" i="33"/>
  <c r="BF27" i="33" s="1"/>
  <c r="BE27" i="33"/>
  <c r="BD27" i="33"/>
  <c r="BC27" i="33"/>
  <c r="BD22" i="33"/>
  <c r="BF20" i="33"/>
  <c r="BD19" i="33"/>
  <c r="BD18" i="33" s="1"/>
  <c r="BH18" i="33"/>
  <c r="BF18" i="33"/>
  <c r="BE18" i="33"/>
  <c r="BC18" i="33"/>
  <c r="BF14" i="33"/>
  <c r="BE14" i="33"/>
  <c r="BF13" i="33"/>
  <c r="BH10" i="33"/>
  <c r="BH24" i="33" s="1"/>
  <c r="BF10" i="33"/>
  <c r="BF24" i="33" s="1"/>
  <c r="BE10" i="33"/>
  <c r="BD10" i="33"/>
  <c r="BD24" i="33" s="1"/>
  <c r="BC10" i="33"/>
  <c r="BC24" i="33" s="1"/>
  <c r="AX92" i="32"/>
  <c r="AV92" i="32"/>
  <c r="AU92" i="32"/>
  <c r="AT92" i="32"/>
  <c r="AS92" i="32"/>
  <c r="AX89" i="32"/>
  <c r="AV89" i="32"/>
  <c r="AU89" i="32"/>
  <c r="AX88" i="32"/>
  <c r="AV88" i="32"/>
  <c r="AU88" i="32"/>
  <c r="AT88" i="32"/>
  <c r="AT89" i="32" s="1"/>
  <c r="AS88" i="32"/>
  <c r="AS89" i="32" s="1"/>
  <c r="AX86" i="32"/>
  <c r="AX73" i="32" s="1"/>
  <c r="AX74" i="32" s="1"/>
  <c r="AV86" i="32"/>
  <c r="AU86" i="32"/>
  <c r="AU73" i="32" s="1"/>
  <c r="AU74" i="32" s="1"/>
  <c r="AT86" i="32"/>
  <c r="AS86" i="32"/>
  <c r="AS73" i="32" s="1"/>
  <c r="AS74" i="32" s="1"/>
  <c r="AT74" i="32"/>
  <c r="AV73" i="32"/>
  <c r="AV74" i="32" s="1"/>
  <c r="AT73" i="32"/>
  <c r="AX68" i="32"/>
  <c r="AV68" i="32"/>
  <c r="AV70" i="32" s="1"/>
  <c r="AU68" i="32"/>
  <c r="AT68" i="32"/>
  <c r="AS68" i="32"/>
  <c r="AX54" i="32"/>
  <c r="AX70" i="32" s="1"/>
  <c r="AV54" i="32"/>
  <c r="AU54" i="32"/>
  <c r="AU70" i="32" s="1"/>
  <c r="AT54" i="32"/>
  <c r="AT70" i="32" s="1"/>
  <c r="AS54" i="32"/>
  <c r="AS70" i="32" s="1"/>
  <c r="AU37" i="32"/>
  <c r="AU38" i="32" s="1"/>
  <c r="AT37" i="32"/>
  <c r="AT38" i="32" s="1"/>
  <c r="AX35" i="32"/>
  <c r="AV35" i="32"/>
  <c r="AU35" i="32"/>
  <c r="AT35" i="32"/>
  <c r="AS35" i="32"/>
  <c r="AX19" i="32"/>
  <c r="AX37" i="32" s="1"/>
  <c r="AX38" i="32" s="1"/>
  <c r="AV19" i="32"/>
  <c r="AV37" i="32" s="1"/>
  <c r="AV38" i="32" s="1"/>
  <c r="AU19" i="32"/>
  <c r="AT19" i="32"/>
  <c r="AS19" i="32"/>
  <c r="AS37" i="32" s="1"/>
  <c r="AS38" i="32" s="1"/>
  <c r="B66" i="387" l="1"/>
  <c r="B69" i="387" s="1"/>
  <c r="B71" i="387" s="1"/>
  <c r="C66" i="387"/>
  <c r="C69" i="387" s="1"/>
  <c r="C71" i="387" s="1"/>
  <c r="AW21" i="378"/>
  <c r="AW35" i="378"/>
  <c r="AY21" i="378"/>
  <c r="AY35" i="378"/>
  <c r="AU21" i="378"/>
  <c r="AU35" i="378"/>
  <c r="AV21" i="378"/>
  <c r="AV35" i="378"/>
  <c r="AT37" i="378"/>
  <c r="AT50" i="378"/>
  <c r="AT55" i="378" s="1"/>
  <c r="AT57" i="378" s="1"/>
  <c r="AT39" i="378"/>
  <c r="AT41" i="378" s="1"/>
  <c r="AQ67" i="376"/>
  <c r="AQ72" i="376"/>
  <c r="AR72" i="376"/>
  <c r="AR67" i="376"/>
  <c r="AS72" i="376"/>
  <c r="AS67" i="376"/>
  <c r="AT67" i="376"/>
  <c r="AT72" i="376"/>
  <c r="AV67" i="376"/>
  <c r="AV72" i="376"/>
  <c r="BF25" i="33"/>
  <c r="BF38" i="33"/>
  <c r="BH38" i="33"/>
  <c r="BH25" i="33"/>
  <c r="BC38" i="33"/>
  <c r="BC25" i="33"/>
  <c r="BD38" i="33"/>
  <c r="BD25" i="33"/>
  <c r="BE24" i="33"/>
  <c r="AV71" i="32"/>
  <c r="AV76" i="32"/>
  <c r="AT76" i="32"/>
  <c r="AT71" i="32"/>
  <c r="AU71" i="32"/>
  <c r="AU76" i="32"/>
  <c r="AS76" i="32"/>
  <c r="AS71" i="32"/>
  <c r="AX76" i="32"/>
  <c r="AX71" i="32"/>
  <c r="G2" i="183"/>
  <c r="G16" i="183"/>
  <c r="C8" i="183" s="1"/>
  <c r="I9" i="183"/>
  <c r="D9" i="183"/>
  <c r="C9" i="183"/>
  <c r="C10" i="183" s="1"/>
  <c r="I10" i="183"/>
  <c r="D10" i="183" s="1"/>
  <c r="I11" i="183"/>
  <c r="D11" i="183" s="1"/>
  <c r="I12" i="183"/>
  <c r="I16" i="183" s="1"/>
  <c r="D12" i="183"/>
  <c r="I13" i="183"/>
  <c r="D13" i="183" s="1"/>
  <c r="I14" i="183"/>
  <c r="D14" i="183" s="1"/>
  <c r="I15" i="183"/>
  <c r="D15" i="183" s="1"/>
  <c r="H16" i="183"/>
  <c r="C19" i="183"/>
  <c r="M19" i="183"/>
  <c r="N19" i="183"/>
  <c r="H20" i="183"/>
  <c r="H21" i="183" s="1"/>
  <c r="C47" i="183"/>
  <c r="I47" i="183"/>
  <c r="D47" i="183" s="1"/>
  <c r="J47" i="183"/>
  <c r="I48" i="183"/>
  <c r="J48" i="183"/>
  <c r="I49" i="183"/>
  <c r="D49" i="183"/>
  <c r="J49" i="183"/>
  <c r="I50" i="183"/>
  <c r="D50" i="183" s="1"/>
  <c r="J50" i="183"/>
  <c r="K51" i="183"/>
  <c r="N61" i="183"/>
  <c r="O61" i="183"/>
  <c r="P61" i="183"/>
  <c r="Q61" i="183"/>
  <c r="C71" i="183"/>
  <c r="I71" i="183"/>
  <c r="D71" i="183"/>
  <c r="J71" i="183"/>
  <c r="I72" i="183"/>
  <c r="D72" i="183" s="1"/>
  <c r="C72" i="183" s="1"/>
  <c r="C73" i="183" s="1"/>
  <c r="C74" i="183" s="1"/>
  <c r="J72" i="183"/>
  <c r="I73" i="183"/>
  <c r="D73" i="183"/>
  <c r="J73" i="183"/>
  <c r="I74" i="183"/>
  <c r="D74" i="183"/>
  <c r="J74" i="183"/>
  <c r="K75" i="183"/>
  <c r="O88" i="183"/>
  <c r="P88" i="183"/>
  <c r="Q88" i="183"/>
  <c r="R88" i="183"/>
  <c r="G14" i="182"/>
  <c r="C6" i="182"/>
  <c r="I7" i="182"/>
  <c r="I8" i="182"/>
  <c r="D8" i="182" s="1"/>
  <c r="I9" i="182"/>
  <c r="D9" i="182"/>
  <c r="I10" i="182"/>
  <c r="D10" i="182" s="1"/>
  <c r="I11" i="182"/>
  <c r="D11" i="182" s="1"/>
  <c r="I12" i="182"/>
  <c r="D12" i="182"/>
  <c r="I13" i="182"/>
  <c r="D13" i="182" s="1"/>
  <c r="H14" i="182"/>
  <c r="C17" i="182"/>
  <c r="M17" i="182"/>
  <c r="N17" i="182"/>
  <c r="H18" i="182"/>
  <c r="H19" i="182" s="1"/>
  <c r="C45" i="182"/>
  <c r="I45" i="182"/>
  <c r="C49" i="182" s="1"/>
  <c r="D45" i="182"/>
  <c r="C46" i="182" s="1"/>
  <c r="C47" i="182" s="1"/>
  <c r="C48" i="182" s="1"/>
  <c r="J45" i="182"/>
  <c r="I46" i="182"/>
  <c r="D46" i="182" s="1"/>
  <c r="J46" i="182"/>
  <c r="I47" i="182"/>
  <c r="D47" i="182"/>
  <c r="J47" i="182"/>
  <c r="I48" i="182"/>
  <c r="D48" i="182"/>
  <c r="J48" i="182"/>
  <c r="K49" i="182"/>
  <c r="N59" i="182"/>
  <c r="O59" i="182"/>
  <c r="P59" i="182"/>
  <c r="Q59" i="182"/>
  <c r="C69" i="182"/>
  <c r="I69" i="182"/>
  <c r="J69" i="182"/>
  <c r="I70" i="182"/>
  <c r="D70" i="182" s="1"/>
  <c r="J70" i="182"/>
  <c r="I71" i="182"/>
  <c r="D71" i="182" s="1"/>
  <c r="J71" i="182"/>
  <c r="I72" i="182"/>
  <c r="D72" i="182"/>
  <c r="J72" i="182"/>
  <c r="K73" i="182"/>
  <c r="O86" i="182"/>
  <c r="P86" i="182"/>
  <c r="Q86" i="182"/>
  <c r="R86" i="182"/>
  <c r="F14" i="181"/>
  <c r="H7" i="181"/>
  <c r="D7" i="181" s="1"/>
  <c r="H8" i="181"/>
  <c r="D8" i="181" s="1"/>
  <c r="H9" i="181"/>
  <c r="D9" i="181" s="1"/>
  <c r="H10" i="181"/>
  <c r="D10" i="181"/>
  <c r="H11" i="181"/>
  <c r="D11" i="181"/>
  <c r="H12" i="181"/>
  <c r="D12" i="181" s="1"/>
  <c r="H13" i="181"/>
  <c r="D13" i="181" s="1"/>
  <c r="G14" i="181"/>
  <c r="G18" i="181"/>
  <c r="C45" i="181"/>
  <c r="H45" i="181"/>
  <c r="D45" i="181" s="1"/>
  <c r="I45" i="181"/>
  <c r="H46" i="181"/>
  <c r="D46" i="181" s="1"/>
  <c r="I46" i="181"/>
  <c r="H47" i="181"/>
  <c r="D47" i="181" s="1"/>
  <c r="I47" i="181"/>
  <c r="H48" i="181"/>
  <c r="D48" i="181" s="1"/>
  <c r="I48" i="181"/>
  <c r="J49" i="181"/>
  <c r="M59" i="181"/>
  <c r="N59" i="181"/>
  <c r="O59" i="181"/>
  <c r="P59" i="181"/>
  <c r="C69" i="181"/>
  <c r="H69" i="181"/>
  <c r="D69" i="181"/>
  <c r="I69" i="181"/>
  <c r="H70" i="181"/>
  <c r="D70" i="181"/>
  <c r="C70" i="181"/>
  <c r="C71" i="181" s="1"/>
  <c r="C72" i="181" s="1"/>
  <c r="I70" i="181"/>
  <c r="H71" i="181"/>
  <c r="D71" i="181" s="1"/>
  <c r="I71" i="181"/>
  <c r="H72" i="181"/>
  <c r="D72" i="181" s="1"/>
  <c r="I72" i="181"/>
  <c r="J73" i="181"/>
  <c r="N86" i="181"/>
  <c r="O86" i="181"/>
  <c r="P86" i="181"/>
  <c r="Q86" i="181"/>
  <c r="C10" i="378"/>
  <c r="D10" i="378"/>
  <c r="E10" i="378"/>
  <c r="F12" i="378"/>
  <c r="F10" i="378"/>
  <c r="H13" i="378"/>
  <c r="H14" i="378"/>
  <c r="I13" i="378"/>
  <c r="I10" i="378" s="1"/>
  <c r="I20" i="378" s="1"/>
  <c r="I21" i="378" s="1"/>
  <c r="I14" i="378"/>
  <c r="J10" i="378"/>
  <c r="K14" i="378"/>
  <c r="K10" i="378" s="1"/>
  <c r="K20" i="378" s="1"/>
  <c r="K21" i="378" s="1"/>
  <c r="L10" i="378"/>
  <c r="L20" i="378" s="1"/>
  <c r="N10" i="378"/>
  <c r="O10" i="378"/>
  <c r="P10" i="378"/>
  <c r="Q10" i="378"/>
  <c r="R10" i="378"/>
  <c r="S10" i="378"/>
  <c r="S20" i="378" s="1"/>
  <c r="T10" i="378"/>
  <c r="U13" i="378"/>
  <c r="U10" i="378" s="1"/>
  <c r="U20" i="378" s="1"/>
  <c r="U14" i="378"/>
  <c r="W10" i="378"/>
  <c r="X10" i="378"/>
  <c r="Y10" i="378"/>
  <c r="Z13" i="378"/>
  <c r="Z14" i="378"/>
  <c r="Z10" i="378"/>
  <c r="Z20" i="378" s="1"/>
  <c r="AA10" i="378"/>
  <c r="AB12" i="378"/>
  <c r="AB10" i="378" s="1"/>
  <c r="AB20" i="378" s="1"/>
  <c r="AB13" i="378"/>
  <c r="AB14" i="378"/>
  <c r="AC10" i="378"/>
  <c r="AC20" i="378" s="1"/>
  <c r="AC21" i="378" s="1"/>
  <c r="AE10" i="378"/>
  <c r="AF10" i="378"/>
  <c r="AF20" i="378" s="1"/>
  <c r="AG14" i="378"/>
  <c r="AG10" i="378" s="1"/>
  <c r="AG20" i="378" s="1"/>
  <c r="AH10" i="378"/>
  <c r="AJ10" i="378"/>
  <c r="AK10" i="378"/>
  <c r="AL10" i="378"/>
  <c r="AL20" i="378" s="1"/>
  <c r="AM10" i="378"/>
  <c r="AO10" i="378"/>
  <c r="AO20" i="378" s="1"/>
  <c r="AP10" i="378"/>
  <c r="AQ10" i="378"/>
  <c r="AR14" i="378"/>
  <c r="AR10" i="378"/>
  <c r="K11" i="378"/>
  <c r="C16" i="378"/>
  <c r="D16" i="378"/>
  <c r="E16" i="378"/>
  <c r="F16" i="378"/>
  <c r="H16" i="378"/>
  <c r="I16" i="378"/>
  <c r="J16" i="378"/>
  <c r="J20" i="378" s="1"/>
  <c r="K16" i="378"/>
  <c r="L16" i="378"/>
  <c r="M16" i="378"/>
  <c r="N16" i="378"/>
  <c r="O16" i="378"/>
  <c r="P16" i="378"/>
  <c r="P20" i="378" s="1"/>
  <c r="Q16" i="378"/>
  <c r="R16" i="378"/>
  <c r="R20" i="378" s="1"/>
  <c r="R21" i="378" s="1"/>
  <c r="S16" i="378"/>
  <c r="T16" i="378"/>
  <c r="U16" i="378"/>
  <c r="W16" i="378"/>
  <c r="X16" i="378"/>
  <c r="Y16" i="378"/>
  <c r="Y20" i="378" s="1"/>
  <c r="Z16" i="378"/>
  <c r="AA16" i="378"/>
  <c r="AA20" i="378" s="1"/>
  <c r="AA21" i="378" s="1"/>
  <c r="AB16" i="378"/>
  <c r="AC16" i="378"/>
  <c r="AE16" i="378"/>
  <c r="AF16" i="378"/>
  <c r="AG16" i="378"/>
  <c r="AH16" i="378"/>
  <c r="AH20" i="378" s="1"/>
  <c r="AJ16" i="378"/>
  <c r="AK16" i="378"/>
  <c r="AK20" i="378" s="1"/>
  <c r="AK21" i="378" s="1"/>
  <c r="AL16" i="378"/>
  <c r="AM16" i="378"/>
  <c r="AO16" i="378"/>
  <c r="AP16" i="378"/>
  <c r="AQ16" i="378"/>
  <c r="AR17" i="378"/>
  <c r="AR16" i="378" s="1"/>
  <c r="AR20" i="378" s="1"/>
  <c r="C20" i="378"/>
  <c r="D20" i="378"/>
  <c r="E20" i="378"/>
  <c r="F20" i="378"/>
  <c r="N20" i="378"/>
  <c r="O20" i="378"/>
  <c r="Q20" i="378"/>
  <c r="T20" i="378"/>
  <c r="W20" i="378"/>
  <c r="X20" i="378"/>
  <c r="X35" i="378" s="1"/>
  <c r="AE20" i="378"/>
  <c r="AJ20" i="378"/>
  <c r="AJ35" i="378" s="1"/>
  <c r="AJ39" i="378" s="1"/>
  <c r="AJ41" i="378" s="1"/>
  <c r="AM20" i="378"/>
  <c r="AP20" i="378"/>
  <c r="AQ20" i="378"/>
  <c r="AQ35" i="378" s="1"/>
  <c r="C21" i="378"/>
  <c r="D21" i="378"/>
  <c r="E21" i="378"/>
  <c r="F21" i="378"/>
  <c r="N21" i="378"/>
  <c r="O21" i="378"/>
  <c r="T21" i="378"/>
  <c r="W21" i="378"/>
  <c r="X21" i="378"/>
  <c r="Z21" i="378"/>
  <c r="AE21" i="378"/>
  <c r="AJ21" i="378"/>
  <c r="AM21" i="378"/>
  <c r="AP21" i="378"/>
  <c r="AQ21" i="378"/>
  <c r="C23" i="378"/>
  <c r="D23" i="378"/>
  <c r="E23" i="378"/>
  <c r="F24" i="378"/>
  <c r="F23" i="378"/>
  <c r="F35" i="378" s="1"/>
  <c r="H23" i="378"/>
  <c r="I24" i="378"/>
  <c r="I23" i="378" s="1"/>
  <c r="J23" i="378"/>
  <c r="K23" i="378"/>
  <c r="L23" i="378"/>
  <c r="N23" i="378"/>
  <c r="O23" i="378"/>
  <c r="P23" i="378"/>
  <c r="Q23" i="378"/>
  <c r="R23" i="378"/>
  <c r="S23" i="378"/>
  <c r="T23" i="378"/>
  <c r="U24" i="378"/>
  <c r="U25" i="378"/>
  <c r="U26" i="378"/>
  <c r="W23" i="378"/>
  <c r="X23" i="378"/>
  <c r="Y23" i="378"/>
  <c r="Z24" i="378"/>
  <c r="Z25" i="378"/>
  <c r="AA23" i="378"/>
  <c r="AB24" i="378"/>
  <c r="AB25" i="378"/>
  <c r="AB26" i="378"/>
  <c r="AB23" i="378"/>
  <c r="AC23" i="378"/>
  <c r="AE23" i="378"/>
  <c r="AE35" i="378" s="1"/>
  <c r="AF24" i="378"/>
  <c r="AF23" i="378"/>
  <c r="AG24" i="378"/>
  <c r="AG23" i="378" s="1"/>
  <c r="AH23" i="378"/>
  <c r="AJ23" i="378"/>
  <c r="AK23" i="378"/>
  <c r="AL23" i="378"/>
  <c r="AM23" i="378"/>
  <c r="AO23" i="378"/>
  <c r="AP23" i="378"/>
  <c r="AQ23" i="378"/>
  <c r="AR23" i="378"/>
  <c r="C29" i="378"/>
  <c r="C35" i="378" s="1"/>
  <c r="D29" i="378"/>
  <c r="E29" i="378"/>
  <c r="F29" i="378"/>
  <c r="H30" i="378"/>
  <c r="H29" i="378" s="1"/>
  <c r="I30" i="378"/>
  <c r="I31" i="378"/>
  <c r="I29" i="378"/>
  <c r="J29" i="378"/>
  <c r="K29" i="378"/>
  <c r="L29" i="378"/>
  <c r="N29" i="378"/>
  <c r="O29" i="378"/>
  <c r="P29" i="378"/>
  <c r="Q29" i="378"/>
  <c r="R29" i="378"/>
  <c r="R35" i="378" s="1"/>
  <c r="S29" i="378"/>
  <c r="T29" i="378"/>
  <c r="U30" i="378"/>
  <c r="U29" i="378" s="1"/>
  <c r="U31" i="378"/>
  <c r="W29" i="378"/>
  <c r="W35" i="378" s="1"/>
  <c r="X29" i="378"/>
  <c r="Y29" i="378"/>
  <c r="Z30" i="378"/>
  <c r="Z29" i="378"/>
  <c r="AA29" i="378"/>
  <c r="AB30" i="378"/>
  <c r="AB31" i="378"/>
  <c r="AB32" i="378"/>
  <c r="AB29" i="378" s="1"/>
  <c r="AC29" i="378"/>
  <c r="AE29" i="378"/>
  <c r="AF29" i="378"/>
  <c r="AG29" i="378"/>
  <c r="AH29" i="378"/>
  <c r="AJ29" i="378"/>
  <c r="AK29" i="378"/>
  <c r="AK35" i="378" s="1"/>
  <c r="AL29" i="378"/>
  <c r="AM29" i="378"/>
  <c r="AO29" i="378"/>
  <c r="AP29" i="378"/>
  <c r="AQ29" i="378"/>
  <c r="AR29" i="378"/>
  <c r="D35" i="378"/>
  <c r="I35" i="378"/>
  <c r="K35" i="378"/>
  <c r="N35" i="378"/>
  <c r="T35" i="378"/>
  <c r="AA35" i="378"/>
  <c r="AC35" i="378"/>
  <c r="AM35" i="378"/>
  <c r="AP35" i="378"/>
  <c r="K36" i="378"/>
  <c r="D37" i="378"/>
  <c r="N37" i="378"/>
  <c r="AJ37" i="378"/>
  <c r="AP37" i="378"/>
  <c r="D39" i="378"/>
  <c r="N39" i="378"/>
  <c r="AP39" i="378"/>
  <c r="K40" i="378"/>
  <c r="D41" i="378"/>
  <c r="N41" i="378"/>
  <c r="AP41" i="378"/>
  <c r="C43" i="378"/>
  <c r="D43" i="378"/>
  <c r="E44" i="378"/>
  <c r="E43" i="378"/>
  <c r="F43" i="378"/>
  <c r="H46" i="378"/>
  <c r="H43" i="378" s="1"/>
  <c r="I44" i="378"/>
  <c r="I43" i="378"/>
  <c r="J44" i="378"/>
  <c r="J43" i="378" s="1"/>
  <c r="K43" i="378"/>
  <c r="L43" i="378"/>
  <c r="N43" i="378"/>
  <c r="N50" i="378" s="1"/>
  <c r="N55" i="378" s="1"/>
  <c r="N57" i="378" s="1"/>
  <c r="O43" i="378"/>
  <c r="P43" i="378"/>
  <c r="Q43" i="378"/>
  <c r="R43" i="378"/>
  <c r="S43" i="378"/>
  <c r="T43" i="378"/>
  <c r="U44" i="378"/>
  <c r="U46" i="378"/>
  <c r="W43" i="378"/>
  <c r="X43" i="378"/>
  <c r="Y43" i="378"/>
  <c r="Z44" i="378"/>
  <c r="Z43" i="378"/>
  <c r="AA43" i="378"/>
  <c r="AB44" i="378"/>
  <c r="AB43" i="378" s="1"/>
  <c r="AC43" i="378"/>
  <c r="AE43" i="378"/>
  <c r="AF43" i="378"/>
  <c r="AG43" i="378"/>
  <c r="AH43" i="378"/>
  <c r="AJ43" i="378"/>
  <c r="AK43" i="378"/>
  <c r="AL43" i="378"/>
  <c r="AM43" i="378"/>
  <c r="AO43" i="378"/>
  <c r="AP44" i="378"/>
  <c r="AP43" i="378" s="1"/>
  <c r="AP50" i="378" s="1"/>
  <c r="AP55" i="378" s="1"/>
  <c r="AP57" i="378" s="1"/>
  <c r="AQ43" i="378"/>
  <c r="AQ50" i="378" s="1"/>
  <c r="AQ55" i="378" s="1"/>
  <c r="AQ57" i="378" s="1"/>
  <c r="AR43" i="378"/>
  <c r="D50" i="378"/>
  <c r="X50" i="378"/>
  <c r="X55" i="378" s="1"/>
  <c r="X57" i="378" s="1"/>
  <c r="AJ50" i="378"/>
  <c r="AJ55" i="378" s="1"/>
  <c r="AJ57" i="378" s="1"/>
  <c r="U53" i="378"/>
  <c r="Z53" i="378"/>
  <c r="AB53" i="378"/>
  <c r="AR53" i="378"/>
  <c r="D55" i="378"/>
  <c r="K56" i="378"/>
  <c r="D57" i="378"/>
  <c r="C66" i="378"/>
  <c r="D66" i="378"/>
  <c r="D71" i="378" s="1"/>
  <c r="D74" i="378"/>
  <c r="Z10" i="376"/>
  <c r="Z19" i="376" s="1"/>
  <c r="G13" i="376"/>
  <c r="C19" i="376"/>
  <c r="E19" i="376"/>
  <c r="E35" i="376" s="1"/>
  <c r="F19" i="376"/>
  <c r="G19" i="376"/>
  <c r="H19" i="376"/>
  <c r="J19" i="376"/>
  <c r="K19" i="376"/>
  <c r="L19" i="376"/>
  <c r="M19" i="376"/>
  <c r="N19" i="376"/>
  <c r="N35" i="376" s="1"/>
  <c r="P19" i="376"/>
  <c r="Q19" i="376"/>
  <c r="R19" i="376"/>
  <c r="S19" i="376"/>
  <c r="T19" i="376"/>
  <c r="U19" i="376"/>
  <c r="W19" i="376"/>
  <c r="X19" i="376"/>
  <c r="X35" i="376" s="1"/>
  <c r="Y19" i="376"/>
  <c r="AB19" i="376"/>
  <c r="AC19" i="376"/>
  <c r="AD19" i="376"/>
  <c r="AE19" i="376"/>
  <c r="AG19" i="376"/>
  <c r="AH19" i="376"/>
  <c r="AH35" i="376" s="1"/>
  <c r="AH36" i="376" s="1"/>
  <c r="AI19" i="376"/>
  <c r="AJ19" i="376"/>
  <c r="AL19" i="376"/>
  <c r="AM19" i="376"/>
  <c r="AN19" i="376"/>
  <c r="AO19" i="376"/>
  <c r="C21" i="376"/>
  <c r="M21" i="376"/>
  <c r="M33" i="376" s="1"/>
  <c r="F22" i="376"/>
  <c r="F33" i="376" s="1"/>
  <c r="F35" i="376" s="1"/>
  <c r="U27" i="376"/>
  <c r="C33" i="376"/>
  <c r="E33" i="376"/>
  <c r="G33" i="376"/>
  <c r="H33" i="376"/>
  <c r="H35" i="376" s="1"/>
  <c r="J33" i="376"/>
  <c r="K33" i="376"/>
  <c r="L33" i="376"/>
  <c r="L35" i="376" s="1"/>
  <c r="N33" i="376"/>
  <c r="P33" i="376"/>
  <c r="P35" i="376" s="1"/>
  <c r="Q33" i="376"/>
  <c r="R33" i="376"/>
  <c r="S33" i="376"/>
  <c r="T33" i="376"/>
  <c r="T35" i="376" s="1"/>
  <c r="T36" i="376" s="1"/>
  <c r="U33" i="376"/>
  <c r="W33" i="376"/>
  <c r="X33" i="376"/>
  <c r="Y33" i="376"/>
  <c r="Y35" i="376" s="1"/>
  <c r="Z33" i="376"/>
  <c r="AB33" i="376"/>
  <c r="AC33" i="376"/>
  <c r="AD33" i="376"/>
  <c r="AE33" i="376"/>
  <c r="AG33" i="376"/>
  <c r="AG35" i="376" s="1"/>
  <c r="AG36" i="376" s="1"/>
  <c r="AH33" i="376"/>
  <c r="AI33" i="376"/>
  <c r="AJ33" i="376"/>
  <c r="AL33" i="376"/>
  <c r="AM33" i="376"/>
  <c r="AM35" i="376" s="1"/>
  <c r="AM36" i="376" s="1"/>
  <c r="AN33" i="376"/>
  <c r="AO33" i="376"/>
  <c r="R35" i="376"/>
  <c r="AC35" i="376"/>
  <c r="AC36" i="376" s="1"/>
  <c r="AE35" i="376"/>
  <c r="AE36" i="376" s="1"/>
  <c r="M40" i="376"/>
  <c r="N40" i="376"/>
  <c r="J41" i="376"/>
  <c r="M41" i="376"/>
  <c r="N41" i="376"/>
  <c r="M42" i="376"/>
  <c r="N42" i="376"/>
  <c r="M43" i="376"/>
  <c r="M51" i="376" s="1"/>
  <c r="C44" i="376"/>
  <c r="E44" i="376"/>
  <c r="F44" i="376"/>
  <c r="G44" i="376"/>
  <c r="G51" i="376" s="1"/>
  <c r="H44" i="376"/>
  <c r="H51" i="376" s="1"/>
  <c r="J44" i="376"/>
  <c r="K44" i="376"/>
  <c r="K51" i="376" s="1"/>
  <c r="L44" i="376"/>
  <c r="M44" i="376"/>
  <c r="N44" i="376"/>
  <c r="P44" i="376"/>
  <c r="P51" i="376" s="1"/>
  <c r="Q44" i="376"/>
  <c r="Q51" i="376" s="1"/>
  <c r="R44" i="376"/>
  <c r="R51" i="376" s="1"/>
  <c r="T44" i="376"/>
  <c r="F47" i="376"/>
  <c r="M47" i="376"/>
  <c r="C51" i="376"/>
  <c r="E51" i="376"/>
  <c r="L51" i="376"/>
  <c r="S51" i="376"/>
  <c r="T51" i="376"/>
  <c r="T66" i="376" s="1"/>
  <c r="U51" i="376"/>
  <c r="W51" i="376"/>
  <c r="X51" i="376"/>
  <c r="Y51" i="376"/>
  <c r="Z51" i="376"/>
  <c r="AB51" i="376"/>
  <c r="AC51" i="376"/>
  <c r="AD51" i="376"/>
  <c r="AD66" i="376" s="1"/>
  <c r="AE51" i="376"/>
  <c r="AG51" i="376"/>
  <c r="AH51" i="376"/>
  <c r="AI51" i="376"/>
  <c r="AJ51" i="376"/>
  <c r="AL51" i="376"/>
  <c r="AM51" i="376"/>
  <c r="AN51" i="376"/>
  <c r="AN66" i="376" s="1"/>
  <c r="AO51" i="376"/>
  <c r="Q59" i="376"/>
  <c r="Q64" i="376" s="1"/>
  <c r="R59" i="376"/>
  <c r="R64" i="376" s="1"/>
  <c r="F62" i="376"/>
  <c r="F64" i="376" s="1"/>
  <c r="C64" i="376"/>
  <c r="E64" i="376"/>
  <c r="G64" i="376"/>
  <c r="H64" i="376"/>
  <c r="J64" i="376"/>
  <c r="K64" i="376"/>
  <c r="L64" i="376"/>
  <c r="M64" i="376"/>
  <c r="N64" i="376"/>
  <c r="P64" i="376"/>
  <c r="S64" i="376"/>
  <c r="S66" i="376" s="1"/>
  <c r="T64" i="376"/>
  <c r="U64" i="376"/>
  <c r="U66" i="376" s="1"/>
  <c r="U72" i="376" s="1"/>
  <c r="W64" i="376"/>
  <c r="W66" i="376" s="1"/>
  <c r="X64" i="376"/>
  <c r="Y64" i="376"/>
  <c r="Z64" i="376"/>
  <c r="AB64" i="376"/>
  <c r="AC64" i="376"/>
  <c r="AC66" i="376" s="1"/>
  <c r="AC67" i="376" s="1"/>
  <c r="AD64" i="376"/>
  <c r="AE64" i="376"/>
  <c r="AE66" i="376" s="1"/>
  <c r="AG64" i="376"/>
  <c r="AG66" i="376" s="1"/>
  <c r="AH64" i="376"/>
  <c r="AI64" i="376"/>
  <c r="AJ64" i="376"/>
  <c r="AL64" i="376"/>
  <c r="AM64" i="376"/>
  <c r="AM66" i="376" s="1"/>
  <c r="AM67" i="376" s="1"/>
  <c r="AN64" i="376"/>
  <c r="AO64" i="376"/>
  <c r="AO66" i="376" s="1"/>
  <c r="AO67" i="376" s="1"/>
  <c r="AJ66" i="376"/>
  <c r="AJ67" i="376" s="1"/>
  <c r="C69" i="376"/>
  <c r="E69" i="376"/>
  <c r="F69" i="376"/>
  <c r="G69" i="376"/>
  <c r="H69" i="376"/>
  <c r="J69" i="376"/>
  <c r="K76" i="376"/>
  <c r="K79" i="376"/>
  <c r="L76" i="376"/>
  <c r="L79" i="376"/>
  <c r="M77" i="376"/>
  <c r="M82" i="376" s="1"/>
  <c r="N78" i="376"/>
  <c r="N79" i="376"/>
  <c r="N69" i="376" s="1"/>
  <c r="P69" i="376"/>
  <c r="Q69" i="376"/>
  <c r="R69" i="376"/>
  <c r="S69" i="376"/>
  <c r="T75" i="376"/>
  <c r="T78" i="376"/>
  <c r="T79" i="376"/>
  <c r="U69" i="376"/>
  <c r="W75" i="376"/>
  <c r="W69" i="376" s="1"/>
  <c r="X75" i="376"/>
  <c r="X69" i="376" s="1"/>
  <c r="Y69" i="376"/>
  <c r="Z69" i="376"/>
  <c r="AB69" i="376"/>
  <c r="AB70" i="376" s="1"/>
  <c r="AC69" i="376"/>
  <c r="AC70" i="376" s="1"/>
  <c r="AD69" i="376"/>
  <c r="AD70" i="376" s="1"/>
  <c r="AE69" i="376"/>
  <c r="AE70" i="376" s="1"/>
  <c r="AG69" i="376"/>
  <c r="AG70" i="376" s="1"/>
  <c r="AH69" i="376"/>
  <c r="AI69" i="376"/>
  <c r="AJ69" i="376"/>
  <c r="AJ70" i="376" s="1"/>
  <c r="AL69" i="376"/>
  <c r="AL70" i="376" s="1"/>
  <c r="AM69" i="376"/>
  <c r="AN69" i="376"/>
  <c r="AN70" i="376" s="1"/>
  <c r="AO69" i="376"/>
  <c r="AO70" i="376" s="1"/>
  <c r="Z70" i="376"/>
  <c r="AH70" i="376"/>
  <c r="AI70" i="376"/>
  <c r="C82" i="376"/>
  <c r="E82" i="376"/>
  <c r="F82" i="376"/>
  <c r="G82" i="376"/>
  <c r="H82" i="376"/>
  <c r="J82" i="376"/>
  <c r="L82" i="376"/>
  <c r="P82" i="376"/>
  <c r="Q82" i="376"/>
  <c r="R82" i="376"/>
  <c r="S82" i="376"/>
  <c r="U82" i="376"/>
  <c r="X82" i="376"/>
  <c r="Y82" i="376"/>
  <c r="Z82" i="376"/>
  <c r="AB82" i="376"/>
  <c r="AC82" i="376"/>
  <c r="AD82" i="376"/>
  <c r="AE82" i="376"/>
  <c r="AG82" i="376"/>
  <c r="AH82" i="376"/>
  <c r="AI82" i="376"/>
  <c r="AJ82" i="376"/>
  <c r="AL82" i="376"/>
  <c r="AM82" i="376"/>
  <c r="AN82" i="376"/>
  <c r="AO82" i="376"/>
  <c r="Z10" i="344"/>
  <c r="G13" i="344"/>
  <c r="G19" i="344" s="1"/>
  <c r="C19" i="344"/>
  <c r="E19" i="344"/>
  <c r="F19" i="344"/>
  <c r="H19" i="344"/>
  <c r="J19" i="344"/>
  <c r="K19" i="344"/>
  <c r="L19" i="344"/>
  <c r="M19" i="344"/>
  <c r="N19" i="344"/>
  <c r="N35" i="344" s="1"/>
  <c r="P19" i="344"/>
  <c r="Q19" i="344"/>
  <c r="R19" i="344"/>
  <c r="S19" i="344"/>
  <c r="T19" i="344"/>
  <c r="U19" i="344"/>
  <c r="W19" i="344"/>
  <c r="X19" i="344"/>
  <c r="X35" i="344" s="1"/>
  <c r="Y19" i="344"/>
  <c r="Z19" i="344"/>
  <c r="AB19" i="344"/>
  <c r="AC19" i="344"/>
  <c r="AD19" i="344"/>
  <c r="AE19" i="344"/>
  <c r="AG19" i="344"/>
  <c r="AH19" i="344"/>
  <c r="AH35" i="344" s="1"/>
  <c r="AI19" i="344"/>
  <c r="AJ19" i="344"/>
  <c r="C21" i="344"/>
  <c r="M21" i="344"/>
  <c r="F22" i="344"/>
  <c r="F33" i="344" s="1"/>
  <c r="F35" i="344" s="1"/>
  <c r="U27" i="344"/>
  <c r="C33" i="344"/>
  <c r="E33" i="344"/>
  <c r="G33" i="344"/>
  <c r="H33" i="344"/>
  <c r="J33" i="344"/>
  <c r="K33" i="344"/>
  <c r="L33" i="344"/>
  <c r="M33" i="344"/>
  <c r="N33" i="344"/>
  <c r="P33" i="344"/>
  <c r="Q33" i="344"/>
  <c r="R33" i="344"/>
  <c r="S33" i="344"/>
  <c r="T33" i="344"/>
  <c r="U33" i="344"/>
  <c r="W33" i="344"/>
  <c r="X33" i="344"/>
  <c r="Y33" i="344"/>
  <c r="Z33" i="344"/>
  <c r="AB33" i="344"/>
  <c r="AC33" i="344"/>
  <c r="AD33" i="344"/>
  <c r="AE33" i="344"/>
  <c r="AG33" i="344"/>
  <c r="AH33" i="344"/>
  <c r="AI33" i="344"/>
  <c r="AJ33" i="344"/>
  <c r="C35" i="344"/>
  <c r="G35" i="344"/>
  <c r="G87" i="344" s="1"/>
  <c r="H35" i="344"/>
  <c r="J35" i="344"/>
  <c r="K35" i="344"/>
  <c r="M35" i="344"/>
  <c r="P35" i="344"/>
  <c r="Q35" i="344"/>
  <c r="R35" i="344"/>
  <c r="S35" i="344"/>
  <c r="S87" i="344" s="1"/>
  <c r="T35" i="344"/>
  <c r="W35" i="344"/>
  <c r="Y35" i="344"/>
  <c r="Z35" i="344"/>
  <c r="AB35" i="344"/>
  <c r="AB36" i="344" s="1"/>
  <c r="AC35" i="344"/>
  <c r="AC36" i="344" s="1"/>
  <c r="AD35" i="344"/>
  <c r="AG35" i="344"/>
  <c r="AI35" i="344"/>
  <c r="AJ35" i="344"/>
  <c r="AJ36" i="344" s="1"/>
  <c r="T36" i="344"/>
  <c r="Z36" i="344"/>
  <c r="AD36" i="344"/>
  <c r="AG36" i="344"/>
  <c r="AH36" i="344"/>
  <c r="AH88" i="344" s="1"/>
  <c r="AI36" i="344"/>
  <c r="M40" i="344"/>
  <c r="N40" i="344"/>
  <c r="J41" i="344"/>
  <c r="M41" i="344"/>
  <c r="N41" i="344"/>
  <c r="M42" i="344"/>
  <c r="M51" i="344" s="1"/>
  <c r="N42" i="344"/>
  <c r="M43" i="344"/>
  <c r="C44" i="344"/>
  <c r="E44" i="344"/>
  <c r="F44" i="344"/>
  <c r="G44" i="344"/>
  <c r="H44" i="344"/>
  <c r="J44" i="344"/>
  <c r="K44" i="344"/>
  <c r="L44" i="344"/>
  <c r="M44" i="344"/>
  <c r="N44" i="344"/>
  <c r="P44" i="344"/>
  <c r="Q44" i="344"/>
  <c r="R44" i="344"/>
  <c r="T44" i="344"/>
  <c r="T51" i="344" s="1"/>
  <c r="T67" i="344" s="1"/>
  <c r="T68" i="344" s="1"/>
  <c r="F47" i="344"/>
  <c r="M47" i="344"/>
  <c r="C51" i="344"/>
  <c r="E51" i="344"/>
  <c r="F51" i="344"/>
  <c r="G51" i="344"/>
  <c r="H51" i="344"/>
  <c r="J51" i="344"/>
  <c r="J67" i="344" s="1"/>
  <c r="K51" i="344"/>
  <c r="L51" i="344"/>
  <c r="L67" i="344" s="1"/>
  <c r="N51" i="344"/>
  <c r="P51" i="344"/>
  <c r="Q51" i="344"/>
  <c r="R51" i="344"/>
  <c r="S51" i="344"/>
  <c r="S67" i="344" s="1"/>
  <c r="U51" i="344"/>
  <c r="U67" i="344" s="1"/>
  <c r="U73" i="344" s="1"/>
  <c r="W51" i="344"/>
  <c r="X51" i="344"/>
  <c r="Y51" i="344"/>
  <c r="Z51" i="344"/>
  <c r="AB51" i="344"/>
  <c r="AC51" i="344"/>
  <c r="AC67" i="344" s="1"/>
  <c r="AC68" i="344" s="1"/>
  <c r="AD51" i="344"/>
  <c r="AE51" i="344"/>
  <c r="AE67" i="344" s="1"/>
  <c r="AE68" i="344" s="1"/>
  <c r="AG51" i="344"/>
  <c r="AH51" i="344"/>
  <c r="AI51" i="344"/>
  <c r="AJ51" i="344"/>
  <c r="Q59" i="344"/>
  <c r="R59" i="344"/>
  <c r="R65" i="344" s="1"/>
  <c r="R67" i="344" s="1"/>
  <c r="F63" i="344"/>
  <c r="C65" i="344"/>
  <c r="C67" i="344" s="1"/>
  <c r="E65" i="344"/>
  <c r="F65" i="344"/>
  <c r="G65" i="344"/>
  <c r="H65" i="344"/>
  <c r="J65" i="344"/>
  <c r="K65" i="344"/>
  <c r="K67" i="344" s="1"/>
  <c r="L65" i="344"/>
  <c r="M65" i="344"/>
  <c r="N65" i="344"/>
  <c r="P65" i="344"/>
  <c r="Q65" i="344"/>
  <c r="S65" i="344"/>
  <c r="T65" i="344"/>
  <c r="U65" i="344"/>
  <c r="W65" i="344"/>
  <c r="W67" i="344" s="1"/>
  <c r="W73" i="344" s="1"/>
  <c r="X65" i="344"/>
  <c r="Y65" i="344"/>
  <c r="Z65" i="344"/>
  <c r="AB65" i="344"/>
  <c r="AC65" i="344"/>
  <c r="AD65" i="344"/>
  <c r="AD67" i="344" s="1"/>
  <c r="AD68" i="344" s="1"/>
  <c r="AE65" i="344"/>
  <c r="AG65" i="344"/>
  <c r="AG67" i="344" s="1"/>
  <c r="AG73" i="344" s="1"/>
  <c r="AH65" i="344"/>
  <c r="AI65" i="344"/>
  <c r="AJ65" i="344"/>
  <c r="E67" i="344"/>
  <c r="F67" i="344"/>
  <c r="G67" i="344"/>
  <c r="H67" i="344"/>
  <c r="N67" i="344"/>
  <c r="P67" i="344"/>
  <c r="Q67" i="344"/>
  <c r="X67" i="344"/>
  <c r="Y67" i="344"/>
  <c r="Z67" i="344"/>
  <c r="AB67" i="344"/>
  <c r="AB68" i="344" s="1"/>
  <c r="AH67" i="344"/>
  <c r="AI67" i="344"/>
  <c r="AJ67" i="344"/>
  <c r="Z68" i="344"/>
  <c r="AH68" i="344"/>
  <c r="AJ68" i="344"/>
  <c r="C70" i="344"/>
  <c r="E70" i="344"/>
  <c r="F70" i="344"/>
  <c r="G70" i="344"/>
  <c r="H70" i="344"/>
  <c r="J70" i="344"/>
  <c r="K77" i="344"/>
  <c r="K83" i="344" s="1"/>
  <c r="K80" i="344"/>
  <c r="K70" i="344"/>
  <c r="K87" i="344" s="1"/>
  <c r="L77" i="344"/>
  <c r="L80" i="344"/>
  <c r="M78" i="344"/>
  <c r="M70" i="344" s="1"/>
  <c r="N79" i="344"/>
  <c r="N83" i="344" s="1"/>
  <c r="N80" i="344"/>
  <c r="N70" i="344"/>
  <c r="P70" i="344"/>
  <c r="Q70" i="344"/>
  <c r="R70" i="344"/>
  <c r="S70" i="344"/>
  <c r="T76" i="344"/>
  <c r="T79" i="344"/>
  <c r="T83" i="344" s="1"/>
  <c r="T80" i="344"/>
  <c r="T70" i="344"/>
  <c r="T71" i="344" s="1"/>
  <c r="U70" i="344"/>
  <c r="W76" i="344"/>
  <c r="W70" i="344"/>
  <c r="X76" i="344"/>
  <c r="X70" i="344" s="1"/>
  <c r="Y70" i="344"/>
  <c r="Y73" i="344" s="1"/>
  <c r="Z70" i="344"/>
  <c r="Z73" i="344" s="1"/>
  <c r="AB70" i="344"/>
  <c r="AC70" i="344"/>
  <c r="AD70" i="344"/>
  <c r="AE70" i="344"/>
  <c r="AE71" i="344" s="1"/>
  <c r="AG70" i="344"/>
  <c r="AH70" i="344"/>
  <c r="AI70" i="344"/>
  <c r="AJ70" i="344"/>
  <c r="AJ73" i="344" s="1"/>
  <c r="Z71" i="344"/>
  <c r="AD71" i="344"/>
  <c r="AG71" i="344"/>
  <c r="AH71" i="344"/>
  <c r="AI71" i="344"/>
  <c r="AJ71" i="344"/>
  <c r="E73" i="344"/>
  <c r="F73" i="344"/>
  <c r="G73" i="344"/>
  <c r="H73" i="344"/>
  <c r="K73" i="344"/>
  <c r="Q73" i="344"/>
  <c r="S73" i="344"/>
  <c r="T73" i="344"/>
  <c r="AD73" i="344"/>
  <c r="AH73" i="344"/>
  <c r="C83" i="344"/>
  <c r="E83" i="344"/>
  <c r="F83" i="344"/>
  <c r="G83" i="344"/>
  <c r="H83" i="344"/>
  <c r="J83" i="344"/>
  <c r="M83" i="344"/>
  <c r="P83" i="344"/>
  <c r="Q83" i="344"/>
  <c r="R83" i="344"/>
  <c r="S83" i="344"/>
  <c r="U83" i="344"/>
  <c r="W83" i="344"/>
  <c r="X83" i="344"/>
  <c r="Y83" i="344"/>
  <c r="Z83" i="344"/>
  <c r="AB83" i="344"/>
  <c r="AC83" i="344"/>
  <c r="AD83" i="344"/>
  <c r="AE83" i="344"/>
  <c r="AG83" i="344"/>
  <c r="AH83" i="344"/>
  <c r="AI83" i="344"/>
  <c r="AJ83" i="344"/>
  <c r="F87" i="344"/>
  <c r="H87" i="344"/>
  <c r="Q87" i="344"/>
  <c r="Z87" i="344"/>
  <c r="AD87" i="344"/>
  <c r="AH87" i="344"/>
  <c r="AJ87" i="344"/>
  <c r="C88" i="344"/>
  <c r="E88" i="344"/>
  <c r="F88" i="344"/>
  <c r="G88" i="344"/>
  <c r="H88" i="344"/>
  <c r="J88" i="344"/>
  <c r="K88" i="344"/>
  <c r="L88" i="344"/>
  <c r="M88" i="344"/>
  <c r="N88" i="344"/>
  <c r="P88" i="344"/>
  <c r="Q88" i="344"/>
  <c r="R88" i="344"/>
  <c r="S88" i="344"/>
  <c r="U88" i="344"/>
  <c r="W88" i="344"/>
  <c r="X88" i="344"/>
  <c r="Y88" i="344"/>
  <c r="Z88" i="344"/>
  <c r="AD88" i="344"/>
  <c r="AJ88" i="344"/>
  <c r="C13" i="33"/>
  <c r="C15" i="33"/>
  <c r="C10" i="33" s="1"/>
  <c r="C24" i="33" s="1"/>
  <c r="C38" i="33" s="1"/>
  <c r="C42" i="33" s="1"/>
  <c r="C44" i="33" s="1"/>
  <c r="D13" i="33"/>
  <c r="D15" i="33"/>
  <c r="D10" i="33" s="1"/>
  <c r="E13" i="33"/>
  <c r="E10" i="33" s="1"/>
  <c r="E24" i="33" s="1"/>
  <c r="E15" i="33"/>
  <c r="F12" i="33"/>
  <c r="F10" i="33" s="1"/>
  <c r="F13" i="33"/>
  <c r="F14" i="33"/>
  <c r="F15" i="33"/>
  <c r="H12" i="33"/>
  <c r="H13" i="33"/>
  <c r="I12" i="33"/>
  <c r="I13" i="33"/>
  <c r="I15" i="33"/>
  <c r="I10" i="33"/>
  <c r="J13" i="33"/>
  <c r="J15" i="33"/>
  <c r="J10" i="33" s="1"/>
  <c r="J24" i="33" s="1"/>
  <c r="K12" i="33"/>
  <c r="K13" i="33"/>
  <c r="K15" i="33"/>
  <c r="K16" i="33"/>
  <c r="K10" i="33"/>
  <c r="L10" i="33"/>
  <c r="N10" i="33"/>
  <c r="N24" i="33" s="1"/>
  <c r="O10" i="33"/>
  <c r="P15" i="33"/>
  <c r="P10" i="33"/>
  <c r="P24" i="33" s="1"/>
  <c r="Q12" i="33"/>
  <c r="Q13" i="33"/>
  <c r="Q16" i="33"/>
  <c r="Q10" i="33" s="1"/>
  <c r="Q24" i="33" s="1"/>
  <c r="R13" i="33"/>
  <c r="R15" i="33"/>
  <c r="S13" i="33"/>
  <c r="S10" i="33" s="1"/>
  <c r="S24" i="33" s="1"/>
  <c r="S25" i="33" s="1"/>
  <c r="S15" i="33"/>
  <c r="T13" i="33"/>
  <c r="T10" i="33" s="1"/>
  <c r="T24" i="33" s="1"/>
  <c r="U13" i="33"/>
  <c r="U15" i="33"/>
  <c r="W10" i="33"/>
  <c r="X10" i="33"/>
  <c r="Y13" i="33"/>
  <c r="Y15" i="33"/>
  <c r="Y10" i="33" s="1"/>
  <c r="Z13" i="33"/>
  <c r="Z10" i="33" s="1"/>
  <c r="Z15" i="33"/>
  <c r="AA10" i="33"/>
  <c r="AB13" i="33"/>
  <c r="AB10" i="33" s="1"/>
  <c r="AC13" i="33"/>
  <c r="AC15" i="33"/>
  <c r="AC10" i="33"/>
  <c r="AD12" i="33"/>
  <c r="AD10" i="33" s="1"/>
  <c r="AD13" i="33"/>
  <c r="AD15" i="33"/>
  <c r="AD16" i="33"/>
  <c r="AF10" i="33"/>
  <c r="AG14" i="33"/>
  <c r="AG16" i="33"/>
  <c r="AG10" i="33"/>
  <c r="AG24" i="33" s="1"/>
  <c r="AH12" i="33"/>
  <c r="AH14" i="33"/>
  <c r="AH10" i="33" s="1"/>
  <c r="AH24" i="33" s="1"/>
  <c r="AI14" i="33"/>
  <c r="AI16" i="33"/>
  <c r="AI10" i="33" s="1"/>
  <c r="AJ15" i="33"/>
  <c r="AJ10" i="33"/>
  <c r="AJ24" i="33" s="1"/>
  <c r="AJ25" i="33" s="1"/>
  <c r="AK15" i="33"/>
  <c r="AK10" i="33"/>
  <c r="AN12" i="33"/>
  <c r="AN13" i="33"/>
  <c r="AN15" i="33"/>
  <c r="AN10" i="33" s="1"/>
  <c r="AN24" i="33" s="1"/>
  <c r="AN38" i="33" s="1"/>
  <c r="AO12" i="33"/>
  <c r="AO13" i="33"/>
  <c r="AO15" i="33"/>
  <c r="AQ10" i="33"/>
  <c r="AR10" i="33"/>
  <c r="AS12" i="33"/>
  <c r="AS15" i="33"/>
  <c r="AS10" i="33"/>
  <c r="AT12" i="33"/>
  <c r="AT10" i="33" s="1"/>
  <c r="AT24" i="33" s="1"/>
  <c r="AT15" i="33"/>
  <c r="AU10" i="33"/>
  <c r="AV10" i="33"/>
  <c r="BA10" i="33"/>
  <c r="L11" i="33"/>
  <c r="C18" i="33"/>
  <c r="D18" i="33"/>
  <c r="E18" i="33"/>
  <c r="F19" i="33"/>
  <c r="F20" i="33"/>
  <c r="F18" i="33" s="1"/>
  <c r="H19" i="33"/>
  <c r="H18" i="33"/>
  <c r="I19" i="33"/>
  <c r="I18" i="33"/>
  <c r="J18" i="33"/>
  <c r="K18" i="33"/>
  <c r="L18" i="33"/>
  <c r="L24" i="33" s="1"/>
  <c r="L38" i="33" s="1"/>
  <c r="M18" i="33"/>
  <c r="N18" i="33"/>
  <c r="O18" i="33"/>
  <c r="O24" i="33" s="1"/>
  <c r="P21" i="33"/>
  <c r="P18" i="33"/>
  <c r="Q18" i="33"/>
  <c r="R18" i="33"/>
  <c r="S18" i="33"/>
  <c r="T18" i="33"/>
  <c r="U18" i="33"/>
  <c r="W18" i="33"/>
  <c r="W24" i="33" s="1"/>
  <c r="X18" i="33"/>
  <c r="Y19" i="33"/>
  <c r="Y18" i="33" s="1"/>
  <c r="Y20" i="33"/>
  <c r="Z19" i="33"/>
  <c r="Z20" i="33"/>
  <c r="Z22" i="33"/>
  <c r="Z18" i="33" s="1"/>
  <c r="AA21" i="33"/>
  <c r="AA22" i="33"/>
  <c r="AA18" i="33" s="1"/>
  <c r="AA24" i="33" s="1"/>
  <c r="AA25" i="33" s="1"/>
  <c r="AB21" i="33"/>
  <c r="AB22" i="33"/>
  <c r="AB18" i="33" s="1"/>
  <c r="AC19" i="33"/>
  <c r="AC18" i="33" s="1"/>
  <c r="AD19" i="33"/>
  <c r="AD20" i="33"/>
  <c r="AD18" i="33" s="1"/>
  <c r="AF18" i="33"/>
  <c r="AG18" i="33"/>
  <c r="AH19" i="33"/>
  <c r="AH18" i="33"/>
  <c r="AI19" i="33"/>
  <c r="AI18" i="33" s="1"/>
  <c r="AI20" i="33"/>
  <c r="AJ20" i="33"/>
  <c r="AJ22" i="33"/>
  <c r="AJ18" i="33"/>
  <c r="AK20" i="33"/>
  <c r="AK22" i="33"/>
  <c r="AK18" i="33" s="1"/>
  <c r="AK24" i="33" s="1"/>
  <c r="AN20" i="33"/>
  <c r="AN18" i="33"/>
  <c r="AO20" i="33"/>
  <c r="AO18" i="33" s="1"/>
  <c r="AQ18" i="33"/>
  <c r="AR18" i="33"/>
  <c r="AS19" i="33"/>
  <c r="AS18" i="33" s="1"/>
  <c r="AT19" i="33"/>
  <c r="AT18" i="33"/>
  <c r="AU19" i="33"/>
  <c r="AU18" i="33" s="1"/>
  <c r="AU24" i="33" s="1"/>
  <c r="AU25" i="33" s="1"/>
  <c r="AV18" i="33"/>
  <c r="AV24" i="33" s="1"/>
  <c r="AV25" i="33" s="1"/>
  <c r="BA22" i="33"/>
  <c r="BA18" i="33"/>
  <c r="BA24" i="33" s="1"/>
  <c r="AL20" i="33"/>
  <c r="AM20" i="33"/>
  <c r="D24" i="33"/>
  <c r="I24" i="33"/>
  <c r="K24" i="33"/>
  <c r="X24" i="33"/>
  <c r="AF24" i="33"/>
  <c r="AQ24" i="33"/>
  <c r="AR24" i="33"/>
  <c r="I25" i="33"/>
  <c r="K25" i="33"/>
  <c r="L25" i="33"/>
  <c r="C27" i="33"/>
  <c r="D27" i="33"/>
  <c r="E27" i="33"/>
  <c r="F28" i="33"/>
  <c r="F27" i="33" s="1"/>
  <c r="H27" i="33"/>
  <c r="I28" i="33"/>
  <c r="I27" i="33" s="1"/>
  <c r="J27" i="33"/>
  <c r="K29" i="33"/>
  <c r="K31" i="33"/>
  <c r="K27" i="33"/>
  <c r="L27" i="33"/>
  <c r="N27" i="33"/>
  <c r="O27" i="33"/>
  <c r="P27" i="33"/>
  <c r="Q28" i="33"/>
  <c r="Q27" i="33" s="1"/>
  <c r="R27" i="33"/>
  <c r="S27" i="33"/>
  <c r="T27" i="33"/>
  <c r="U27" i="33"/>
  <c r="W30" i="33"/>
  <c r="W27" i="33" s="1"/>
  <c r="X27" i="33"/>
  <c r="Y27" i="33"/>
  <c r="Z30" i="33"/>
  <c r="Z31" i="33"/>
  <c r="Z27" i="33" s="1"/>
  <c r="AA30" i="33"/>
  <c r="AA31" i="33"/>
  <c r="AB30" i="33"/>
  <c r="AB27" i="33" s="1"/>
  <c r="AB31" i="33"/>
  <c r="AC28" i="33"/>
  <c r="AC29" i="33"/>
  <c r="AC30" i="33"/>
  <c r="AC27" i="33"/>
  <c r="AD30" i="33"/>
  <c r="AD27" i="33"/>
  <c r="AF27" i="33"/>
  <c r="AG29" i="33"/>
  <c r="AG27" i="33"/>
  <c r="AH29" i="33"/>
  <c r="AH31" i="33"/>
  <c r="AH27" i="33"/>
  <c r="AI29" i="33"/>
  <c r="AI31" i="33"/>
  <c r="AI27" i="33" s="1"/>
  <c r="AJ29" i="33"/>
  <c r="AJ30" i="33"/>
  <c r="AJ27" i="33" s="1"/>
  <c r="AK29" i="33"/>
  <c r="AK30" i="33"/>
  <c r="AN29" i="33"/>
  <c r="AN27" i="33" s="1"/>
  <c r="AO29" i="33"/>
  <c r="AO27" i="33"/>
  <c r="AQ27" i="33"/>
  <c r="AR27" i="33"/>
  <c r="AS30" i="33"/>
  <c r="AS27" i="33" s="1"/>
  <c r="AT30" i="33"/>
  <c r="AT27" i="33" s="1"/>
  <c r="AU30" i="33"/>
  <c r="AU27" i="33"/>
  <c r="AV31" i="33"/>
  <c r="AV27" i="33"/>
  <c r="BA30" i="33"/>
  <c r="BA27" i="33" s="1"/>
  <c r="AL29" i="33"/>
  <c r="AM29" i="33"/>
  <c r="C33" i="33"/>
  <c r="D33" i="33"/>
  <c r="E33" i="33"/>
  <c r="F35" i="33"/>
  <c r="F33" i="33" s="1"/>
  <c r="H34" i="33"/>
  <c r="H33" i="33"/>
  <c r="I34" i="33"/>
  <c r="I36" i="33"/>
  <c r="I33" i="33" s="1"/>
  <c r="J34" i="33"/>
  <c r="J33" i="33"/>
  <c r="K35" i="33"/>
  <c r="K33" i="33" s="1"/>
  <c r="L33" i="33"/>
  <c r="M33" i="33"/>
  <c r="N33" i="33"/>
  <c r="O35" i="33"/>
  <c r="O33" i="33" s="1"/>
  <c r="P33" i="33"/>
  <c r="Q35" i="33"/>
  <c r="Q33" i="33" s="1"/>
  <c r="R33" i="33"/>
  <c r="S35" i="33"/>
  <c r="S33" i="33"/>
  <c r="S38" i="33" s="1"/>
  <c r="T34" i="33"/>
  <c r="T33" i="33" s="1"/>
  <c r="U34" i="33"/>
  <c r="U33" i="33" s="1"/>
  <c r="U35" i="33"/>
  <c r="W35" i="33"/>
  <c r="W33" i="33" s="1"/>
  <c r="X35" i="33"/>
  <c r="X33" i="33" s="1"/>
  <c r="Y35" i="33"/>
  <c r="Y33" i="33"/>
  <c r="Z34" i="33"/>
  <c r="Z35" i="33"/>
  <c r="Z33" i="33" s="1"/>
  <c r="Z36" i="33"/>
  <c r="AA35" i="33"/>
  <c r="AA33" i="33"/>
  <c r="AB35" i="33"/>
  <c r="AB33" i="33"/>
  <c r="AC33" i="33"/>
  <c r="AD33" i="33"/>
  <c r="AF33" i="33"/>
  <c r="AG33" i="33"/>
  <c r="AH33" i="33"/>
  <c r="AI33" i="33"/>
  <c r="AJ33" i="33"/>
  <c r="AK33" i="33"/>
  <c r="AN33" i="33"/>
  <c r="AO33" i="33"/>
  <c r="AQ33" i="33"/>
  <c r="AR33" i="33"/>
  <c r="AS35" i="33"/>
  <c r="AS33" i="33"/>
  <c r="AT35" i="33"/>
  <c r="AT33" i="33"/>
  <c r="AU33" i="33"/>
  <c r="AV35" i="33"/>
  <c r="AV33" i="33"/>
  <c r="BA33" i="33"/>
  <c r="AU38" i="33"/>
  <c r="AV38" i="33"/>
  <c r="L39" i="33"/>
  <c r="L42" i="33"/>
  <c r="L44" i="33" s="1"/>
  <c r="L43" i="33"/>
  <c r="C46" i="33"/>
  <c r="D47" i="33"/>
  <c r="D46" i="33" s="1"/>
  <c r="E46" i="33"/>
  <c r="F46" i="33"/>
  <c r="H47" i="33"/>
  <c r="H46" i="33" s="1"/>
  <c r="I47" i="33"/>
  <c r="I46" i="33"/>
  <c r="J46" i="33"/>
  <c r="K47" i="33"/>
  <c r="K48" i="33"/>
  <c r="K46" i="33" s="1"/>
  <c r="L46" i="33"/>
  <c r="N46" i="33"/>
  <c r="O46" i="33"/>
  <c r="P47" i="33"/>
  <c r="P46" i="33"/>
  <c r="Q47" i="33"/>
  <c r="Q48" i="33"/>
  <c r="Q46" i="33" s="1"/>
  <c r="R46" i="33"/>
  <c r="S46" i="33"/>
  <c r="T47" i="33"/>
  <c r="T46" i="33"/>
  <c r="U46" i="33"/>
  <c r="W46" i="33"/>
  <c r="X46" i="33"/>
  <c r="Y46" i="33"/>
  <c r="Z46" i="33"/>
  <c r="AA47" i="33"/>
  <c r="AA48" i="33"/>
  <c r="AA46" i="33"/>
  <c r="AB47" i="33"/>
  <c r="AB48" i="33"/>
  <c r="AB46" i="33"/>
  <c r="AC46" i="33"/>
  <c r="AD46" i="33"/>
  <c r="AF46" i="33"/>
  <c r="AG46" i="33"/>
  <c r="AH46" i="33"/>
  <c r="AI46" i="33"/>
  <c r="AJ47" i="33"/>
  <c r="AJ46" i="33"/>
  <c r="AK47" i="33"/>
  <c r="AK46" i="33" s="1"/>
  <c r="AN46" i="33"/>
  <c r="AO48" i="33"/>
  <c r="AO46" i="33"/>
  <c r="AQ46" i="33"/>
  <c r="AR48" i="33"/>
  <c r="AR46" i="33"/>
  <c r="AS46" i="33"/>
  <c r="AT48" i="33"/>
  <c r="AT46" i="33"/>
  <c r="AU47" i="33"/>
  <c r="AU46" i="33"/>
  <c r="AV47" i="33"/>
  <c r="AV46" i="33" s="1"/>
  <c r="BA47" i="33"/>
  <c r="BA48" i="33"/>
  <c r="L52" i="33"/>
  <c r="O54" i="33"/>
  <c r="Q54" i="33"/>
  <c r="S54" i="33"/>
  <c r="U54" i="33"/>
  <c r="W54" i="33"/>
  <c r="Y54" i="33"/>
  <c r="Z54" i="33"/>
  <c r="AA54" i="33"/>
  <c r="AB54" i="33"/>
  <c r="AC54" i="33"/>
  <c r="AD54" i="33"/>
  <c r="AH54" i="33"/>
  <c r="AI54" i="33"/>
  <c r="D57" i="33"/>
  <c r="E57" i="33"/>
  <c r="F57" i="33"/>
  <c r="L59" i="33"/>
  <c r="G60" i="33"/>
  <c r="M60" i="33"/>
  <c r="E63" i="33"/>
  <c r="I63" i="33"/>
  <c r="Q63" i="33"/>
  <c r="AA63" i="33"/>
  <c r="AB63" i="33"/>
  <c r="AN63" i="33"/>
  <c r="AO63" i="33"/>
  <c r="AQ63" i="33"/>
  <c r="AR63" i="33"/>
  <c r="AS63" i="33"/>
  <c r="AT63" i="33"/>
  <c r="AU63" i="33"/>
  <c r="L65" i="33"/>
  <c r="C68" i="33"/>
  <c r="C77" i="33"/>
  <c r="C81" i="33"/>
  <c r="C73" i="33"/>
  <c r="C87" i="33"/>
  <c r="C88" i="33"/>
  <c r="C89" i="33"/>
  <c r="C90" i="33"/>
  <c r="C91" i="33" s="1"/>
  <c r="M10" i="32"/>
  <c r="M19" i="32" s="1"/>
  <c r="M37" i="32" s="1"/>
  <c r="M38" i="32" s="1"/>
  <c r="N10" i="32"/>
  <c r="V10" i="32"/>
  <c r="V19" i="32" s="1"/>
  <c r="N12" i="32"/>
  <c r="V12" i="32"/>
  <c r="AF12" i="32"/>
  <c r="AG12" i="32"/>
  <c r="J13" i="32"/>
  <c r="L13" i="32"/>
  <c r="L19" i="32" s="1"/>
  <c r="L37" i="32" s="1"/>
  <c r="L38" i="32" s="1"/>
  <c r="M13" i="32"/>
  <c r="N13" i="32"/>
  <c r="N19" i="32" s="1"/>
  <c r="N37" i="32" s="1"/>
  <c r="N38" i="32" s="1"/>
  <c r="V13" i="32"/>
  <c r="M16" i="32"/>
  <c r="N16" i="32"/>
  <c r="V16" i="32"/>
  <c r="C19" i="32"/>
  <c r="E19" i="32"/>
  <c r="F19" i="32"/>
  <c r="G19" i="32"/>
  <c r="G37" i="32" s="1"/>
  <c r="G38" i="32" s="1"/>
  <c r="H19" i="32"/>
  <c r="H37" i="32" s="1"/>
  <c r="H38" i="32" s="1"/>
  <c r="J19" i="32"/>
  <c r="K19" i="32"/>
  <c r="P19" i="32"/>
  <c r="Q19" i="32"/>
  <c r="Q37" i="32" s="1"/>
  <c r="Q38" i="32" s="1"/>
  <c r="R19" i="32"/>
  <c r="R37" i="32" s="1"/>
  <c r="R38" i="32" s="1"/>
  <c r="S19" i="32"/>
  <c r="T19" i="32"/>
  <c r="U19" i="32"/>
  <c r="U37" i="32" s="1"/>
  <c r="U38" i="32" s="1"/>
  <c r="X19" i="32"/>
  <c r="Y19" i="32"/>
  <c r="Z19" i="32"/>
  <c r="Z37" i="32" s="1"/>
  <c r="Z38" i="32" s="1"/>
  <c r="AA19" i="32"/>
  <c r="AA37" i="32" s="1"/>
  <c r="AA38" i="32" s="1"/>
  <c r="AC19" i="32"/>
  <c r="AD19" i="32"/>
  <c r="AE19" i="32"/>
  <c r="AE37" i="32" s="1"/>
  <c r="AE38" i="32" s="1"/>
  <c r="AF19" i="32"/>
  <c r="AG19" i="32"/>
  <c r="AQ19" i="32"/>
  <c r="N22" i="32"/>
  <c r="S22" i="32"/>
  <c r="U22" i="32"/>
  <c r="V22" i="32"/>
  <c r="V35" i="32" s="1"/>
  <c r="AA22" i="32"/>
  <c r="AF22" i="32"/>
  <c r="AF35" i="32" s="1"/>
  <c r="AF37" i="32" s="1"/>
  <c r="AF38" i="32" s="1"/>
  <c r="AG22" i="32"/>
  <c r="AQ22" i="32"/>
  <c r="AQ35" i="32" s="1"/>
  <c r="AQ37" i="32" s="1"/>
  <c r="AQ38" i="32" s="1"/>
  <c r="N25" i="32"/>
  <c r="F33" i="32"/>
  <c r="G33" i="32"/>
  <c r="J33" i="32"/>
  <c r="N33" i="32"/>
  <c r="V33" i="32"/>
  <c r="C35" i="32"/>
  <c r="E35" i="32"/>
  <c r="F35" i="32"/>
  <c r="F37" i="32" s="1"/>
  <c r="F38" i="32" s="1"/>
  <c r="G35" i="32"/>
  <c r="H35" i="32"/>
  <c r="J35" i="32"/>
  <c r="K35" i="32"/>
  <c r="L35" i="32"/>
  <c r="M35" i="32"/>
  <c r="N35" i="32"/>
  <c r="P35" i="32"/>
  <c r="P37" i="32" s="1"/>
  <c r="P38" i="32" s="1"/>
  <c r="Q35" i="32"/>
  <c r="R35" i="32"/>
  <c r="S35" i="32"/>
  <c r="T35" i="32"/>
  <c r="U35" i="32"/>
  <c r="X35" i="32"/>
  <c r="Y35" i="32"/>
  <c r="Y37" i="32" s="1"/>
  <c r="Y38" i="32" s="1"/>
  <c r="Z35" i="32"/>
  <c r="AA35" i="32"/>
  <c r="AC35" i="32"/>
  <c r="AD35" i="32"/>
  <c r="AE35" i="32"/>
  <c r="AG35" i="32"/>
  <c r="C37" i="32"/>
  <c r="J37" i="32"/>
  <c r="J38" i="32" s="1"/>
  <c r="K37" i="32"/>
  <c r="K38" i="32" s="1"/>
  <c r="S37" i="32"/>
  <c r="S38" i="32" s="1"/>
  <c r="T37" i="32"/>
  <c r="T38" i="32" s="1"/>
  <c r="AC37" i="32"/>
  <c r="AC38" i="32" s="1"/>
  <c r="AD37" i="32"/>
  <c r="AD38" i="32" s="1"/>
  <c r="C38" i="32"/>
  <c r="C40" i="32"/>
  <c r="AF40" i="32"/>
  <c r="AF54" i="32" s="1"/>
  <c r="AG40" i="32"/>
  <c r="C42" i="32"/>
  <c r="C54" i="32" s="1"/>
  <c r="H42" i="32"/>
  <c r="M42" i="32"/>
  <c r="M54" i="32" s="1"/>
  <c r="C43" i="32"/>
  <c r="F43" i="32"/>
  <c r="G43" i="32"/>
  <c r="H43" i="32"/>
  <c r="H54" i="32" s="1"/>
  <c r="K43" i="32"/>
  <c r="M43" i="32"/>
  <c r="N43" i="32"/>
  <c r="V43" i="32"/>
  <c r="V54" i="32" s="1"/>
  <c r="C46" i="32"/>
  <c r="E46" i="32"/>
  <c r="F46" i="32"/>
  <c r="G46" i="32"/>
  <c r="H46" i="32"/>
  <c r="J46" i="32"/>
  <c r="K46" i="32"/>
  <c r="L46" i="32"/>
  <c r="L54" i="32" s="1"/>
  <c r="L70" i="32" s="1"/>
  <c r="M46" i="32"/>
  <c r="P46" i="32"/>
  <c r="Q46" i="32"/>
  <c r="R46" i="32"/>
  <c r="R54" i="32" s="1"/>
  <c r="S46" i="32"/>
  <c r="T46" i="32"/>
  <c r="T54" i="32" s="1"/>
  <c r="U46" i="32"/>
  <c r="J50" i="32"/>
  <c r="J54" i="32" s="1"/>
  <c r="J70" i="32" s="1"/>
  <c r="K50" i="32"/>
  <c r="M50" i="32"/>
  <c r="E54" i="32"/>
  <c r="E70" i="32" s="1"/>
  <c r="E71" i="32" s="1"/>
  <c r="F54" i="32"/>
  <c r="G54" i="32"/>
  <c r="K54" i="32"/>
  <c r="N54" i="32"/>
  <c r="N70" i="32" s="1"/>
  <c r="N71" i="32" s="1"/>
  <c r="P54" i="32"/>
  <c r="Q54" i="32"/>
  <c r="Q70" i="32" s="1"/>
  <c r="Q71" i="32" s="1"/>
  <c r="S54" i="32"/>
  <c r="S70" i="32" s="1"/>
  <c r="U54" i="32"/>
  <c r="X54" i="32"/>
  <c r="X70" i="32" s="1"/>
  <c r="X71" i="32" s="1"/>
  <c r="Y54" i="32"/>
  <c r="Z54" i="32"/>
  <c r="Z70" i="32" s="1"/>
  <c r="Z71" i="32" s="1"/>
  <c r="AA54" i="32"/>
  <c r="AC54" i="32"/>
  <c r="AC70" i="32" s="1"/>
  <c r="AD54" i="32"/>
  <c r="AD70" i="32" s="1"/>
  <c r="AE54" i="32"/>
  <c r="AG54" i="32"/>
  <c r="AG70" i="32" s="1"/>
  <c r="AG71" i="32" s="1"/>
  <c r="AQ54" i="32"/>
  <c r="C56" i="32"/>
  <c r="C58" i="32"/>
  <c r="H58" i="32"/>
  <c r="M58" i="32"/>
  <c r="C61" i="32"/>
  <c r="H61" i="32"/>
  <c r="M61" i="32"/>
  <c r="N61" i="32"/>
  <c r="N68" i="32" s="1"/>
  <c r="S61" i="32"/>
  <c r="V61" i="32"/>
  <c r="AF61" i="32"/>
  <c r="AG61" i="32"/>
  <c r="C62" i="32"/>
  <c r="E62" i="32"/>
  <c r="F62" i="32"/>
  <c r="G62" i="32"/>
  <c r="G68" i="32" s="1"/>
  <c r="H62" i="32"/>
  <c r="J62" i="32"/>
  <c r="J68" i="32" s="1"/>
  <c r="K62" i="32"/>
  <c r="L62" i="32"/>
  <c r="M62" i="32"/>
  <c r="P62" i="32"/>
  <c r="P68" i="32" s="1"/>
  <c r="P70" i="32" s="1"/>
  <c r="Q62" i="32"/>
  <c r="R62" i="32"/>
  <c r="R68" i="32" s="1"/>
  <c r="S62" i="32"/>
  <c r="T62" i="32"/>
  <c r="T68" i="32" s="1"/>
  <c r="U62" i="32"/>
  <c r="U68" i="32" s="1"/>
  <c r="U70" i="32" s="1"/>
  <c r="H65" i="32"/>
  <c r="E66" i="32"/>
  <c r="H66" i="32"/>
  <c r="J66" i="32"/>
  <c r="K66" i="32"/>
  <c r="K68" i="32" s="1"/>
  <c r="L66" i="32"/>
  <c r="C68" i="32"/>
  <c r="E68" i="32"/>
  <c r="F68" i="32"/>
  <c r="H68" i="32"/>
  <c r="L68" i="32"/>
  <c r="M68" i="32"/>
  <c r="Q68" i="32"/>
  <c r="S68" i="32"/>
  <c r="V68" i="32"/>
  <c r="X68" i="32"/>
  <c r="Y68" i="32"/>
  <c r="Z68" i="32"/>
  <c r="AA68" i="32"/>
  <c r="AC68" i="32"/>
  <c r="AD68" i="32"/>
  <c r="AE68" i="32"/>
  <c r="AF68" i="32"/>
  <c r="AG68" i="32"/>
  <c r="AQ68" i="32"/>
  <c r="F70" i="32"/>
  <c r="H70" i="32"/>
  <c r="R70" i="32"/>
  <c r="Y70" i="32"/>
  <c r="AA70" i="32"/>
  <c r="AE70" i="32"/>
  <c r="AQ70" i="32"/>
  <c r="AQ76" i="32" s="1"/>
  <c r="AE71" i="32"/>
  <c r="C86" i="32"/>
  <c r="C73" i="32" s="1"/>
  <c r="C74" i="32" s="1"/>
  <c r="E86" i="32"/>
  <c r="E73" i="32" s="1"/>
  <c r="E74" i="32" s="1"/>
  <c r="F86" i="32"/>
  <c r="F73" i="32" s="1"/>
  <c r="F74" i="32" s="1"/>
  <c r="G86" i="32"/>
  <c r="G73" i="32" s="1"/>
  <c r="G74" i="32" s="1"/>
  <c r="H81" i="32"/>
  <c r="H88" i="32" s="1"/>
  <c r="H89" i="32" s="1"/>
  <c r="H83" i="32"/>
  <c r="H86" i="32"/>
  <c r="H73" i="32" s="1"/>
  <c r="H74" i="32" s="1"/>
  <c r="J86" i="32"/>
  <c r="J73" i="32" s="1"/>
  <c r="K86" i="32"/>
  <c r="K73" i="32" s="1"/>
  <c r="K74" i="32" s="1"/>
  <c r="L86" i="32"/>
  <c r="L73" i="32" s="1"/>
  <c r="M80" i="32"/>
  <c r="M81" i="32"/>
  <c r="M83" i="32"/>
  <c r="N82" i="32"/>
  <c r="N83" i="32"/>
  <c r="N88" i="32" s="1"/>
  <c r="N84" i="32"/>
  <c r="N86" i="32"/>
  <c r="N73" i="32" s="1"/>
  <c r="N74" i="32" s="1"/>
  <c r="P86" i="32"/>
  <c r="P73" i="32" s="1"/>
  <c r="P74" i="32" s="1"/>
  <c r="Q82" i="32"/>
  <c r="Q86" i="32" s="1"/>
  <c r="Q73" i="32" s="1"/>
  <c r="Q74" i="32" s="1"/>
  <c r="R86" i="32"/>
  <c r="R73" i="32"/>
  <c r="R74" i="32" s="1"/>
  <c r="S80" i="32"/>
  <c r="S86" i="32"/>
  <c r="S73" i="32" s="1"/>
  <c r="T86" i="32"/>
  <c r="T73" i="32" s="1"/>
  <c r="T74" i="32" s="1"/>
  <c r="U82" i="32"/>
  <c r="U86" i="32" s="1"/>
  <c r="U73" i="32" s="1"/>
  <c r="U74" i="32" s="1"/>
  <c r="V82" i="32"/>
  <c r="V83" i="32"/>
  <c r="X86" i="32"/>
  <c r="X73" i="32"/>
  <c r="X74" i="32" s="1"/>
  <c r="Y86" i="32"/>
  <c r="Y73" i="32"/>
  <c r="Y74" i="32" s="1"/>
  <c r="Z86" i="32"/>
  <c r="Z73" i="32"/>
  <c r="Z74" i="32" s="1"/>
  <c r="AA86" i="32"/>
  <c r="AA73" i="32" s="1"/>
  <c r="AA74" i="32" s="1"/>
  <c r="AC86" i="32"/>
  <c r="AC73" i="32"/>
  <c r="AD86" i="32"/>
  <c r="AD73" i="32"/>
  <c r="AD74" i="32" s="1"/>
  <c r="AE86" i="32"/>
  <c r="AE73" i="32"/>
  <c r="AE76" i="32" s="1"/>
  <c r="AF86" i="32"/>
  <c r="AF73" i="32" s="1"/>
  <c r="AF74" i="32" s="1"/>
  <c r="AG86" i="32"/>
  <c r="AG73" i="32"/>
  <c r="AG74" i="32" s="1"/>
  <c r="AQ86" i="32"/>
  <c r="AQ73" i="32"/>
  <c r="AQ74" i="32" s="1"/>
  <c r="J74" i="32"/>
  <c r="L74" i="32"/>
  <c r="S74" i="32"/>
  <c r="AC74" i="32"/>
  <c r="X76" i="32"/>
  <c r="Z76" i="32"/>
  <c r="AG76" i="32"/>
  <c r="C88" i="32"/>
  <c r="C89" i="32" s="1"/>
  <c r="E88" i="32"/>
  <c r="F88" i="32"/>
  <c r="G88" i="32"/>
  <c r="J88" i="32"/>
  <c r="J89" i="32" s="1"/>
  <c r="K88" i="32"/>
  <c r="L88" i="32"/>
  <c r="L89" i="32" s="1"/>
  <c r="P88" i="32"/>
  <c r="Q88" i="32"/>
  <c r="R88" i="32"/>
  <c r="S88" i="32"/>
  <c r="S89" i="32" s="1"/>
  <c r="T88" i="32"/>
  <c r="U88" i="32"/>
  <c r="U89" i="32" s="1"/>
  <c r="X88" i="32"/>
  <c r="Y88" i="32"/>
  <c r="Z88" i="32"/>
  <c r="AA88" i="32"/>
  <c r="AC88" i="32"/>
  <c r="AC89" i="32" s="1"/>
  <c r="AD88" i="32"/>
  <c r="AE88" i="32"/>
  <c r="AE89" i="32" s="1"/>
  <c r="AF88" i="32"/>
  <c r="AF89" i="32" s="1"/>
  <c r="AG88" i="32"/>
  <c r="AQ88" i="32"/>
  <c r="E89" i="32"/>
  <c r="F89" i="32"/>
  <c r="G89" i="32"/>
  <c r="K89" i="32"/>
  <c r="N89" i="32"/>
  <c r="P89" i="32"/>
  <c r="Q89" i="32"/>
  <c r="R89" i="32"/>
  <c r="T89" i="32"/>
  <c r="X89" i="32"/>
  <c r="Y89" i="32"/>
  <c r="Z89" i="32"/>
  <c r="AA89" i="32"/>
  <c r="AD89" i="32"/>
  <c r="AG89" i="32"/>
  <c r="AQ89" i="32"/>
  <c r="C92" i="32"/>
  <c r="E92" i="32"/>
  <c r="F92" i="32"/>
  <c r="G92" i="32"/>
  <c r="H92" i="32"/>
  <c r="J92" i="32"/>
  <c r="K92" i="32"/>
  <c r="L92" i="32"/>
  <c r="M92" i="32"/>
  <c r="N92" i="32"/>
  <c r="P92" i="32"/>
  <c r="Q92" i="32"/>
  <c r="R92" i="32"/>
  <c r="S92" i="32"/>
  <c r="T92" i="32"/>
  <c r="U92" i="32"/>
  <c r="V92" i="32"/>
  <c r="X92" i="32"/>
  <c r="Y92" i="32"/>
  <c r="Z92" i="32"/>
  <c r="AA92" i="32"/>
  <c r="AC92" i="32"/>
  <c r="AD92" i="32"/>
  <c r="AE92" i="32"/>
  <c r="AF92" i="32"/>
  <c r="AG92" i="32"/>
  <c r="AQ92" i="32"/>
  <c r="AV37" i="378" l="1"/>
  <c r="AV39" i="378"/>
  <c r="AV41" i="378" s="1"/>
  <c r="AV50" i="378"/>
  <c r="AV55" i="378" s="1"/>
  <c r="AV57" i="378" s="1"/>
  <c r="AU37" i="378"/>
  <c r="AU39" i="378"/>
  <c r="AU41" i="378" s="1"/>
  <c r="AU50" i="378"/>
  <c r="AU55" i="378" s="1"/>
  <c r="AU57" i="378" s="1"/>
  <c r="AY37" i="378"/>
  <c r="AY39" i="378"/>
  <c r="AY41" i="378" s="1"/>
  <c r="AY50" i="378"/>
  <c r="AY55" i="378" s="1"/>
  <c r="AY57" i="378" s="1"/>
  <c r="AW39" i="378"/>
  <c r="AW41" i="378" s="1"/>
  <c r="AW50" i="378"/>
  <c r="AW55" i="378" s="1"/>
  <c r="AW57" i="378" s="1"/>
  <c r="AW37" i="378"/>
  <c r="Q66" i="376"/>
  <c r="Q72" i="376" s="1"/>
  <c r="K69" i="376"/>
  <c r="AI66" i="376"/>
  <c r="Y66" i="376"/>
  <c r="Y72" i="376" s="1"/>
  <c r="G66" i="376"/>
  <c r="G72" i="376" s="1"/>
  <c r="AJ35" i="376"/>
  <c r="AJ36" i="376" s="1"/>
  <c r="M69" i="376"/>
  <c r="C66" i="376"/>
  <c r="C72" i="376" s="1"/>
  <c r="U35" i="376"/>
  <c r="F51" i="376"/>
  <c r="AI35" i="376"/>
  <c r="AI36" i="376" s="1"/>
  <c r="AN35" i="376"/>
  <c r="AN36" i="376" s="1"/>
  <c r="AD35" i="376"/>
  <c r="AD36" i="376" s="1"/>
  <c r="S35" i="376"/>
  <c r="J35" i="376"/>
  <c r="Z66" i="376"/>
  <c r="Z72" i="376" s="1"/>
  <c r="P66" i="376"/>
  <c r="P72" i="376" s="1"/>
  <c r="J51" i="376"/>
  <c r="H66" i="376"/>
  <c r="N51" i="376"/>
  <c r="N66" i="376" s="1"/>
  <c r="W35" i="376"/>
  <c r="C35" i="376"/>
  <c r="AL35" i="376"/>
  <c r="AL36" i="376" s="1"/>
  <c r="AB35" i="376"/>
  <c r="AB36" i="376" s="1"/>
  <c r="Q35" i="376"/>
  <c r="N82" i="376"/>
  <c r="AM72" i="376"/>
  <c r="J66" i="376"/>
  <c r="J72" i="376" s="1"/>
  <c r="W82" i="376"/>
  <c r="AJ72" i="376"/>
  <c r="K82" i="376"/>
  <c r="H72" i="376"/>
  <c r="L69" i="376"/>
  <c r="M66" i="376"/>
  <c r="M72" i="376" s="1"/>
  <c r="W72" i="376"/>
  <c r="G35" i="376"/>
  <c r="AO35" i="376"/>
  <c r="AO36" i="376" s="1"/>
  <c r="K35" i="376"/>
  <c r="AI67" i="376"/>
  <c r="AI72" i="376"/>
  <c r="AG67" i="376"/>
  <c r="AG72" i="376"/>
  <c r="L66" i="376"/>
  <c r="N72" i="376"/>
  <c r="S72" i="376"/>
  <c r="AC72" i="376"/>
  <c r="AM70" i="376"/>
  <c r="E66" i="376"/>
  <c r="E72" i="376" s="1"/>
  <c r="AL66" i="376"/>
  <c r="AL72" i="376" s="1"/>
  <c r="AB66" i="376"/>
  <c r="AB72" i="376" s="1"/>
  <c r="R66" i="376"/>
  <c r="R72" i="376" s="1"/>
  <c r="AH66" i="376"/>
  <c r="AH67" i="376" s="1"/>
  <c r="X66" i="376"/>
  <c r="X72" i="376" s="1"/>
  <c r="F66" i="376"/>
  <c r="F72" i="376" s="1"/>
  <c r="K66" i="376"/>
  <c r="K72" i="376" s="1"/>
  <c r="Z35" i="376"/>
  <c r="Z36" i="376" s="1"/>
  <c r="BD51" i="33"/>
  <c r="BD56" i="33" s="1"/>
  <c r="BD58" i="33" s="1"/>
  <c r="BD40" i="33"/>
  <c r="BD42" i="33"/>
  <c r="BD44" i="33" s="1"/>
  <c r="BC42" i="33"/>
  <c r="BC44" i="33" s="1"/>
  <c r="BC40" i="33"/>
  <c r="BC51" i="33"/>
  <c r="BC56" i="33" s="1"/>
  <c r="BC58" i="33" s="1"/>
  <c r="BH40" i="33"/>
  <c r="BH51" i="33"/>
  <c r="BH56" i="33" s="1"/>
  <c r="BH58" i="33" s="1"/>
  <c r="BH42" i="33"/>
  <c r="BH44" i="33" s="1"/>
  <c r="BF40" i="33"/>
  <c r="BF51" i="33"/>
  <c r="BF56" i="33" s="1"/>
  <c r="BF58" i="33" s="1"/>
  <c r="BF42" i="33"/>
  <c r="BF44" i="33" s="1"/>
  <c r="BE38" i="33"/>
  <c r="BE25" i="33"/>
  <c r="J71" i="32"/>
  <c r="J76" i="32"/>
  <c r="S71" i="32"/>
  <c r="S76" i="32"/>
  <c r="V37" i="32"/>
  <c r="V38" i="32" s="1"/>
  <c r="AD76" i="32"/>
  <c r="AD71" i="32"/>
  <c r="Q76" i="32"/>
  <c r="U71" i="32"/>
  <c r="U76" i="32"/>
  <c r="AC71" i="32"/>
  <c r="AC76" i="32"/>
  <c r="E37" i="32"/>
  <c r="E38" i="32" s="1"/>
  <c r="S51" i="33"/>
  <c r="S56" i="33" s="1"/>
  <c r="S58" i="33" s="1"/>
  <c r="S40" i="33"/>
  <c r="S42" i="33"/>
  <c r="S44" i="33" s="1"/>
  <c r="AG25" i="33"/>
  <c r="AG38" i="33"/>
  <c r="N25" i="33"/>
  <c r="N38" i="33"/>
  <c r="V86" i="32"/>
  <c r="V73" i="32" s="1"/>
  <c r="V74" i="32" s="1"/>
  <c r="V88" i="32"/>
  <c r="V89" i="32" s="1"/>
  <c r="W25" i="33"/>
  <c r="W38" i="33"/>
  <c r="N76" i="32"/>
  <c r="AA76" i="32"/>
  <c r="AA71" i="32"/>
  <c r="L71" i="32"/>
  <c r="L76" i="32"/>
  <c r="V70" i="32"/>
  <c r="M70" i="32"/>
  <c r="Y76" i="32"/>
  <c r="K70" i="32"/>
  <c r="AK25" i="33"/>
  <c r="E76" i="32"/>
  <c r="R76" i="32"/>
  <c r="R71" i="32"/>
  <c r="T70" i="32"/>
  <c r="C70" i="32"/>
  <c r="O25" i="33"/>
  <c r="O38" i="33"/>
  <c r="M86" i="32"/>
  <c r="M73" i="32" s="1"/>
  <c r="M74" i="32" s="1"/>
  <c r="M88" i="32"/>
  <c r="M89" i="32" s="1"/>
  <c r="J25" i="33"/>
  <c r="J38" i="33"/>
  <c r="AE74" i="32"/>
  <c r="H76" i="32"/>
  <c r="H71" i="32"/>
  <c r="G70" i="32"/>
  <c r="AG37" i="32"/>
  <c r="AG38" i="32" s="1"/>
  <c r="X37" i="32"/>
  <c r="X38" i="32" s="1"/>
  <c r="I38" i="33"/>
  <c r="E25" i="33"/>
  <c r="E38" i="33"/>
  <c r="F76" i="32"/>
  <c r="P76" i="32"/>
  <c r="P71" i="32"/>
  <c r="AF70" i="32"/>
  <c r="Q25" i="33"/>
  <c r="Q38" i="33"/>
  <c r="X73" i="344"/>
  <c r="X87" i="344"/>
  <c r="R73" i="344"/>
  <c r="R87" i="344"/>
  <c r="AK37" i="378"/>
  <c r="AK39" i="378"/>
  <c r="AK41" i="378" s="1"/>
  <c r="AK50" i="378"/>
  <c r="AK55" i="378" s="1"/>
  <c r="AK57" i="378" s="1"/>
  <c r="Q35" i="378"/>
  <c r="Q21" i="378"/>
  <c r="AK27" i="33"/>
  <c r="AK38" i="33" s="1"/>
  <c r="AN25" i="33"/>
  <c r="C25" i="33"/>
  <c r="AB24" i="33"/>
  <c r="F24" i="33"/>
  <c r="L70" i="344"/>
  <c r="L73" i="344" s="1"/>
  <c r="L83" i="344"/>
  <c r="AQ71" i="32"/>
  <c r="Y71" i="32"/>
  <c r="F71" i="32"/>
  <c r="BA46" i="33"/>
  <c r="AT25" i="33"/>
  <c r="AT38" i="33"/>
  <c r="AO10" i="33"/>
  <c r="AO24" i="33" s="1"/>
  <c r="AI24" i="33"/>
  <c r="U10" i="33"/>
  <c r="U24" i="33" s="1"/>
  <c r="I14" i="182"/>
  <c r="D7" i="182"/>
  <c r="C7" i="182" s="1"/>
  <c r="C8" i="182" s="1"/>
  <c r="C9" i="182" s="1"/>
  <c r="C10" i="182" s="1"/>
  <c r="C11" i="182" s="1"/>
  <c r="C12" i="182" s="1"/>
  <c r="C13" i="182" s="1"/>
  <c r="C51" i="183"/>
  <c r="D48" i="183"/>
  <c r="AR25" i="33"/>
  <c r="AR38" i="33"/>
  <c r="AS24" i="33"/>
  <c r="AN51" i="33"/>
  <c r="AN56" i="33" s="1"/>
  <c r="AN58" i="33" s="1"/>
  <c r="AN40" i="33"/>
  <c r="AN42" i="33"/>
  <c r="AN44" i="33" s="1"/>
  <c r="T38" i="33"/>
  <c r="P25" i="33"/>
  <c r="P38" i="33"/>
  <c r="AE73" i="344"/>
  <c r="AN67" i="376"/>
  <c r="AN72" i="376"/>
  <c r="AD67" i="376"/>
  <c r="AD72" i="376"/>
  <c r="T67" i="376"/>
  <c r="K50" i="378"/>
  <c r="K55" i="378" s="1"/>
  <c r="K57" i="378" s="1"/>
  <c r="K37" i="378"/>
  <c r="K39" i="378"/>
  <c r="K41" i="378" s="1"/>
  <c r="C37" i="378"/>
  <c r="C39" i="378"/>
  <c r="C41" i="378" s="1"/>
  <c r="C50" i="378"/>
  <c r="C55" i="378" s="1"/>
  <c r="C51" i="182"/>
  <c r="J49" i="182"/>
  <c r="J50" i="182"/>
  <c r="K38" i="33"/>
  <c r="AQ25" i="33"/>
  <c r="AQ38" i="33"/>
  <c r="BA38" i="33"/>
  <c r="AH25" i="33"/>
  <c r="AH38" i="33"/>
  <c r="Z24" i="33"/>
  <c r="T87" i="344"/>
  <c r="AC71" i="344"/>
  <c r="AC88" i="344" s="1"/>
  <c r="AC87" i="344"/>
  <c r="N73" i="344"/>
  <c r="N87" i="344"/>
  <c r="AO72" i="376"/>
  <c r="I37" i="378"/>
  <c r="I39" i="378"/>
  <c r="I41" i="378" s="1"/>
  <c r="I50" i="378"/>
  <c r="I55" i="378" s="1"/>
  <c r="I57" i="378" s="1"/>
  <c r="R37" i="378"/>
  <c r="R39" i="378"/>
  <c r="R41" i="378" s="1"/>
  <c r="R50" i="378"/>
  <c r="R55" i="378" s="1"/>
  <c r="R57" i="378" s="1"/>
  <c r="AE37" i="378"/>
  <c r="AE39" i="378"/>
  <c r="AE41" i="378" s="1"/>
  <c r="AE50" i="378"/>
  <c r="AE55" i="378" s="1"/>
  <c r="AE57" i="378" s="1"/>
  <c r="Z23" i="378"/>
  <c r="L18" i="181"/>
  <c r="C6" i="181"/>
  <c r="AV51" i="33"/>
  <c r="AV56" i="33" s="1"/>
  <c r="AV58" i="33" s="1"/>
  <c r="AV40" i="33"/>
  <c r="AV42" i="33"/>
  <c r="AV44" i="33" s="1"/>
  <c r="AU51" i="33"/>
  <c r="AU56" i="33" s="1"/>
  <c r="AU58" i="33" s="1"/>
  <c r="AU40" i="33"/>
  <c r="AU42" i="33"/>
  <c r="AU44" i="33" s="1"/>
  <c r="AA27" i="33"/>
  <c r="AA38" i="33" s="1"/>
  <c r="T25" i="33"/>
  <c r="AD24" i="33"/>
  <c r="Y24" i="33"/>
  <c r="H10" i="33"/>
  <c r="H24" i="33" s="1"/>
  <c r="AB71" i="344"/>
  <c r="AB73" i="344"/>
  <c r="AB87" i="344"/>
  <c r="M35" i="376"/>
  <c r="AF25" i="33"/>
  <c r="AF38" i="33"/>
  <c r="D25" i="33"/>
  <c r="D38" i="33"/>
  <c r="AC24" i="33"/>
  <c r="C51" i="33"/>
  <c r="C56" i="33" s="1"/>
  <c r="C58" i="33" s="1"/>
  <c r="C40" i="33"/>
  <c r="P73" i="344"/>
  <c r="P87" i="344"/>
  <c r="C73" i="344"/>
  <c r="C87" i="344"/>
  <c r="J73" i="344"/>
  <c r="J87" i="344"/>
  <c r="T88" i="344"/>
  <c r="M67" i="344"/>
  <c r="AM50" i="378"/>
  <c r="AM55" i="378" s="1"/>
  <c r="AM57" i="378" s="1"/>
  <c r="AM37" i="378"/>
  <c r="AM39" i="378"/>
  <c r="AM41" i="378" s="1"/>
  <c r="U21" i="378"/>
  <c r="L21" i="378"/>
  <c r="L35" i="378"/>
  <c r="AJ38" i="33"/>
  <c r="BA25" i="33"/>
  <c r="X25" i="33"/>
  <c r="X38" i="33"/>
  <c r="L51" i="33"/>
  <c r="L56" i="33" s="1"/>
  <c r="L58" i="33" s="1"/>
  <c r="L40" i="33"/>
  <c r="R10" i="33"/>
  <c r="R24" i="33" s="1"/>
  <c r="AI73" i="344"/>
  <c r="AI87" i="344"/>
  <c r="AI68" i="344"/>
  <c r="AI88" i="344" s="1"/>
  <c r="AB88" i="344"/>
  <c r="AE72" i="376"/>
  <c r="AG35" i="378"/>
  <c r="AG21" i="378"/>
  <c r="Z35" i="378"/>
  <c r="AC73" i="344"/>
  <c r="E35" i="344"/>
  <c r="E87" i="344" s="1"/>
  <c r="AE67" i="376"/>
  <c r="AL67" i="376"/>
  <c r="U43" i="378"/>
  <c r="O35" i="378"/>
  <c r="AF35" i="378"/>
  <c r="AF21" i="378"/>
  <c r="S21" i="378"/>
  <c r="S35" i="378"/>
  <c r="C49" i="181"/>
  <c r="C11" i="183"/>
  <c r="C12" i="183" s="1"/>
  <c r="C13" i="183" s="1"/>
  <c r="C14" i="183" s="1"/>
  <c r="C15" i="183" s="1"/>
  <c r="AC50" i="378"/>
  <c r="AC55" i="378" s="1"/>
  <c r="AC57" i="378" s="1"/>
  <c r="AC37" i="378"/>
  <c r="AC39" i="378"/>
  <c r="AC41" i="378" s="1"/>
  <c r="J21" i="378"/>
  <c r="J35" i="378"/>
  <c r="AO21" i="378"/>
  <c r="AO35" i="378"/>
  <c r="C46" i="181"/>
  <c r="C47" i="181" s="1"/>
  <c r="C48" i="181" s="1"/>
  <c r="C48" i="183"/>
  <c r="C49" i="183" s="1"/>
  <c r="C50" i="183" s="1"/>
  <c r="AA37" i="378"/>
  <c r="AA39" i="378"/>
  <c r="AA41" i="378" s="1"/>
  <c r="AA50" i="378"/>
  <c r="AA55" i="378" s="1"/>
  <c r="AA57" i="378" s="1"/>
  <c r="W37" i="378"/>
  <c r="W39" i="378"/>
  <c r="W41" i="378" s="1"/>
  <c r="W50" i="378"/>
  <c r="W55" i="378" s="1"/>
  <c r="W57" i="378" s="1"/>
  <c r="F37" i="378"/>
  <c r="F39" i="378"/>
  <c r="F41" i="378" s="1"/>
  <c r="F50" i="378"/>
  <c r="F55" i="378" s="1"/>
  <c r="F57" i="378" s="1"/>
  <c r="Y87" i="344"/>
  <c r="AG68" i="344"/>
  <c r="AG88" i="344" s="1"/>
  <c r="AE35" i="344"/>
  <c r="U35" i="344"/>
  <c r="U87" i="344" s="1"/>
  <c r="L35" i="344"/>
  <c r="T50" i="378"/>
  <c r="T55" i="378" s="1"/>
  <c r="T57" i="378" s="1"/>
  <c r="T37" i="378"/>
  <c r="T39" i="378"/>
  <c r="T41" i="378" s="1"/>
  <c r="AR35" i="378"/>
  <c r="AR21" i="378"/>
  <c r="AH35" i="378"/>
  <c r="AH21" i="378"/>
  <c r="Y35" i="378"/>
  <c r="Y21" i="378"/>
  <c r="P35" i="378"/>
  <c r="P21" i="378"/>
  <c r="AL21" i="378"/>
  <c r="AL35" i="378"/>
  <c r="C17" i="181"/>
  <c r="M18" i="181"/>
  <c r="G19" i="181"/>
  <c r="C16" i="183"/>
  <c r="C20" i="183" s="1"/>
  <c r="T69" i="376"/>
  <c r="T70" i="376" s="1"/>
  <c r="T82" i="376"/>
  <c r="X37" i="378"/>
  <c r="X39" i="378"/>
  <c r="X41" i="378" s="1"/>
  <c r="E35" i="378"/>
  <c r="H10" i="378"/>
  <c r="H20" i="378" s="1"/>
  <c r="AG87" i="344"/>
  <c r="W87" i="344"/>
  <c r="U23" i="378"/>
  <c r="U35" i="378" s="1"/>
  <c r="AQ37" i="378"/>
  <c r="AQ39" i="378"/>
  <c r="AQ41" i="378" s="1"/>
  <c r="AB21" i="378"/>
  <c r="AB35" i="378"/>
  <c r="C73" i="182"/>
  <c r="D69" i="182"/>
  <c r="C70" i="182" s="1"/>
  <c r="C71" i="182" s="1"/>
  <c r="C72" i="182" s="1"/>
  <c r="C73" i="181"/>
  <c r="H14" i="181"/>
  <c r="C14" i="182"/>
  <c r="C18" i="182" s="1"/>
  <c r="C75" i="183"/>
  <c r="Z67" i="376" l="1"/>
  <c r="AB67" i="376"/>
  <c r="L72" i="376"/>
  <c r="AH72" i="376"/>
  <c r="BC60" i="33"/>
  <c r="BC64" i="33"/>
  <c r="BC66" i="33" s="1"/>
  <c r="BE40" i="33"/>
  <c r="BE51" i="33"/>
  <c r="BE56" i="33" s="1"/>
  <c r="BE58" i="33" s="1"/>
  <c r="BE42" i="33"/>
  <c r="BE44" i="33" s="1"/>
  <c r="BF60" i="33"/>
  <c r="BF64" i="33"/>
  <c r="BF66" i="33" s="1"/>
  <c r="BD64" i="33"/>
  <c r="BD66" i="33" s="1"/>
  <c r="BD60" i="33"/>
  <c r="BH60" i="33"/>
  <c r="BH64" i="33"/>
  <c r="BH66" i="33" s="1"/>
  <c r="U37" i="378"/>
  <c r="U39" i="378"/>
  <c r="U41" i="378" s="1"/>
  <c r="U50" i="378"/>
  <c r="U55" i="378" s="1"/>
  <c r="U57" i="378" s="1"/>
  <c r="AA51" i="33"/>
  <c r="AA56" i="33" s="1"/>
  <c r="AA58" i="33" s="1"/>
  <c r="AA40" i="33"/>
  <c r="AA42" i="33"/>
  <c r="AA44" i="33" s="1"/>
  <c r="AK51" i="33"/>
  <c r="AK56" i="33" s="1"/>
  <c r="AK58" i="33" s="1"/>
  <c r="AK40" i="33"/>
  <c r="AK42" i="33"/>
  <c r="AK44" i="33" s="1"/>
  <c r="AF37" i="378"/>
  <c r="AF39" i="378"/>
  <c r="AF41" i="378" s="1"/>
  <c r="AF50" i="378"/>
  <c r="AF55" i="378" s="1"/>
  <c r="AF57" i="378" s="1"/>
  <c r="AJ51" i="33"/>
  <c r="AJ56" i="33" s="1"/>
  <c r="AJ58" i="33" s="1"/>
  <c r="AJ40" i="33"/>
  <c r="AJ42" i="33"/>
  <c r="AJ44" i="33" s="1"/>
  <c r="AF51" i="33"/>
  <c r="AF56" i="33" s="1"/>
  <c r="AF58" i="33" s="1"/>
  <c r="AF40" i="33"/>
  <c r="AF42" i="33"/>
  <c r="AF44" i="33" s="1"/>
  <c r="AD38" i="33"/>
  <c r="AD25" i="33"/>
  <c r="AV60" i="33"/>
  <c r="AV64" i="33"/>
  <c r="AV66" i="33" s="1"/>
  <c r="AH42" i="33"/>
  <c r="AH44" i="33" s="1"/>
  <c r="AH40" i="33"/>
  <c r="AH51" i="33"/>
  <c r="AH56" i="33" s="1"/>
  <c r="AH58" i="33" s="1"/>
  <c r="T72" i="376"/>
  <c r="AR42" i="33"/>
  <c r="AR44" i="33" s="1"/>
  <c r="AR51" i="33"/>
  <c r="AR56" i="33" s="1"/>
  <c r="AR58" i="33" s="1"/>
  <c r="AR40" i="33"/>
  <c r="AO38" i="33"/>
  <c r="AO25" i="33"/>
  <c r="Q50" i="378"/>
  <c r="Q55" i="378" s="1"/>
  <c r="Q57" i="378" s="1"/>
  <c r="Q39" i="378"/>
  <c r="Q41" i="378" s="1"/>
  <c r="Q37" i="378"/>
  <c r="Q40" i="33"/>
  <c r="Q42" i="33"/>
  <c r="Q44" i="33" s="1"/>
  <c r="Q51" i="33"/>
  <c r="Q56" i="33" s="1"/>
  <c r="Q58" i="33" s="1"/>
  <c r="I51" i="33"/>
  <c r="I56" i="33" s="1"/>
  <c r="I58" i="33" s="1"/>
  <c r="I40" i="33"/>
  <c r="I42" i="33"/>
  <c r="I44" i="33" s="1"/>
  <c r="J51" i="33"/>
  <c r="J56" i="33" s="1"/>
  <c r="J58" i="33" s="1"/>
  <c r="J40" i="33"/>
  <c r="J42" i="33"/>
  <c r="J44" i="33" s="1"/>
  <c r="V76" i="32"/>
  <c r="V71" i="32"/>
  <c r="S60" i="33"/>
  <c r="S64" i="33"/>
  <c r="S66" i="33" s="1"/>
  <c r="O37" i="378"/>
  <c r="O39" i="378"/>
  <c r="O41" i="378" s="1"/>
  <c r="O50" i="378"/>
  <c r="O55" i="378" s="1"/>
  <c r="O57" i="378" s="1"/>
  <c r="L37" i="378"/>
  <c r="L39" i="378"/>
  <c r="L41" i="378" s="1"/>
  <c r="L50" i="378"/>
  <c r="L55" i="378" s="1"/>
  <c r="L57" i="378" s="1"/>
  <c r="C7" i="181"/>
  <c r="C8" i="181" s="1"/>
  <c r="C9" i="181" s="1"/>
  <c r="C10" i="181" s="1"/>
  <c r="C11" i="181" s="1"/>
  <c r="C12" i="181" s="1"/>
  <c r="C13" i="181" s="1"/>
  <c r="C14" i="181"/>
  <c r="C18" i="181" s="1"/>
  <c r="T51" i="33"/>
  <c r="T56" i="33" s="1"/>
  <c r="T58" i="33" s="1"/>
  <c r="T40" i="33"/>
  <c r="T42" i="33"/>
  <c r="T44" i="33" s="1"/>
  <c r="AT40" i="33"/>
  <c r="AT42" i="33"/>
  <c r="AT44" i="33" s="1"/>
  <c r="AT51" i="33"/>
  <c r="AT56" i="33" s="1"/>
  <c r="AT58" i="33" s="1"/>
  <c r="F25" i="33"/>
  <c r="F38" i="33"/>
  <c r="AR37" i="378"/>
  <c r="AR39" i="378"/>
  <c r="AR41" i="378" s="1"/>
  <c r="AR50" i="378"/>
  <c r="AR55" i="378" s="1"/>
  <c r="AR57" i="378" s="1"/>
  <c r="I73" i="181"/>
  <c r="I74" i="181"/>
  <c r="C75" i="181"/>
  <c r="P37" i="378"/>
  <c r="P39" i="378"/>
  <c r="P41" i="378" s="1"/>
  <c r="P50" i="378"/>
  <c r="P55" i="378" s="1"/>
  <c r="P57" i="378" s="1"/>
  <c r="Z37" i="378"/>
  <c r="Z50" i="378"/>
  <c r="Z55" i="378" s="1"/>
  <c r="Z57" i="378" s="1"/>
  <c r="Z39" i="378"/>
  <c r="Z41" i="378" s="1"/>
  <c r="R25" i="33"/>
  <c r="R38" i="33"/>
  <c r="BA51" i="33"/>
  <c r="BA56" i="33" s="1"/>
  <c r="BA58" i="33" s="1"/>
  <c r="BA40" i="33"/>
  <c r="BA42" i="33"/>
  <c r="BA44" i="33" s="1"/>
  <c r="C71" i="378"/>
  <c r="C57" i="378"/>
  <c r="AB25" i="33"/>
  <c r="AB38" i="33"/>
  <c r="AF76" i="32"/>
  <c r="AF71" i="32"/>
  <c r="N51" i="33"/>
  <c r="N56" i="33" s="1"/>
  <c r="N58" i="33" s="1"/>
  <c r="N40" i="33"/>
  <c r="N42" i="33"/>
  <c r="N44" i="33" s="1"/>
  <c r="M73" i="344"/>
  <c r="M87" i="344"/>
  <c r="AQ51" i="33"/>
  <c r="AQ56" i="33" s="1"/>
  <c r="AQ58" i="33" s="1"/>
  <c r="AQ40" i="33"/>
  <c r="AQ42" i="33"/>
  <c r="AQ44" i="33" s="1"/>
  <c r="J51" i="183"/>
  <c r="J52" i="183"/>
  <c r="C53" i="183"/>
  <c r="G71" i="32"/>
  <c r="G76" i="32"/>
  <c r="J74" i="182"/>
  <c r="C75" i="182"/>
  <c r="J73" i="182"/>
  <c r="Y37" i="378"/>
  <c r="Y39" i="378"/>
  <c r="Y41" i="378" s="1"/>
  <c r="Y50" i="378"/>
  <c r="Y55" i="378" s="1"/>
  <c r="Y57" i="378" s="1"/>
  <c r="L87" i="344"/>
  <c r="AO37" i="378"/>
  <c r="AO39" i="378"/>
  <c r="AO41" i="378" s="1"/>
  <c r="AO50" i="378"/>
  <c r="AO55" i="378" s="1"/>
  <c r="AO57" i="378" s="1"/>
  <c r="I50" i="181"/>
  <c r="C51" i="181"/>
  <c r="I49" i="181"/>
  <c r="AG37" i="378"/>
  <c r="AG39" i="378"/>
  <c r="AG41" i="378" s="1"/>
  <c r="AG50" i="378"/>
  <c r="AG55" i="378" s="1"/>
  <c r="AG57" i="378" s="1"/>
  <c r="L64" i="33"/>
  <c r="L66" i="33" s="1"/>
  <c r="L60" i="33"/>
  <c r="C60" i="33"/>
  <c r="C64" i="33"/>
  <c r="AN64" i="33"/>
  <c r="AN66" i="33" s="1"/>
  <c r="AN60" i="33"/>
  <c r="O42" i="33"/>
  <c r="O44" i="33" s="1"/>
  <c r="O51" i="33"/>
  <c r="O56" i="33" s="1"/>
  <c r="O58" i="33" s="1"/>
  <c r="O40" i="33"/>
  <c r="AG42" i="33"/>
  <c r="AG44" i="33" s="1"/>
  <c r="AG51" i="33"/>
  <c r="AG56" i="33" s="1"/>
  <c r="AG58" i="33" s="1"/>
  <c r="AG40" i="33"/>
  <c r="AB50" i="378"/>
  <c r="AB55" i="378" s="1"/>
  <c r="AB57" i="378" s="1"/>
  <c r="AB37" i="378"/>
  <c r="AB39" i="378"/>
  <c r="AB41" i="378" s="1"/>
  <c r="H35" i="378"/>
  <c r="H21" i="378"/>
  <c r="S50" i="378"/>
  <c r="S55" i="378" s="1"/>
  <c r="S57" i="378" s="1"/>
  <c r="S37" i="378"/>
  <c r="S39" i="378"/>
  <c r="S41" i="378" s="1"/>
  <c r="X42" i="33"/>
  <c r="X44" i="33" s="1"/>
  <c r="X51" i="33"/>
  <c r="X56" i="33" s="1"/>
  <c r="X58" i="33" s="1"/>
  <c r="X40" i="33"/>
  <c r="AC38" i="33"/>
  <c r="AC25" i="33"/>
  <c r="AU64" i="33"/>
  <c r="AU66" i="33" s="1"/>
  <c r="AU60" i="33"/>
  <c r="K51" i="33"/>
  <c r="K56" i="33" s="1"/>
  <c r="K58" i="33" s="1"/>
  <c r="K40" i="33"/>
  <c r="K42" i="33"/>
  <c r="K44" i="33" s="1"/>
  <c r="AS25" i="33"/>
  <c r="AS38" i="33"/>
  <c r="K71" i="32"/>
  <c r="K76" i="32"/>
  <c r="E37" i="378"/>
  <c r="E39" i="378"/>
  <c r="E41" i="378" s="1"/>
  <c r="E50" i="378"/>
  <c r="E55" i="378" s="1"/>
  <c r="E57" i="378" s="1"/>
  <c r="AH37" i="378"/>
  <c r="AH39" i="378"/>
  <c r="AH41" i="378" s="1"/>
  <c r="AH50" i="378"/>
  <c r="AH55" i="378" s="1"/>
  <c r="AH57" i="378" s="1"/>
  <c r="AE36" i="344"/>
  <c r="AE88" i="344" s="1"/>
  <c r="AE87" i="344"/>
  <c r="J50" i="378"/>
  <c r="J55" i="378" s="1"/>
  <c r="J57" i="378" s="1"/>
  <c r="J39" i="378"/>
  <c r="J41" i="378" s="1"/>
  <c r="J37" i="378"/>
  <c r="D51" i="33"/>
  <c r="D56" i="33" s="1"/>
  <c r="D58" i="33" s="1"/>
  <c r="D40" i="33"/>
  <c r="D42" i="33"/>
  <c r="D44" i="33" s="1"/>
  <c r="H25" i="33"/>
  <c r="H38" i="33"/>
  <c r="U38" i="33"/>
  <c r="U25" i="33"/>
  <c r="E42" i="33"/>
  <c r="E44" i="33" s="1"/>
  <c r="E51" i="33"/>
  <c r="E56" i="33" s="1"/>
  <c r="E58" i="33" s="1"/>
  <c r="E40" i="33"/>
  <c r="C76" i="32"/>
  <c r="C71" i="32"/>
  <c r="W51" i="33"/>
  <c r="W56" i="33" s="1"/>
  <c r="W58" i="33" s="1"/>
  <c r="W40" i="33"/>
  <c r="W42" i="33"/>
  <c r="W44" i="33" s="1"/>
  <c r="J75" i="183"/>
  <c r="C77" i="183"/>
  <c r="J76" i="183"/>
  <c r="AL50" i="378"/>
  <c r="AL55" i="378" s="1"/>
  <c r="AL57" i="378" s="1"/>
  <c r="AL39" i="378"/>
  <c r="AL41" i="378" s="1"/>
  <c r="AL37" i="378"/>
  <c r="Y25" i="33"/>
  <c r="Y38" i="33"/>
  <c r="Z25" i="33"/>
  <c r="Z38" i="33"/>
  <c r="P42" i="33"/>
  <c r="P44" i="33" s="1"/>
  <c r="P40" i="33"/>
  <c r="P51" i="33"/>
  <c r="P56" i="33" s="1"/>
  <c r="P58" i="33" s="1"/>
  <c r="AI25" i="33"/>
  <c r="AI38" i="33"/>
  <c r="T71" i="32"/>
  <c r="T76" i="32"/>
  <c r="M76" i="32"/>
  <c r="M71" i="32"/>
  <c r="BE60" i="33" l="1"/>
  <c r="BE64" i="33"/>
  <c r="BE66" i="33" s="1"/>
  <c r="T64" i="33"/>
  <c r="T66" i="33" s="1"/>
  <c r="T60" i="33"/>
  <c r="AF64" i="33"/>
  <c r="AF66" i="33" s="1"/>
  <c r="AF60" i="33"/>
  <c r="Z40" i="33"/>
  <c r="Z42" i="33"/>
  <c r="Z44" i="33" s="1"/>
  <c r="Z51" i="33"/>
  <c r="Z56" i="33" s="1"/>
  <c r="Z58" i="33" s="1"/>
  <c r="I60" i="33"/>
  <c r="I64" i="33"/>
  <c r="I66" i="33" s="1"/>
  <c r="X64" i="33"/>
  <c r="X66" i="33" s="1"/>
  <c r="X60" i="33"/>
  <c r="K60" i="33"/>
  <c r="K64" i="33"/>
  <c r="K66" i="33" s="1"/>
  <c r="C66" i="33"/>
  <c r="C69" i="33"/>
  <c r="N64" i="33"/>
  <c r="N66" i="33" s="1"/>
  <c r="N60" i="33"/>
  <c r="AT64" i="33"/>
  <c r="AT66" i="33" s="1"/>
  <c r="AT60" i="33"/>
  <c r="Q64" i="33"/>
  <c r="Q66" i="33" s="1"/>
  <c r="Q60" i="33"/>
  <c r="AJ64" i="33"/>
  <c r="AJ66" i="33" s="1"/>
  <c r="AJ60" i="33"/>
  <c r="D64" i="33"/>
  <c r="D60" i="33"/>
  <c r="F42" i="33"/>
  <c r="F44" i="33" s="1"/>
  <c r="F51" i="33"/>
  <c r="F56" i="33" s="1"/>
  <c r="F58" i="33" s="1"/>
  <c r="F40" i="33"/>
  <c r="AI40" i="33"/>
  <c r="AI42" i="33"/>
  <c r="AI44" i="33" s="1"/>
  <c r="AI51" i="33"/>
  <c r="AI56" i="33" s="1"/>
  <c r="AI58" i="33" s="1"/>
  <c r="Y42" i="33"/>
  <c r="Y44" i="33" s="1"/>
  <c r="Y40" i="33"/>
  <c r="Y51" i="33"/>
  <c r="Y56" i="33" s="1"/>
  <c r="Y58" i="33" s="1"/>
  <c r="U51" i="33"/>
  <c r="U56" i="33" s="1"/>
  <c r="U58" i="33" s="1"/>
  <c r="U40" i="33"/>
  <c r="U42" i="33"/>
  <c r="U44" i="33" s="1"/>
  <c r="AG64" i="33"/>
  <c r="AG66" i="33" s="1"/>
  <c r="AG60" i="33"/>
  <c r="BA64" i="33"/>
  <c r="BA66" i="33" s="1"/>
  <c r="BA60" i="33"/>
  <c r="AR64" i="33"/>
  <c r="AR66" i="33" s="1"/>
  <c r="AR60" i="33"/>
  <c r="AA64" i="33"/>
  <c r="AA66" i="33" s="1"/>
  <c r="AA60" i="33"/>
  <c r="AO51" i="33"/>
  <c r="AO56" i="33" s="1"/>
  <c r="AO58" i="33" s="1"/>
  <c r="AO40" i="33"/>
  <c r="AO42" i="33"/>
  <c r="AO44" i="33" s="1"/>
  <c r="W64" i="33"/>
  <c r="W66" i="33" s="1"/>
  <c r="W60" i="33"/>
  <c r="H40" i="33"/>
  <c r="H42" i="33"/>
  <c r="H44" i="33" s="1"/>
  <c r="H51" i="33"/>
  <c r="H56" i="33" s="1"/>
  <c r="H58" i="33" s="1"/>
  <c r="R51" i="33"/>
  <c r="R56" i="33" s="1"/>
  <c r="R58" i="33" s="1"/>
  <c r="R40" i="33"/>
  <c r="R42" i="33"/>
  <c r="R44" i="33" s="1"/>
  <c r="AD51" i="33"/>
  <c r="AD56" i="33" s="1"/>
  <c r="AD58" i="33" s="1"/>
  <c r="AD40" i="33"/>
  <c r="AD42" i="33"/>
  <c r="AD44" i="33" s="1"/>
  <c r="P64" i="33"/>
  <c r="P66" i="33" s="1"/>
  <c r="P60" i="33"/>
  <c r="AQ64" i="33"/>
  <c r="AQ66" i="33" s="1"/>
  <c r="AQ60" i="33"/>
  <c r="AB51" i="33"/>
  <c r="AB56" i="33" s="1"/>
  <c r="AB58" i="33" s="1"/>
  <c r="AB40" i="33"/>
  <c r="AB42" i="33"/>
  <c r="AB44" i="33" s="1"/>
  <c r="E60" i="33"/>
  <c r="E64" i="33"/>
  <c r="E66" i="33" s="1"/>
  <c r="AK60" i="33"/>
  <c r="AK64" i="33"/>
  <c r="AK66" i="33" s="1"/>
  <c r="AS42" i="33"/>
  <c r="AS44" i="33" s="1"/>
  <c r="AS51" i="33"/>
  <c r="AS56" i="33" s="1"/>
  <c r="AS58" i="33" s="1"/>
  <c r="AS40" i="33"/>
  <c r="AC51" i="33"/>
  <c r="AC56" i="33" s="1"/>
  <c r="AC58" i="33" s="1"/>
  <c r="AC40" i="33"/>
  <c r="AC42" i="33"/>
  <c r="AC44" i="33" s="1"/>
  <c r="H39" i="378"/>
  <c r="H41" i="378" s="1"/>
  <c r="H50" i="378"/>
  <c r="H55" i="378" s="1"/>
  <c r="H57" i="378" s="1"/>
  <c r="H37" i="378"/>
  <c r="O64" i="33"/>
  <c r="O66" i="33" s="1"/>
  <c r="O60" i="33"/>
  <c r="J60" i="33"/>
  <c r="J64" i="33"/>
  <c r="J66" i="33" s="1"/>
  <c r="AH64" i="33"/>
  <c r="AH66" i="33" s="1"/>
  <c r="AH60" i="33"/>
  <c r="AB60" i="33" l="1"/>
  <c r="AB64" i="33"/>
  <c r="AB66" i="33" s="1"/>
  <c r="D69" i="33"/>
  <c r="D66" i="33"/>
  <c r="AO64" i="33"/>
  <c r="AO66" i="33" s="1"/>
  <c r="AO60" i="33"/>
  <c r="Z64" i="33"/>
  <c r="Z66" i="33" s="1"/>
  <c r="Z60" i="33"/>
  <c r="H60" i="33"/>
  <c r="H64" i="33"/>
  <c r="H66" i="33" s="1"/>
  <c r="AC64" i="33"/>
  <c r="AC66" i="33" s="1"/>
  <c r="AC60" i="33"/>
  <c r="U60" i="33"/>
  <c r="U64" i="33"/>
  <c r="U66" i="33" s="1"/>
  <c r="F60" i="33"/>
  <c r="F64" i="33"/>
  <c r="F66" i="33" s="1"/>
  <c r="AI64" i="33"/>
  <c r="AI66" i="33" s="1"/>
  <c r="AI60" i="33"/>
  <c r="R64" i="33"/>
  <c r="R66" i="33" s="1"/>
  <c r="R60" i="33"/>
  <c r="AS64" i="33"/>
  <c r="AS66" i="33" s="1"/>
  <c r="AS60" i="33"/>
  <c r="Y64" i="33"/>
  <c r="Y66" i="33" s="1"/>
  <c r="Y60" i="33"/>
  <c r="AD60" i="33"/>
  <c r="AD64" i="33"/>
  <c r="AD66"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Elena Moreno</author>
  </authors>
  <commentList>
    <comment ref="B63" authorId="0" shapeId="0" xr:uid="{EE374638-7871-4236-BD4C-B86AE397BFCF}">
      <text>
        <r>
          <rPr>
            <b/>
            <sz val="9"/>
            <color indexed="81"/>
            <rFont val="Tahoma"/>
            <family val="2"/>
          </rPr>
          <t>María Elena Moreno:</t>
        </r>
        <r>
          <rPr>
            <sz val="9"/>
            <color indexed="81"/>
            <rFont val="Tahoma"/>
            <family val="2"/>
          </rPr>
          <t xml:space="preserve">
incluye otros pasivos no fros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Elena Moreno</author>
  </authors>
  <commentList>
    <comment ref="B62" authorId="0" shapeId="0" xr:uid="{E83776AA-4004-47FA-9BA4-82F259052EDE}">
      <text>
        <r>
          <rPr>
            <b/>
            <sz val="9"/>
            <color indexed="81"/>
            <rFont val="Tahoma"/>
            <family val="2"/>
          </rPr>
          <t>María Elena Moreno:</t>
        </r>
        <r>
          <rPr>
            <sz val="9"/>
            <color indexed="81"/>
            <rFont val="Tahoma"/>
            <family val="2"/>
          </rPr>
          <t xml:space="preserve">
incluye otros pasivos no fros</t>
        </r>
      </text>
    </comment>
  </commentList>
</comments>
</file>

<file path=xl/sharedStrings.xml><?xml version="1.0" encoding="utf-8"?>
<sst xmlns="http://schemas.openxmlformats.org/spreadsheetml/2006/main" count="715" uniqueCount="360">
  <si>
    <t>GRUPO ARGOS S.A.</t>
  </si>
  <si>
    <t>En millones de pesos colombianos o de dólares americanos</t>
  </si>
  <si>
    <t>Utilidad bruta</t>
  </si>
  <si>
    <t>Margen bruto</t>
  </si>
  <si>
    <t>Administración</t>
  </si>
  <si>
    <t>EBITDA</t>
  </si>
  <si>
    <t>Margen EBITDA</t>
  </si>
  <si>
    <t>Utilidad antes de impuestos</t>
  </si>
  <si>
    <t>Margen neto</t>
  </si>
  <si>
    <t>Costo de ventas negocio inmobiliario</t>
  </si>
  <si>
    <t>Otros ingresos</t>
  </si>
  <si>
    <t>Otros egresos</t>
  </si>
  <si>
    <t>Ventas</t>
  </si>
  <si>
    <t>Utilidad por actividades de operación</t>
  </si>
  <si>
    <t>Otros ingresos y egresos</t>
  </si>
  <si>
    <t>Financieros, neto</t>
  </si>
  <si>
    <t>Ingresos y egresos no operacionales</t>
  </si>
  <si>
    <t>Ingresos por dividendos</t>
  </si>
  <si>
    <t>Diferencia en cambio, neto</t>
  </si>
  <si>
    <t>Participación neta en resultados de asociadas</t>
  </si>
  <si>
    <t>Impuesto a la riqueza</t>
  </si>
  <si>
    <t>ESTADO DE RESULTADOS CONSOLIDADO</t>
  </si>
  <si>
    <t>Costo de ventas de bienes y servicios</t>
  </si>
  <si>
    <t>Depreciación y amortización de administración</t>
  </si>
  <si>
    <t>Depreciación y amortización de ventas</t>
  </si>
  <si>
    <t>Depreciación y amortización</t>
  </si>
  <si>
    <t>Costo de actividades ordinarias</t>
  </si>
  <si>
    <t>Ingresos negocio inmobiliario</t>
  </si>
  <si>
    <t>Participaciones no controladoras</t>
  </si>
  <si>
    <t>Participación controladora</t>
  </si>
  <si>
    <t>Inventarios</t>
  </si>
  <si>
    <t>Inversiones permanentes</t>
  </si>
  <si>
    <t>Otros activos</t>
  </si>
  <si>
    <t>Obligaciones financieras</t>
  </si>
  <si>
    <t>Otros pasivos</t>
  </si>
  <si>
    <t>Reservas</t>
  </si>
  <si>
    <t>Efectivo y equivalentes de efectivo</t>
  </si>
  <si>
    <t>Intangibles, neto</t>
  </si>
  <si>
    <t>Propiedades de inversión</t>
  </si>
  <si>
    <t>Bonos y otros instrumentos financieros</t>
  </si>
  <si>
    <t>En millones de pesos colombianos</t>
  </si>
  <si>
    <t>Devoluciones y descuentos en ventas</t>
  </si>
  <si>
    <t>Otras cuentas por pagar</t>
  </si>
  <si>
    <t>M.P.P de asociadas en Consolidado</t>
  </si>
  <si>
    <t>Utilidad (pérdida) neta</t>
  </si>
  <si>
    <t>Utilidad (pérdida) atribuible a:</t>
  </si>
  <si>
    <t>Margen</t>
  </si>
  <si>
    <t>Margen por actividades de operación</t>
  </si>
  <si>
    <t>US$ dólares</t>
  </si>
  <si>
    <t>Ingresos de actividad financiera</t>
  </si>
  <si>
    <t>ESTADO DE RESULTADOS SEPARADO</t>
  </si>
  <si>
    <t>Total activo corriente</t>
  </si>
  <si>
    <t>Patrimonio</t>
  </si>
  <si>
    <t>PP&amp;E, neto</t>
  </si>
  <si>
    <t>Total activo no corriente</t>
  </si>
  <si>
    <t>Total activo</t>
  </si>
  <si>
    <t>Total pasivo corriente</t>
  </si>
  <si>
    <t>Total pasivo no corriente</t>
  </si>
  <si>
    <t>Total pasivo</t>
  </si>
  <si>
    <t>Total pasivo + patrimonio</t>
  </si>
  <si>
    <t xml:space="preserve">Act.no corrientes mant. para la vta. </t>
  </si>
  <si>
    <t>Bonos y otros instrumentos fcieros.</t>
  </si>
  <si>
    <t>Componentes de otros resultado integral</t>
  </si>
  <si>
    <t>Celsia</t>
  </si>
  <si>
    <t>Grupo Argos</t>
  </si>
  <si>
    <t>Grupo</t>
  </si>
  <si>
    <t>Argos</t>
  </si>
  <si>
    <t>Total por valoraciones de inst. fcieros</t>
  </si>
  <si>
    <t>Valoracion I. F.</t>
  </si>
  <si>
    <t>Anexo Financieros:</t>
  </si>
  <si>
    <t>Efecto neto por intereses</t>
  </si>
  <si>
    <t>Ingresos por intereses</t>
  </si>
  <si>
    <t>Otros gastos financieros, neto</t>
  </si>
  <si>
    <t>Anexo Financieros Grupo Argos Consolidado:</t>
  </si>
  <si>
    <t>Gastos por intereses</t>
  </si>
  <si>
    <t>Pérdida por valoraciones de inst. fcieros</t>
  </si>
  <si>
    <t>Efecto neto en financieros</t>
  </si>
  <si>
    <t>REAL</t>
  </si>
  <si>
    <t>Jun. 15
NIIF</t>
  </si>
  <si>
    <t>Utilidad neta</t>
  </si>
  <si>
    <t>Gasto Intereses</t>
  </si>
  <si>
    <t>Total gasto  por intereses</t>
  </si>
  <si>
    <t>Jun. 14
NIIF</t>
  </si>
  <si>
    <t xml:space="preserve">Instrumentos financieros derivados </t>
  </si>
  <si>
    <t>Utilidad de operaciones continuas</t>
  </si>
  <si>
    <t>Pasivos asociados con activos mant. p. venta</t>
  </si>
  <si>
    <t>Otros componentes del patrimono</t>
  </si>
  <si>
    <t>ESTADO DE SITUACION FINANCIERA</t>
  </si>
  <si>
    <t>Depreciación y amortización administración</t>
  </si>
  <si>
    <t>Depreciación y amortizaciones ventas</t>
  </si>
  <si>
    <t>OTRO RESULTADO INTEGRAL</t>
  </si>
  <si>
    <t xml:space="preserve">En millones de pesos colombianos </t>
  </si>
  <si>
    <t>Feb. 15
NIIF</t>
  </si>
  <si>
    <t>Feb. 14
NIIF</t>
  </si>
  <si>
    <t>Partidas que no se reclasificarán a resultados</t>
  </si>
  <si>
    <t>Nuevas mediciones de obligaciones por beneficios definidos</t>
  </si>
  <si>
    <t>Ganancias y pérdidas de inversiones patrimoniales</t>
  </si>
  <si>
    <t xml:space="preserve">Resultado integral total </t>
  </si>
  <si>
    <t>Mar. 15
NIIF</t>
  </si>
  <si>
    <t>Mar. 14
NIIF</t>
  </si>
  <si>
    <t>Patrimonio atribuible a los controladores</t>
  </si>
  <si>
    <t>2014</t>
  </si>
  <si>
    <t>2015</t>
  </si>
  <si>
    <t>Otros</t>
  </si>
  <si>
    <t>VARIACIÓN INGRESOS</t>
  </si>
  <si>
    <t>Ingresos</t>
  </si>
  <si>
    <t>Dif</t>
  </si>
  <si>
    <t>Cemento</t>
  </si>
  <si>
    <t>Energía</t>
  </si>
  <si>
    <t>Carbón</t>
  </si>
  <si>
    <t>Inmobiliario</t>
  </si>
  <si>
    <t>Corporativos</t>
  </si>
  <si>
    <t>DE LOS EEFF</t>
  </si>
  <si>
    <t>Var.</t>
  </si>
  <si>
    <t>Ppto %</t>
  </si>
  <si>
    <t>Ingresos (opción 2)</t>
  </si>
  <si>
    <t>Frente a Ppto. 2011</t>
  </si>
  <si>
    <t>Ppto</t>
  </si>
  <si>
    <t>Real 11</t>
  </si>
  <si>
    <t>Cumpl.</t>
  </si>
  <si>
    <t>Colombia</t>
  </si>
  <si>
    <t>EE.UU.</t>
  </si>
  <si>
    <t>Caribe</t>
  </si>
  <si>
    <t>EBITDA (opción 2)</t>
  </si>
  <si>
    <t>ebitda</t>
  </si>
  <si>
    <t>VARIACIÓN UTILIDAD NETA</t>
  </si>
  <si>
    <t>Neta</t>
  </si>
  <si>
    <t>Intereses pagados</t>
  </si>
  <si>
    <t>Sep. 14
NIIF</t>
  </si>
  <si>
    <t>Sep. 15
NIIF</t>
  </si>
  <si>
    <t>Tasas</t>
  </si>
  <si>
    <t>Activos biológicos</t>
  </si>
  <si>
    <t>Provisiones</t>
  </si>
  <si>
    <t>Pasivos estimados por beneficios a empleados</t>
  </si>
  <si>
    <t>Impuestos diferidos</t>
  </si>
  <si>
    <t>Impuesto diferido</t>
  </si>
  <si>
    <t>Instrumentos financieros derivados</t>
  </si>
  <si>
    <t>Pasivos por impuestos</t>
  </si>
  <si>
    <t>Pasivos comerciales y otras CxP</t>
  </si>
  <si>
    <t>Prima en colocación de acciones</t>
  </si>
  <si>
    <t>Utilidad (pérdida) retenidas</t>
  </si>
  <si>
    <t>Ingresos por actividades de operación</t>
  </si>
  <si>
    <t>Ingresos por ventas de bienes y servicios</t>
  </si>
  <si>
    <t>Participación neta en resultados de asociadas y negocios conjuntos</t>
  </si>
  <si>
    <t>Costo de actividad financiera</t>
  </si>
  <si>
    <t>Costo del negocio inmobiliario</t>
  </si>
  <si>
    <t>Gastos de estructura</t>
  </si>
  <si>
    <t>Impuestos de renta</t>
  </si>
  <si>
    <t>Utilidad (Pérdida) neta de operaciones discontinuas</t>
  </si>
  <si>
    <t>Cuentas comerciales clientes y otras cuentas por cobrar, neto</t>
  </si>
  <si>
    <t>Capital social</t>
  </si>
  <si>
    <t>Utilidad (pérdida) del ejercicio</t>
  </si>
  <si>
    <t>Dic. 14
NIIF</t>
  </si>
  <si>
    <t>Dic. 15
NIIF</t>
  </si>
  <si>
    <t xml:space="preserve">                                                                                              </t>
  </si>
  <si>
    <t>Efectivo restringido</t>
  </si>
  <si>
    <t>Ingresos y egresos otros</t>
  </si>
  <si>
    <t>Gastos pagados por anticipado y otros activos no financieros</t>
  </si>
  <si>
    <t>Resultado, neto por método de participación</t>
  </si>
  <si>
    <t>Concesiones</t>
  </si>
  <si>
    <t>Ppto a dic. 2011</t>
  </si>
  <si>
    <t>Real a dic. 2011</t>
  </si>
  <si>
    <t>Portafolio</t>
  </si>
  <si>
    <t xml:space="preserve">Ajustes por: </t>
  </si>
  <si>
    <t>Gastos reconocidos con respecto a beneficios a empleados y provisiones</t>
  </si>
  <si>
    <t>Depreciación y amortización de activos no corrientes</t>
  </si>
  <si>
    <t>Cuentas comerciales por cobrar y otras cuentas por cobrar</t>
  </si>
  <si>
    <t>Impuesto a la renta pagado</t>
  </si>
  <si>
    <t>Adquisición de propiedades, planta y equipo</t>
  </si>
  <si>
    <t>Producto de la venta de propiedades, planta y equipo</t>
  </si>
  <si>
    <t>Adquisición de propiedades de inversión</t>
  </si>
  <si>
    <t>Producto de la venta de propiedades de inversión</t>
  </si>
  <si>
    <t>Adquisición de activos intangibles</t>
  </si>
  <si>
    <t>Adquisición de otros activos no corrientes</t>
  </si>
  <si>
    <t>Producto de la venta de otros activos no corrientes</t>
  </si>
  <si>
    <t>Producto de la venta de participaciones en asociadas y negocios conjuntos</t>
  </si>
  <si>
    <t>Adquisición de activos financieros</t>
  </si>
  <si>
    <t>Producto de la venta de activos financieros</t>
  </si>
  <si>
    <t>Efectivo y equivalentes de efectivo al principio del periodo</t>
  </si>
  <si>
    <t>2016</t>
  </si>
  <si>
    <t>Mar. 16
NIIF</t>
  </si>
  <si>
    <t>Jun. 16
NIIF</t>
  </si>
  <si>
    <t xml:space="preserve"> </t>
  </si>
  <si>
    <t>VARIACIÓN EBITDA</t>
  </si>
  <si>
    <t>Participación en el resultado de asociadas y negocios conjuntos</t>
  </si>
  <si>
    <t>Sep. 16
NIIF</t>
  </si>
  <si>
    <t>Dic.2015
(Reexpresado)</t>
  </si>
  <si>
    <t>-</t>
  </si>
  <si>
    <t>Dic. 15 reex
NIIF</t>
  </si>
  <si>
    <t>Dic. 16
NIIF</t>
  </si>
  <si>
    <t>Ingresos recibidos por anticipado</t>
  </si>
  <si>
    <t>FLUJOS DE EFECTIVO POR ACTIVIDADES DE OPERACIÓN</t>
  </si>
  <si>
    <t>FLUJOS DE EFECTIVO POR ACTIVIDADES DE INVERSIÓN</t>
  </si>
  <si>
    <t>FLUJOS DE EFECTIVO POR ACTIVIDADES DE FINANCIACIÓN</t>
  </si>
  <si>
    <t>Pasivos por beneficios a empleados</t>
  </si>
  <si>
    <t>Otros ajustes para conciliar los resultados del año</t>
  </si>
  <si>
    <t>2017</t>
  </si>
  <si>
    <t>Mar. 17
NIIF</t>
  </si>
  <si>
    <t>Mar. 16 reex
NIIF</t>
  </si>
  <si>
    <t>Ingresos marzo 2016</t>
  </si>
  <si>
    <t>Real marzo 2016</t>
  </si>
  <si>
    <t>Real marzo 2017</t>
  </si>
  <si>
    <t>Ingresos marzo 2017</t>
  </si>
  <si>
    <t>Ppto marzo 2017</t>
  </si>
  <si>
    <t>EBITDA marzo 2016</t>
  </si>
  <si>
    <t>EBITDA marzo 2017</t>
  </si>
  <si>
    <t>Utilidad neta marzo 2016</t>
  </si>
  <si>
    <t>Utilidad neta marzo 2017</t>
  </si>
  <si>
    <t>dic.15
(Reexpresado)</t>
  </si>
  <si>
    <t>mar.16
(Reexpresado)</t>
  </si>
  <si>
    <t>jun.16
(Reexpresado)</t>
  </si>
  <si>
    <t>Jun. 16 reex
NIIF</t>
  </si>
  <si>
    <t>Jun. 17
NIIF</t>
  </si>
  <si>
    <t>sep.16
(Reexpresado)</t>
  </si>
  <si>
    <t>Sep. 16 reex
NIIF</t>
  </si>
  <si>
    <t>Sep. 17
NIIF</t>
  </si>
  <si>
    <t>Sep. 16 
(Reexpresado)</t>
  </si>
  <si>
    <t>Otros Activos Financieros</t>
  </si>
  <si>
    <t>Gasto por impuesto a la renta reconocido en resultados del periodo</t>
  </si>
  <si>
    <t>Ajustes por:</t>
  </si>
  <si>
    <t>Efectos de la variación de tasas de cambio sobre el efectivo y equivalentes de efectivo mantenidos en moneda extranjera</t>
  </si>
  <si>
    <t>(1) El informe trimestral de 2017 y re-expresando la información comparativa, se reclasifican desde otros gastos operacionales a gasto por impuesto de renta los impuestos no recuperables por retención en la fuente que deben asumir algunas de nuestras operaciones en Islas Virgines Británicas.  El Grupo considera que este cambio en presentación permite reflejar más fiablemente los resultados provenientes de la operación.</t>
  </si>
  <si>
    <t xml:space="preserve">Jun. 16 reex 
NIIF </t>
  </si>
  <si>
    <t xml:space="preserve">Sep. 16 reex 
NIIF </t>
  </si>
  <si>
    <t>Dic. 17
NIIF</t>
  </si>
  <si>
    <t xml:space="preserve">Dic. 16 reex
NIIF </t>
  </si>
  <si>
    <t>Otros activos financieros</t>
  </si>
  <si>
    <t>UTILIDAD NETA</t>
  </si>
  <si>
    <t>Restitución de aportes</t>
  </si>
  <si>
    <t>dic-2016 Proforma</t>
  </si>
  <si>
    <t>Dic. 16
NIIF Proforma</t>
  </si>
  <si>
    <t>Intereses financieros recibidos</t>
  </si>
  <si>
    <t>Ingresos por dividendos y participaciones</t>
  </si>
  <si>
    <t>2018</t>
  </si>
  <si>
    <t>Mar. 18
NIIF</t>
  </si>
  <si>
    <t>Mar. 17
NIIF (1)</t>
  </si>
  <si>
    <t xml:space="preserve">(1) Grupo ha cambiado en el Estado de Resultados Consolidado Condensado comparativo, la clasificación de los impuestos no recuperables por retención en la fuente, que deben asumir algunas de las operaciones en Islas Vírgenes Británicas desde otros egresos operacionales a gasto por impuesto a las ganancias. Asimismo, fue reclasificado del gasto de administración al costo, la contraprestación pagada a la Aerocivil como consecuencia del contrato de concesión del Aeropuerto Internacional el Dorado y la comisión por tasas aeroportuarias, de la subsidiaria Sociedad Concesionaria Operadora Aeroportuaria Internacional S.A. – Opain S.A. Grupo considera que este cambio en presentación permite reflejar más fiablemente los resultados provenientes de la operación. </t>
  </si>
  <si>
    <t>Mar. 17
NIIF Proforma</t>
  </si>
  <si>
    <t>Jun. 18
NIIF</t>
  </si>
  <si>
    <t>Sep. 18
NIIF</t>
  </si>
  <si>
    <t>Dic. 18
NIIF</t>
  </si>
  <si>
    <t>Aumento de otros instrumentos de financiación</t>
  </si>
  <si>
    <t>CAMBIOS EN EL CAPITAL DE TRABAJO DE:</t>
  </si>
  <si>
    <t>EFECTIVO GENERADO POR LAS OPERACIONES</t>
  </si>
  <si>
    <t>Venta de negocios con pérdida del control</t>
  </si>
  <si>
    <t>Jun. 17
NIIF (1)</t>
  </si>
  <si>
    <t>Deterioro, neto de activos no corrientes e inventario</t>
  </si>
  <si>
    <t>Dividendos pagados acciones ordinarias</t>
  </si>
  <si>
    <t>Dividendos pagados acciones preferenciales</t>
  </si>
  <si>
    <t>Sep. 17
NIIF (1)</t>
  </si>
  <si>
    <t>Mar. 18
NIIF (1)</t>
  </si>
  <si>
    <t>Jun. 18
NIIF (1)</t>
  </si>
  <si>
    <t>Dic. 17
NIIF (1)</t>
  </si>
  <si>
    <t>Jun. 17
NIIF Proform</t>
  </si>
  <si>
    <t>Sep. 17
NIIF Proform</t>
  </si>
  <si>
    <t>2019</t>
  </si>
  <si>
    <t>Activos por derecho de uso propiedades, plantas y equipo</t>
  </si>
  <si>
    <t>Pasivos por arrendamientos</t>
  </si>
  <si>
    <t>Mar. 19
NIIF</t>
  </si>
  <si>
    <t>Pasivos por arrendamiento</t>
  </si>
  <si>
    <t>Jun. 19
NIIF</t>
  </si>
  <si>
    <t>Sep. 19
NIIF</t>
  </si>
  <si>
    <t>Dic. 19
NIIF</t>
  </si>
  <si>
    <t>Pagos por pasivos por arrendamientos</t>
  </si>
  <si>
    <t>FLUJO NETO DE EFECTIVO GENERADO POR ACTIVIDADES DE OPERACIÓN</t>
  </si>
  <si>
    <t>Activos por derecho de uso propiedades de inversión</t>
  </si>
  <si>
    <t>Jun. 19
NIIF (1)</t>
  </si>
  <si>
    <t>Gasto financiero, neto reconocido en resultados del periodo</t>
  </si>
  <si>
    <t xml:space="preserve">Dividendos y participaciones recibidas </t>
  </si>
  <si>
    <t>Pagos realizados a contratos de derivados financieros</t>
  </si>
  <si>
    <t>Cobros procedentes de contratos de derivados financieros</t>
  </si>
  <si>
    <t>Otros pasivos no financieros</t>
  </si>
  <si>
    <t xml:space="preserve">Jun. 19
NIIF </t>
  </si>
  <si>
    <t xml:space="preserve">Sep. 19
NIIF </t>
  </si>
  <si>
    <t>Sep. 18
NIIF (1)</t>
  </si>
  <si>
    <t>Mar. 19
NIIF (1)</t>
  </si>
  <si>
    <t>En junio se reclasifican ingreso y costo por venta de Omya por $62.681 y $44.158 respectivamente</t>
  </si>
  <si>
    <t>Emisión de acciones u otros instrumentos de capital, de subsidiarias</t>
  </si>
  <si>
    <t xml:space="preserve">Dic. 19
NIIF </t>
  </si>
  <si>
    <t>Dic. 18
NIIF (1)</t>
  </si>
  <si>
    <t>Otros pasivos financieros</t>
  </si>
  <si>
    <t xml:space="preserve">Otros pasivos no financieros </t>
  </si>
  <si>
    <t xml:space="preserve">Otros pasivos financieros </t>
  </si>
  <si>
    <t>dic-18 (1)</t>
  </si>
  <si>
    <r>
      <t xml:space="preserve">(1) Grupo ha cambiado en el Estado de Resultados Consolidado comparativo, </t>
    </r>
    <r>
      <rPr>
        <sz val="10"/>
        <color rgb="FF000000"/>
        <rFont val="Franklin Gothic Book"/>
        <family val="2"/>
      </rPr>
      <t xml:space="preserve">del gasto de administración al costo, la contraprestación pagada a la Aerocivil como consecuencia del contrato de concesión del Aeropuerto Internacional el Dorado, la comisión por tasas aeroportuarias y la amortización del intangible asociado a dicha concesión, de la subsidiaria Sociedad Concesionaria Operadora Aeroportuaria Internacional S.A. – Opain S.A. </t>
    </r>
    <r>
      <rPr>
        <sz val="10"/>
        <rFont val="Franklin Gothic Book"/>
        <family val="2"/>
      </rPr>
      <t xml:space="preserve">Grupo considera que este cambio en presentación permite reflejar más fiablemente los resultados provenientes de la operación. </t>
    </r>
  </si>
  <si>
    <t xml:space="preserve">Grupo ha cambiado en el Estado de Resultados Consolidado comparativo, del gasto por diferencia en cambio a los ingresos de actividades ordinarias, el efecto de la reclasificación del patrimonio al resultado del periodo de las coberturas de flujo de efectivo de transacciones previstas de la subsidiaria Sociedad Concesionaria Operadora Aeroportuaria Internacional S.A. – Opain S.A. por $19.337. </t>
  </si>
  <si>
    <t>Préstamos concedidos a terceros</t>
  </si>
  <si>
    <t>Pago de bonos, notas estructuradas y papeles comerciales</t>
  </si>
  <si>
    <t>Adquisición de otros instrumentos de financiación</t>
  </si>
  <si>
    <t>Pagos de otros instrumentos de financiación</t>
  </si>
  <si>
    <t>Mar. 20
NIIF (1)</t>
  </si>
  <si>
    <t>2020</t>
  </si>
  <si>
    <t>Mar. 20
NIIF</t>
  </si>
  <si>
    <t>Jun. 20
NIIF (1)</t>
  </si>
  <si>
    <t>Jun. 20
NIIF</t>
  </si>
  <si>
    <t>Sep. 20
NIIF</t>
  </si>
  <si>
    <t>Dic. 20
NIIF</t>
  </si>
  <si>
    <t>Utilidad por medición al valor razonable</t>
  </si>
  <si>
    <t>Deterioro, neto de activos financieros</t>
  </si>
  <si>
    <t>Sep. 20
NIIF (1)</t>
  </si>
  <si>
    <t>Dic. 20
NIIF (1)</t>
  </si>
  <si>
    <t>Pasivos comerciales y otras cuentas por pagar</t>
  </si>
  <si>
    <t>Adquisición y/o aportes en participaciones en asociadas y negocios conjuntos</t>
  </si>
  <si>
    <t>2021</t>
  </si>
  <si>
    <t>Mar. 21
NIIF (1)</t>
  </si>
  <si>
    <t>Mar. 21
NIIF</t>
  </si>
  <si>
    <t>(DISMINUCIÓN) AUMENTO NETO EN EFECTIVO Y EQUIVALENTES DE EFECTIVO</t>
  </si>
  <si>
    <t>Diferencia en cambio, reconocida en resultados, sobre instrumentos financieros</t>
  </si>
  <si>
    <t>ESTADO DE SITUACION FINANCIERA CONSOLIDADO</t>
  </si>
  <si>
    <t>ESTADO DE SITUACION FINANCIERA SEPARADO</t>
  </si>
  <si>
    <t>ESTADO DE FLUJOS DE EFECTIVO SEPARADO</t>
  </si>
  <si>
    <t>ESTADO DE FLUJOS DE EFECTIVO CONSOLIDADO</t>
  </si>
  <si>
    <t>Jun. 21
NIIF (1)</t>
  </si>
  <si>
    <t>Jun. 21
NIIF</t>
  </si>
  <si>
    <t>Adquisición de participaciones en asociadas y negocios conjuntos</t>
  </si>
  <si>
    <t>Emisión de bonos</t>
  </si>
  <si>
    <t>Pago de bonos y papeles comerciales</t>
  </si>
  <si>
    <t>Cobros procedentes de contratos de derivados financieros con cobertura de pasivos financieros</t>
  </si>
  <si>
    <t>Sep. 21
NIIF (1)</t>
  </si>
  <si>
    <t>Sep. 21
NIIF</t>
  </si>
  <si>
    <t>FLUJO NETO DE EFECTIVO UTILIZADO EN ACTIVIDADES DE FINANCIACIÓN</t>
  </si>
  <si>
    <t xml:space="preserve">EFECTIVO Y EQUIVALENTES DE EFECTIVO AL FINAL DEL PERÍODO </t>
  </si>
  <si>
    <t>EFECTIVO Y EQUIVALENTES DE EFECTIVO AL FINAL DEL PERÍODO SIN CAJA Y BANCOS INCLUIDOS EN UN GRUPO DE ACTIVOS MANTENIDOS PARA LA VENTA</t>
  </si>
  <si>
    <t>Dic. 21
NIIF (1)</t>
  </si>
  <si>
    <t>Dic. 21
NIIF</t>
  </si>
  <si>
    <t xml:space="preserve">UTILIDAD (PÉRDIDA) NETA </t>
  </si>
  <si>
    <t xml:space="preserve">Ingresos por dividendos y participaciones </t>
  </si>
  <si>
    <t>Impuesto a la renta reconocido en los resultados del período</t>
  </si>
  <si>
    <t>Método de participación en el resultado de subsidiarias</t>
  </si>
  <si>
    <t>Pérdida reconocida con respecto a beneficios a empleados y provisiones</t>
  </si>
  <si>
    <t xml:space="preserve">Deterioro (recuperación), neto de activos financieros </t>
  </si>
  <si>
    <t xml:space="preserve">Diferencia en cambio, reconocida en resultados sobre instrumentos financieros </t>
  </si>
  <si>
    <t>Otros ajustes</t>
  </si>
  <si>
    <t>Cuentas comerciales y otras cuentas por cobrar</t>
  </si>
  <si>
    <t>Cuentas comerciales y otras cuentas por pagar</t>
  </si>
  <si>
    <t>EFECTIVO UTILIZADO POR ACTIVIDADES DE OPERACIÓN</t>
  </si>
  <si>
    <t>Dividendos recibidos</t>
  </si>
  <si>
    <t xml:space="preserve">Impuestos a la renta, (pagado) reembolsado </t>
  </si>
  <si>
    <t>FLUJO DE EFECTIVO NETO GENERADO POR ACTIVIDADES DE OPERACIÓN</t>
  </si>
  <si>
    <t>Producto de la venta de planta y equipo</t>
  </si>
  <si>
    <t>Adquisición de participación en subsidiarias</t>
  </si>
  <si>
    <t>Producto de la venta de participaciones en subsidiarias</t>
  </si>
  <si>
    <t xml:space="preserve">Préstamos concedidos a terceros </t>
  </si>
  <si>
    <t>FLUJO NETO DE EFECTIVO GENERADO POR ACTIVIDADES DE INVERSIÓN</t>
  </si>
  <si>
    <t>Otras entradas de efectivo</t>
  </si>
  <si>
    <t>FLUJO DE EFECTIVO NETO UTILIZADO EN ACTIVIDADES DE FINANCIACIÓN</t>
  </si>
  <si>
    <t>Efectivo y equivalentes de efectivo al principio del período</t>
  </si>
  <si>
    <t>Efectos de la variación en la tasa de cambio sobre el efectivo y equivalentes de efectivo mantenidos en moneda extranjera</t>
  </si>
  <si>
    <t>Otras entradas (salidas) de efectivo</t>
  </si>
  <si>
    <t>Mar. 22
NIIF (1)</t>
  </si>
  <si>
    <t>2022</t>
  </si>
  <si>
    <t>Mar. 22
NIIF</t>
  </si>
  <si>
    <t>Notas</t>
  </si>
  <si>
    <t>Pérdida (utilidad) por venta de activos no corrientes</t>
  </si>
  <si>
    <t>Periodos intermedios que terminaron a 31 de marzo | En millones de pesos colombianos</t>
  </si>
  <si>
    <t>Utilidad (pérdida) por venta de activos no corrientes</t>
  </si>
  <si>
    <t>FLUJO NETO DE EFECTIVO GENERADO (UTILIZADO) EN ACTIVIDADES DE INVERSIÓN</t>
  </si>
  <si>
    <t>Otras salidas de efectivo</t>
  </si>
  <si>
    <t>AUMENTO (DISMINUCIÓN) NETO EN EFECTIVO Y EQUIVALENTES DE EFECTIVO</t>
  </si>
  <si>
    <t>Menos caja y bancos incluidos en un grupo de activos mantenidos para la venta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</si>
</sst>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5">
    <numFmt numFmtId="41" formatCode="_-* #,##0_-;\-* #,##0_-;_-* &quot;-&quot;_-;_-@_-"/>
    <numFmt numFmtId="43" formatCode="_-* #,##0.00_-;\-* #,##0.00_-;_-* &quot;-&quot;??_-;_-@_-"/>
    <numFmt numFmtId="164" formatCode="_-* #,##0.00\ &quot;€&quot;_-;\-* #,##0.00\ &quot;€&quot;_-;_-* &quot;-&quot;??\ &quot;€&quot;_-;_-@_-"/>
    <numFmt numFmtId="165" formatCode="_-* #,##0.00\ _€_-;\-* #,##0.00\ _€_-;_-* &quot;-&quot;??\ _€_-;_-@_-"/>
    <numFmt numFmtId="166" formatCode="_-&quot;$&quot;* #,##0.00_-;\-&quot;$&quot;* #,##0.00_-;_-&quot;$&quot;* &quot;-&quot;??_-;_-@_-"/>
    <numFmt numFmtId="167" formatCode="_(* #,##0.00_);_(* \(#,##0.00\);_(* &quot;-&quot;??_);_(@_)"/>
    <numFmt numFmtId="168" formatCode="0.0"/>
    <numFmt numFmtId="169" formatCode="0.0%"/>
    <numFmt numFmtId="170" formatCode="_(* #,##0_);_(* \(#,##0\);_(* &quot;--- &quot;_)"/>
    <numFmt numFmtId="171" formatCode="_(&quot;$&quot;* #,##0_);_(&quot;$&quot;* \(#,##0\);_(&quot;$&quot;* &quot;--- &quot;_)"/>
    <numFmt numFmtId="172" formatCode="#,##0.0000000000000_);[Red]\(#,##0.0000000000000\)"/>
    <numFmt numFmtId="173" formatCode="_(#,##0.0_);[Red]_(\(#,##0.0\);\ &quot;-- &quot;"/>
    <numFmt numFmtId="174" formatCode="#,##0.0_);[Red]\(#,##0.0\)"/>
    <numFmt numFmtId="175" formatCode="&quot;$&quot;#,##0_);\(&quot;$&quot;#,##0\)"/>
    <numFmt numFmtId="176" formatCode="&quot;$&quot;#,##0.00_);[Red]\(&quot;$&quot;#,##0.00\)"/>
    <numFmt numFmtId="177" formatCode="_ * #,##0.00_ ;_ * \-#,##0.00_ ;_ * &quot;-&quot;??_ ;_ @_ "/>
    <numFmt numFmtId="178" formatCode="&quot;$&quot;#,##0.00_);[Red]\(&quot;$&quot;#,##0.00\);&quot;--  &quot;;_(@_)"/>
    <numFmt numFmtId="179" formatCode="&quot;$&quot;#,##0.0_);[Red]\(&quot;$&quot;#,##0.0\)"/>
    <numFmt numFmtId="180" formatCode="mmm\-d\-yyyy"/>
    <numFmt numFmtId="181" formatCode="mmm\-yyyy"/>
    <numFmt numFmtId="182" formatCode="&quot;$&quot;#,##0.00_);\(&quot;$&quot;#,##0.00\)"/>
    <numFmt numFmtId="183" formatCode="_ [$€-2]\ * #,##0.00_ ;_ [$€-2]\ * \-#,##0.00_ ;_ [$€-2]\ * &quot;-&quot;??_ "/>
    <numFmt numFmtId="184" formatCode="_ * #,##0_ ;_ * \-#,##0_ ;_ * &quot;-&quot;_ ;_ @_ "/>
    <numFmt numFmtId="185" formatCode="#.00"/>
    <numFmt numFmtId="186" formatCode="###0_);\(###0\)"/>
    <numFmt numFmtId="187" formatCode="_ * #,##0.0_ ;_ * \-#,##0.0_ ;_ * &quot;-&quot;?_ ;_ @_ "/>
    <numFmt numFmtId="188" formatCode=";;;"/>
    <numFmt numFmtId="189" formatCode="#,##0;[Red]\(#,##0\)"/>
    <numFmt numFmtId="190" formatCode="#,##0.00\ &quot;Pts&quot;;\-#,##0.00\ &quot;Pts&quot;"/>
    <numFmt numFmtId="191" formatCode="#,##0.0000000_);\(#,##0.0000000\)"/>
    <numFmt numFmtId="192" formatCode="0.000000000"/>
    <numFmt numFmtId="193" formatCode="0.0%;[Red]\(0.0%\)"/>
    <numFmt numFmtId="194" formatCode="#,##0.000_);[Red]\(#,##0.000\)"/>
    <numFmt numFmtId="195" formatCode="#,##0.0_);\(#,##0.0\)"/>
    <numFmt numFmtId="196" formatCode="#,##0;\(#,##0\)"/>
    <numFmt numFmtId="197" formatCode="_-* #,##0\ _P_t_s_-;\-* #,##0\ _P_t_s_-;_-* &quot;-&quot;\ _P_t_s_-;_-@_-"/>
    <numFmt numFmtId="198" formatCode="_ * #,##0_ ;_ * \-#,##0_ ;_ * &quot;-&quot;??_ ;_ @_ "/>
    <numFmt numFmtId="199" formatCode="_(&quot;R$&quot;* #,##0_);_(&quot;R$&quot;* \(#,##0\);_(&quot;R$&quot;* &quot;-&quot;_);_(@_)"/>
    <numFmt numFmtId="200" formatCode="_(&quot;R$&quot;* #,##0.00_);_(&quot;R$&quot;* \(#,##0.00\);_(&quot;R$&quot;* &quot;-&quot;??_);_(@_)"/>
    <numFmt numFmtId="201" formatCode="_-* #,##0.00\ _p_t_a_-;\-* #,##0.00\ _p_t_a_-;_-* &quot;-&quot;??\ _p_t_a_-;_-@_-"/>
    <numFmt numFmtId="202" formatCode="_ &quot;$&quot;\ * #,##0.00_ ;_ &quot;$&quot;\ * \-#,##0.00_ ;_ &quot;$&quot;\ * &quot;-&quot;??_ ;_ @_ "/>
    <numFmt numFmtId="203" formatCode="_(* #,##0.0_);_(* \(#,##0.0\);_(* &quot;-&quot;?_);_(@_)"/>
    <numFmt numFmtId="204" formatCode="#,##0.00\x;\(#,##0.00\x\)"/>
    <numFmt numFmtId="205" formatCode="_(* #,##0.00000_);_(* \(#,##0.00000\);_(* &quot;-&quot;_);_(@_)"/>
    <numFmt numFmtId="206" formatCode="&quot;xxxx&quot;"/>
    <numFmt numFmtId="207" formatCode="#,##0.0_);[Red]\(#,##0.0\);&quot;--  &quot;"/>
    <numFmt numFmtId="208" formatCode="0.00_)"/>
    <numFmt numFmtId="209" formatCode="#,##0.000_);\(#,##0.000\)"/>
    <numFmt numFmtId="210" formatCode="#,##0.0_)\ \ ;[Red]\(#,##0.0\)\ \ "/>
    <numFmt numFmtId="211" formatCode="#,##0.00\x_);[Red]\(#,##0.00\x\);&quot;--  &quot;"/>
    <numFmt numFmtId="212" formatCode="#,##0.00_)&quot; &quot;;[Red]\(#,##0.00\)&quot; &quot;"/>
    <numFmt numFmtId="213" formatCode="0_);\(0\)"/>
    <numFmt numFmtId="214" formatCode="_(* #,##0.00\x_);_(* \(#,##0.00\x\);_(* &quot;-&quot;??_);_(@_)"/>
    <numFmt numFmtId="215" formatCode="_(* #,##0.0_);_(* \(#,##0.0\);_(* &quot;-&quot;_);_(@_)"/>
    <numFmt numFmtId="216" formatCode="0.0%;[Red]\(0.0%\);&quot;--  &quot;"/>
    <numFmt numFmtId="217" formatCode="&quot;Cr$&quot;#,##0_);[Red]\(&quot;Cr$&quot;#,##0\)"/>
    <numFmt numFmtId="218" formatCode="_(&quot;$&quot;* #,##0.00\x_);_(&quot;$&quot;* \(#,##0.00\x\);_(&quot;$&quot;* &quot;-&quot;??_);_(@_)"/>
    <numFmt numFmtId="219" formatCode="&quot;$&quot;#,##0.0_);\(&quot;$&quot;#,##0.0\)"/>
    <numFmt numFmtId="220" formatCode="#,##0.00\x;#,##0.00\x"/>
    <numFmt numFmtId="221" formatCode="\I\n\c\/\(d\ \ "/>
    <numFmt numFmtId="222" formatCode="#,##0.00000000_);\(#,##0.00000000\)"/>
    <numFmt numFmtId="223" formatCode="\ #,##0"/>
    <numFmt numFmtId="224" formatCode="yyyy"/>
    <numFmt numFmtId="225" formatCode="#,##0.00;\(#,##0.00\);_(* &quot;-&quot;_)"/>
    <numFmt numFmtId="226" formatCode="_(* #,##0.00\x_);_(* \(#,##0.00\x\);_(* &quot;-&quot;_);_(@_)"/>
    <numFmt numFmtId="227" formatCode="0.00\ "/>
    <numFmt numFmtId="228" formatCode="General_)"/>
    <numFmt numFmtId="229" formatCode="#,##0.00\ &quot;Pts&quot;;[Red]\-#,##0.00\ &quot;Pts&quot;"/>
    <numFmt numFmtId="230" formatCode="#,##0.0"/>
    <numFmt numFmtId="231" formatCode="_(* #,##0_);_(* \(#,##0\);_(* &quot;-&quot;??_);_(@_)"/>
    <numFmt numFmtId="232" formatCode="_-* #,##0\ _$_-;\-* #,##0\ _$_-;_-* &quot;-&quot;\ _$_-;_-@_-"/>
    <numFmt numFmtId="233" formatCode="\_x0000_\_x0000__(* #,##0_);_(* \(#,##0\);_(* &quot;-&quot;_);_(@"/>
    <numFmt numFmtId="234" formatCode="\_x0000_\_x0000__(* #,##0.00_);_(* \(#,##0.00\);_(* &quot;-&quot;??_);_(@"/>
    <numFmt numFmtId="235" formatCode="\_x0000_\_x0000__(&quot;$&quot;* #,##0_);_(&quot;$&quot;* \(#,##0\);_(&quot;$&quot;* &quot;-&quot;_);_(@"/>
    <numFmt numFmtId="236" formatCode="\_x0000_\_x0000__(&quot;$&quot;* #,##0.00_);_(&quot;$&quot;* \(#,##0.00\);_(&quot;$&quot;* &quot;-&quot;??_);_(@"/>
    <numFmt numFmtId="237" formatCode="_-* #,##0\ _€_-;\-* #,##0\ _€_-;_-* &quot;-&quot;??\ _€_-;_-@_-"/>
    <numFmt numFmtId="238" formatCode="_ * #,##0.000_ ;_ * \-#,##0.000_ ;_ * &quot;-&quot;??_ ;_ @_ "/>
    <numFmt numFmtId="239" formatCode="#,##0.0;\-#,##0.0"/>
    <numFmt numFmtId="240" formatCode="#,##0.000"/>
    <numFmt numFmtId="241" formatCode="_-* #,##0.00\ _$_-;\-* #,##0.00\ _$_-;_-* &quot;-&quot;??\ _$_-;_-@_-"/>
    <numFmt numFmtId="242" formatCode="###,000"/>
    <numFmt numFmtId="243" formatCode="_-* #,##0.00_$_-;\-* #,##0.00_$_-;_-* &quot;-&quot;??_$_-;_-@_-"/>
    <numFmt numFmtId="244" formatCode="_-* #,##0_-;\-* #,##0_-;_-* &quot;-&quot;??_-;_-@_-"/>
    <numFmt numFmtId="248" formatCode="0.0000"/>
    <numFmt numFmtId="252" formatCode="0.00000000"/>
  </numFmts>
  <fonts count="28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0"/>
      <color indexed="8"/>
      <name val="Arial"/>
      <family val="2"/>
    </font>
    <font>
      <sz val="10"/>
      <color indexed="8"/>
      <name val="Arial"/>
      <family val="2"/>
    </font>
    <font>
      <sz val="10"/>
      <name val="Arial"/>
      <family val="2"/>
    </font>
    <font>
      <b/>
      <sz val="10"/>
      <color indexed="9"/>
      <name val="Arial"/>
      <family val="2"/>
    </font>
    <font>
      <b/>
      <sz val="10"/>
      <color indexed="53"/>
      <name val="Arial"/>
      <family val="2"/>
    </font>
    <font>
      <i/>
      <sz val="10"/>
      <color indexed="8"/>
      <name val="Arial"/>
      <family val="2"/>
    </font>
    <font>
      <b/>
      <i/>
      <sz val="10"/>
      <color indexed="8"/>
      <name val="Arial"/>
      <family val="2"/>
    </font>
    <font>
      <sz val="12"/>
      <color indexed="8"/>
      <name val="Arial"/>
      <family val="2"/>
    </font>
    <font>
      <sz val="11"/>
      <color indexed="9"/>
      <name val="Calibri"/>
      <family val="2"/>
    </font>
    <font>
      <sz val="12"/>
      <color indexed="9"/>
      <name val="Arial"/>
      <family val="2"/>
    </font>
    <font>
      <b/>
      <sz val="16"/>
      <color indexed="9"/>
      <name val="Arial"/>
      <family val="2"/>
    </font>
    <font>
      <b/>
      <u/>
      <sz val="12"/>
      <color indexed="10"/>
      <name val="Arial"/>
      <family val="2"/>
    </font>
    <font>
      <b/>
      <sz val="10"/>
      <color indexed="32"/>
      <name val="Arial"/>
      <family val="2"/>
    </font>
    <font>
      <sz val="10"/>
      <color indexed="12"/>
      <name val="Times New Roman"/>
      <family val="1"/>
    </font>
    <font>
      <sz val="8"/>
      <name val="Arial"/>
      <family val="2"/>
    </font>
    <font>
      <b/>
      <sz val="12"/>
      <color indexed="8"/>
      <name val="Arial"/>
      <family val="2"/>
    </font>
    <font>
      <sz val="10"/>
      <name val="FuturaA Bk BT"/>
    </font>
    <font>
      <sz val="11"/>
      <color indexed="20"/>
      <name val="Calibri"/>
      <family val="2"/>
    </font>
    <font>
      <sz val="12"/>
      <color indexed="20"/>
      <name val="Arial"/>
      <family val="2"/>
    </font>
    <font>
      <sz val="10"/>
      <color indexed="12"/>
      <name val="Arial"/>
      <family val="2"/>
    </font>
    <font>
      <sz val="8"/>
      <color indexed="12"/>
      <name val="Arial"/>
      <family val="2"/>
    </font>
    <font>
      <b/>
      <sz val="10"/>
      <name val="MS Sans Serif"/>
      <family val="2"/>
    </font>
    <font>
      <b/>
      <i/>
      <sz val="12"/>
      <name val="Times New Roman"/>
      <family val="1"/>
    </font>
    <font>
      <sz val="12"/>
      <color indexed="17"/>
      <name val="Arial"/>
      <family val="2"/>
    </font>
    <font>
      <sz val="8"/>
      <name val="Times"/>
      <family val="1"/>
    </font>
    <font>
      <b/>
      <sz val="11"/>
      <color indexed="52"/>
      <name val="Calibri"/>
      <family val="2"/>
    </font>
    <font>
      <b/>
      <sz val="12"/>
      <color indexed="10"/>
      <name val="Arial"/>
      <family val="2"/>
    </font>
    <font>
      <b/>
      <sz val="12"/>
      <color indexed="52"/>
      <name val="Arial"/>
      <family val="2"/>
    </font>
    <font>
      <sz val="9"/>
      <color indexed="10"/>
      <name val="Geneva"/>
    </font>
    <font>
      <sz val="10"/>
      <name val="Arial CE"/>
      <charset val="238"/>
    </font>
    <font>
      <b/>
      <sz val="12"/>
      <color indexed="9"/>
      <name val="Arial"/>
      <family val="2"/>
    </font>
    <font>
      <sz val="12"/>
      <color indexed="52"/>
      <name val="Arial"/>
      <family val="2"/>
    </font>
    <font>
      <b/>
      <sz val="11"/>
      <color indexed="9"/>
      <name val="Calibri"/>
      <family val="2"/>
    </font>
    <font>
      <sz val="10"/>
      <color indexed="8"/>
      <name val="Verdana"/>
      <family val="2"/>
    </font>
    <font>
      <b/>
      <u/>
      <sz val="8"/>
      <name val="Times New Roman"/>
      <family val="1"/>
    </font>
    <font>
      <b/>
      <sz val="14"/>
      <name val="Arial"/>
      <family val="2"/>
    </font>
    <font>
      <b/>
      <sz val="8"/>
      <name val="Arial"/>
      <family val="2"/>
    </font>
    <font>
      <i/>
      <sz val="10"/>
      <color indexed="17"/>
      <name val="Times New Roman"/>
      <family val="1"/>
    </font>
    <font>
      <sz val="10"/>
      <name val="Courier New CE"/>
    </font>
    <font>
      <b/>
      <sz val="11"/>
      <color indexed="56"/>
      <name val="Arial"/>
      <family val="2"/>
    </font>
    <font>
      <b/>
      <sz val="18"/>
      <color indexed="24"/>
      <name val="Arial"/>
      <family val="2"/>
    </font>
    <font>
      <b/>
      <sz val="12"/>
      <color indexed="24"/>
      <name val="Arial"/>
      <family val="2"/>
    </font>
    <font>
      <sz val="12"/>
      <color indexed="62"/>
      <name val="Arial"/>
      <family val="2"/>
    </font>
    <font>
      <i/>
      <sz val="11"/>
      <color indexed="23"/>
      <name val="Calibri"/>
      <family val="2"/>
    </font>
    <font>
      <i/>
      <sz val="12"/>
      <color indexed="23"/>
      <name val="Arial"/>
      <family val="2"/>
    </font>
    <font>
      <sz val="10"/>
      <name val="Arial CE"/>
      <family val="2"/>
      <charset val="238"/>
    </font>
    <font>
      <i/>
      <sz val="1"/>
      <color indexed="8"/>
      <name val="Courier"/>
      <family val="3"/>
    </font>
    <font>
      <sz val="1"/>
      <color indexed="8"/>
      <name val="Courier"/>
      <family val="3"/>
    </font>
    <font>
      <sz val="10"/>
      <color indexed="24"/>
      <name val="Arial"/>
      <family val="2"/>
    </font>
    <font>
      <u/>
      <sz val="10"/>
      <color indexed="36"/>
      <name val="Courier"/>
      <family val="3"/>
    </font>
    <font>
      <sz val="11"/>
      <color indexed="17"/>
      <name val="Calibri"/>
      <family val="2"/>
    </font>
    <font>
      <b/>
      <sz val="12"/>
      <name val="Arial"/>
      <family val="2"/>
    </font>
    <font>
      <b/>
      <u/>
      <sz val="10"/>
      <name val="Arial"/>
      <family val="2"/>
    </font>
    <font>
      <u/>
      <sz val="10"/>
      <name val="Arial"/>
      <family val="2"/>
    </font>
    <font>
      <b/>
      <sz val="9"/>
      <name val="Arial"/>
      <family val="2"/>
    </font>
    <font>
      <b/>
      <sz val="15"/>
      <color indexed="56"/>
      <name val="Calibri"/>
      <family val="2"/>
    </font>
    <font>
      <b/>
      <sz val="15"/>
      <color indexed="62"/>
      <name val="Arial"/>
      <family val="2"/>
    </font>
    <font>
      <b/>
      <sz val="13"/>
      <color indexed="56"/>
      <name val="Calibri"/>
      <family val="2"/>
    </font>
    <font>
      <b/>
      <sz val="13"/>
      <color indexed="62"/>
      <name val="Arial"/>
      <family val="2"/>
    </font>
    <font>
      <b/>
      <sz val="11"/>
      <color indexed="56"/>
      <name val="Calibri"/>
      <family val="2"/>
    </font>
    <font>
      <b/>
      <sz val="11"/>
      <color indexed="62"/>
      <name val="Arial"/>
      <family val="2"/>
    </font>
    <font>
      <b/>
      <sz val="11"/>
      <name val="Arial"/>
      <family val="2"/>
    </font>
    <font>
      <sz val="8"/>
      <color indexed="39"/>
      <name val="Arial"/>
      <family val="2"/>
    </font>
    <font>
      <sz val="11"/>
      <name val="Arial"/>
      <family val="2"/>
    </font>
    <font>
      <u/>
      <sz val="10"/>
      <color indexed="12"/>
      <name val="Courier"/>
      <family val="3"/>
    </font>
    <font>
      <sz val="11"/>
      <color indexed="62"/>
      <name val="Calibri"/>
      <family val="2"/>
    </font>
    <font>
      <b/>
      <sz val="9"/>
      <name val="Geneva"/>
    </font>
    <font>
      <b/>
      <sz val="10"/>
      <name val="Arial"/>
      <family val="2"/>
    </font>
    <font>
      <u/>
      <sz val="10"/>
      <color indexed="18"/>
      <name val="Arial"/>
      <family val="2"/>
    </font>
    <font>
      <u/>
      <sz val="10"/>
      <color indexed="28"/>
      <name val="Arial"/>
      <family val="2"/>
    </font>
    <font>
      <sz val="11"/>
      <color indexed="52"/>
      <name val="Calibri"/>
      <family val="2"/>
    </font>
    <font>
      <sz val="12"/>
      <color indexed="10"/>
      <name val="Arial"/>
      <family val="2"/>
    </font>
    <font>
      <sz val="10"/>
      <name val="MS Sans Serif"/>
      <family val="2"/>
    </font>
    <font>
      <sz val="10"/>
      <name val="Geneva"/>
    </font>
    <font>
      <sz val="10"/>
      <name val="Verdana"/>
      <family val="2"/>
    </font>
    <font>
      <sz val="10"/>
      <name val="Times New Roman"/>
      <family val="1"/>
    </font>
    <font>
      <sz val="12"/>
      <color indexed="12"/>
      <name val="Times New Roman"/>
      <family val="1"/>
    </font>
    <font>
      <b/>
      <sz val="12"/>
      <color indexed="8"/>
      <name val="Times New Roman"/>
      <family val="1"/>
    </font>
    <font>
      <sz val="10"/>
      <name val="Trebuchet MS"/>
      <family val="2"/>
    </font>
    <font>
      <sz val="10"/>
      <name val="Courier"/>
      <family val="3"/>
    </font>
    <font>
      <sz val="12"/>
      <color indexed="60"/>
      <name val="Arial"/>
      <family val="2"/>
    </font>
    <font>
      <b/>
      <i/>
      <sz val="16"/>
      <name val="Helv"/>
    </font>
    <font>
      <sz val="10"/>
      <color theme="1"/>
      <name val="Arial"/>
      <family val="2"/>
    </font>
    <font>
      <sz val="9"/>
      <name val="Times New Roman"/>
      <family val="1"/>
    </font>
    <font>
      <sz val="12"/>
      <name val="Arial"/>
      <family val="2"/>
    </font>
    <font>
      <sz val="8"/>
      <name val="Arial CE"/>
    </font>
    <font>
      <b/>
      <sz val="11"/>
      <color indexed="63"/>
      <name val="Calibri"/>
      <family val="2"/>
    </font>
    <font>
      <b/>
      <sz val="12"/>
      <color indexed="63"/>
      <name val="Arial"/>
      <family val="2"/>
    </font>
    <font>
      <b/>
      <i/>
      <sz val="22"/>
      <color indexed="8"/>
      <name val="Times New Roman"/>
      <family val="1"/>
    </font>
    <font>
      <i/>
      <sz val="10"/>
      <color indexed="23"/>
      <name val="Arial"/>
      <family val="2"/>
    </font>
    <font>
      <sz val="10"/>
      <color indexed="23"/>
      <name val="Arial"/>
      <family val="2"/>
    </font>
    <font>
      <i/>
      <sz val="8"/>
      <name val="Arial"/>
      <family val="2"/>
    </font>
    <font>
      <sz val="10"/>
      <color indexed="12"/>
      <name val="Trebuchet MS"/>
      <family val="2"/>
    </font>
    <font>
      <sz val="8"/>
      <color indexed="60"/>
      <name val="Arial"/>
      <family val="2"/>
    </font>
    <font>
      <sz val="8.3000000000000007"/>
      <color indexed="8"/>
      <name val="Times New Roman"/>
      <family val="1"/>
    </font>
    <font>
      <sz val="11"/>
      <color indexed="8"/>
      <name val="Arial"/>
      <family val="2"/>
    </font>
    <font>
      <sz val="10"/>
      <color indexed="9"/>
      <name val="Arial"/>
      <family val="2"/>
    </font>
    <font>
      <i/>
      <sz val="10"/>
      <color indexed="10"/>
      <name val="Futura Bk BT"/>
      <family val="2"/>
    </font>
    <font>
      <sz val="10"/>
      <name val="Futura Bk BT"/>
    </font>
    <font>
      <sz val="7"/>
      <color indexed="12"/>
      <name val="Arial"/>
      <family val="2"/>
    </font>
    <font>
      <sz val="8"/>
      <color indexed="10"/>
      <name val="Arial"/>
      <family val="2"/>
    </font>
    <font>
      <b/>
      <sz val="8"/>
      <color indexed="8"/>
      <name val="Arial"/>
      <family val="2"/>
    </font>
    <font>
      <b/>
      <i/>
      <sz val="12"/>
      <color indexed="8"/>
      <name val="Arial"/>
      <family val="2"/>
    </font>
    <font>
      <sz val="8"/>
      <color indexed="8"/>
      <name val="Arial"/>
      <family val="2"/>
    </font>
    <font>
      <i/>
      <sz val="12"/>
      <color indexed="8"/>
      <name val="Arial"/>
      <family val="2"/>
    </font>
    <font>
      <b/>
      <sz val="16"/>
      <color indexed="8"/>
      <name val="Arial"/>
      <family val="2"/>
    </font>
    <font>
      <sz val="10"/>
      <color indexed="30"/>
      <name val="Arial"/>
      <family val="2"/>
    </font>
    <font>
      <sz val="6"/>
      <name val="Arial"/>
      <family val="2"/>
    </font>
    <font>
      <b/>
      <sz val="18"/>
      <color indexed="56"/>
      <name val="Cambria"/>
      <family val="2"/>
    </font>
    <font>
      <b/>
      <sz val="18"/>
      <color indexed="62"/>
      <name val="Cambria"/>
      <family val="2"/>
    </font>
    <font>
      <b/>
      <u/>
      <sz val="12"/>
      <name val="Arial"/>
      <family val="2"/>
    </font>
    <font>
      <b/>
      <sz val="15"/>
      <color indexed="56"/>
      <name val="Arial"/>
      <family val="2"/>
    </font>
    <font>
      <b/>
      <sz val="13"/>
      <color indexed="56"/>
      <name val="Arial"/>
      <family val="2"/>
    </font>
    <font>
      <b/>
      <i/>
      <sz val="10"/>
      <name val="Arial"/>
      <family val="2"/>
    </font>
    <font>
      <sz val="10"/>
      <color indexed="32"/>
      <name val="Arial"/>
      <family val="2"/>
    </font>
    <font>
      <i/>
      <sz val="10"/>
      <name val="Times New Roman"/>
      <family val="1"/>
    </font>
    <font>
      <b/>
      <sz val="7"/>
      <color indexed="12"/>
      <name val="Arial"/>
      <family val="2"/>
    </font>
    <font>
      <sz val="12"/>
      <color indexed="14"/>
      <name val="Times New Roman"/>
      <family val="1"/>
    </font>
    <font>
      <sz val="11"/>
      <color indexed="10"/>
      <name val="Calibri"/>
      <family val="2"/>
    </font>
    <font>
      <sz val="8"/>
      <color indexed="9"/>
      <name val="Arial"/>
      <family val="2"/>
    </font>
    <font>
      <b/>
      <i/>
      <sz val="12"/>
      <color indexed="23"/>
      <name val="Arial"/>
      <family val="2"/>
    </font>
    <font>
      <sz val="10"/>
      <color rgb="FFFF0000"/>
      <name val="Arial"/>
      <family val="2"/>
    </font>
    <font>
      <i/>
      <sz val="11"/>
      <color rgb="FFFF0000"/>
      <name val="Calibri"/>
      <family val="2"/>
      <scheme val="minor"/>
    </font>
    <font>
      <sz val="10"/>
      <name val="Arial"/>
      <family val="2"/>
    </font>
    <font>
      <b/>
      <sz val="10"/>
      <color theme="1"/>
      <name val="Arial"/>
      <family val="2"/>
    </font>
    <font>
      <sz val="9"/>
      <color indexed="81"/>
      <name val="Tahoma"/>
      <family val="2"/>
    </font>
    <font>
      <b/>
      <sz val="9"/>
      <color indexed="81"/>
      <name val="Tahoma"/>
      <family val="2"/>
    </font>
    <font>
      <b/>
      <sz val="12"/>
      <color indexed="16"/>
      <name val="Times New Roman"/>
      <family val="1"/>
    </font>
    <font>
      <sz val="7"/>
      <name val="Small Fonts"/>
      <family val="2"/>
    </font>
    <font>
      <b/>
      <sz val="10"/>
      <color theme="3" tint="0.39997558519241921"/>
      <name val="Arial"/>
      <family val="2"/>
    </font>
    <font>
      <i/>
      <sz val="10"/>
      <color theme="3" tint="0.39997558519241921"/>
      <name val="Arial"/>
      <family val="2"/>
    </font>
    <font>
      <sz val="10"/>
      <color theme="3" tint="0.39997558519241921"/>
      <name val="Arial"/>
      <family val="2"/>
    </font>
    <font>
      <i/>
      <sz val="10"/>
      <name val="Arial"/>
      <family val="2"/>
    </font>
    <font>
      <sz val="11"/>
      <name val="Calibri"/>
      <family val="2"/>
    </font>
    <font>
      <b/>
      <sz val="11"/>
      <color theme="1"/>
      <name val="Calibri"/>
      <family val="2"/>
    </font>
    <font>
      <sz val="11"/>
      <color theme="1"/>
      <name val="Calibri"/>
      <family val="2"/>
    </font>
    <font>
      <b/>
      <sz val="10"/>
      <color rgb="FFFF0000"/>
      <name val="Arial"/>
      <family val="2"/>
    </font>
    <font>
      <i/>
      <sz val="10"/>
      <color rgb="FFFF0000"/>
      <name val="Arial"/>
      <family val="2"/>
    </font>
    <font>
      <b/>
      <sz val="11"/>
      <color indexed="9"/>
      <name val="Arial"/>
      <family val="2"/>
    </font>
    <font>
      <b/>
      <sz val="14"/>
      <color indexed="8"/>
      <name val="Calibri"/>
      <family val="2"/>
    </font>
    <font>
      <b/>
      <sz val="11"/>
      <color indexed="8"/>
      <name val="Calibri"/>
      <family val="2"/>
    </font>
    <font>
      <sz val="22"/>
      <color indexed="8"/>
      <name val="Calibri"/>
      <family val="2"/>
    </font>
    <font>
      <b/>
      <sz val="11"/>
      <color indexed="10"/>
      <name val="Calibri"/>
      <family val="2"/>
    </font>
    <font>
      <b/>
      <sz val="12"/>
      <name val="Calibri"/>
      <family val="2"/>
    </font>
    <font>
      <sz val="11"/>
      <color rgb="FFFF0000"/>
      <name val="Calibri"/>
      <family val="2"/>
    </font>
    <font>
      <b/>
      <sz val="11"/>
      <color indexed="12"/>
      <name val="Calibri"/>
      <family val="2"/>
    </font>
    <font>
      <b/>
      <u/>
      <sz val="11"/>
      <color indexed="8"/>
      <name val="Calibri"/>
      <family val="2"/>
    </font>
    <font>
      <sz val="11"/>
      <color indexed="12"/>
      <name val="Calibri"/>
      <family val="2"/>
    </font>
    <font>
      <b/>
      <u/>
      <sz val="11"/>
      <color indexed="10"/>
      <name val="Calibri"/>
      <family val="2"/>
    </font>
    <font>
      <sz val="8"/>
      <name val="ＭＳ Ｐゴシック"/>
      <family val="3"/>
      <charset val="128"/>
    </font>
    <font>
      <sz val="11"/>
      <name val="Calibri"/>
      <family val="2"/>
      <scheme val="minor"/>
    </font>
    <font>
      <sz val="8"/>
      <color theme="1"/>
      <name val="Calibri"/>
      <family val="2"/>
      <scheme val="minor"/>
    </font>
    <font>
      <sz val="8"/>
      <color rgb="FFFF0000"/>
      <name val="Arial"/>
      <family val="2"/>
    </font>
    <font>
      <sz val="8"/>
      <color indexed="8"/>
      <name val="Calibri"/>
      <family val="2"/>
    </font>
    <font>
      <b/>
      <sz val="10"/>
      <color theme="0"/>
      <name val="Arial"/>
      <family val="2"/>
    </font>
    <font>
      <sz val="10"/>
      <name val="Franklin Gothic Book"/>
      <family val="2"/>
    </font>
    <font>
      <sz val="10"/>
      <color rgb="FF000000"/>
      <name val="Franklin Gothic Book"/>
      <family val="2"/>
    </font>
    <font>
      <sz val="10"/>
      <color theme="1"/>
      <name val="Franklin Gothic Book"/>
      <family val="2"/>
    </font>
    <font>
      <sz val="10"/>
      <name val="Arial"/>
      <family val="2"/>
    </font>
    <font>
      <b/>
      <sz val="18"/>
      <color rgb="FF0C2D66"/>
      <name val="Franklin Gothic Book"/>
      <family val="2"/>
    </font>
    <font>
      <sz val="9"/>
      <color theme="1"/>
      <name val="Franklin Gothic Book"/>
      <family val="2"/>
    </font>
    <font>
      <sz val="14"/>
      <color rgb="FF0C2D66"/>
      <name val="Franklin Gothic Book"/>
      <family val="2"/>
    </font>
    <font>
      <b/>
      <i/>
      <sz val="11"/>
      <color rgb="FF002060"/>
      <name val="Franklin Gothic Book"/>
      <family val="2"/>
    </font>
    <font>
      <sz val="11"/>
      <color theme="1"/>
      <name val="Franklin Gothic Book"/>
      <family val="2"/>
    </font>
    <font>
      <sz val="9"/>
      <color rgb="FF000000"/>
      <name val="Arial"/>
      <family val="2"/>
    </font>
    <font>
      <b/>
      <sz val="9"/>
      <color rgb="FF1F4E78"/>
      <name val="Arial Narrow"/>
      <family val="2"/>
    </font>
    <font>
      <b/>
      <sz val="9"/>
      <color rgb="FF1F4E78"/>
      <name val="Arial"/>
      <family val="2"/>
    </font>
    <font>
      <sz val="9"/>
      <color theme="1"/>
      <name val="Arial"/>
      <family val="2"/>
    </font>
    <font>
      <sz val="9"/>
      <color theme="1"/>
      <name val="Calibri"/>
      <family val="2"/>
      <scheme val="minor"/>
    </font>
    <font>
      <b/>
      <sz val="9"/>
      <color rgb="FF002060"/>
      <name val="Arial"/>
      <family val="2"/>
    </font>
    <font>
      <b/>
      <sz val="8.5"/>
      <color rgb="FF1F4E78"/>
      <name val="Arial"/>
      <family val="2"/>
    </font>
    <font>
      <b/>
      <sz val="9"/>
      <color theme="1"/>
      <name val="Arial"/>
      <family val="2"/>
    </font>
    <font>
      <b/>
      <sz val="9"/>
      <color rgb="FF000000"/>
      <name val="Arial"/>
      <family val="2"/>
    </font>
    <font>
      <b/>
      <sz val="8.5"/>
      <color rgb="FF0C2D66"/>
      <name val="Arial"/>
      <family val="2"/>
    </font>
    <font>
      <sz val="9"/>
      <color rgb="FF0C2D66"/>
      <name val="Arial"/>
      <family val="2"/>
    </font>
    <font>
      <b/>
      <sz val="9"/>
      <color rgb="FF0C2D66"/>
      <name val="Arial"/>
      <family val="2"/>
    </font>
    <font>
      <b/>
      <sz val="9"/>
      <color rgb="FF203764"/>
      <name val="Arial"/>
      <family val="2"/>
    </font>
    <font>
      <b/>
      <sz val="8.5"/>
      <color rgb="FF203764"/>
      <name val="Arial"/>
      <family val="2"/>
    </font>
    <font>
      <b/>
      <sz val="9"/>
      <color rgb="FF000000"/>
      <name val="Arial Narrow"/>
      <family val="2"/>
    </font>
  </fonts>
  <fills count="9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D6A"/>
        <bgColor indexed="64"/>
      </patternFill>
    </fill>
    <fill>
      <patternFill patternType="solid">
        <fgColor indexed="9"/>
        <bgColor indexed="64"/>
      </patternFill>
    </fill>
    <fill>
      <patternFill patternType="solid">
        <fgColor indexed="22"/>
        <bgColor indexed="19"/>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22"/>
        <bgColor indexed="6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16"/>
        <bgColor indexed="64"/>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38"/>
      </patternFill>
    </fill>
    <fill>
      <patternFill patternType="solid">
        <fgColor indexed="13"/>
        <bgColor indexed="64"/>
      </patternFill>
    </fill>
    <fill>
      <patternFill patternType="solid">
        <fgColor indexed="43"/>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26"/>
        <bgColor indexed="34"/>
      </patternFill>
    </fill>
    <fill>
      <patternFill patternType="gray0625">
        <fgColor indexed="11"/>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9"/>
      </patternFill>
    </fill>
    <fill>
      <patternFill patternType="solid">
        <fgColor indexed="54"/>
        <bgColor indexed="64"/>
      </patternFill>
    </fill>
    <fill>
      <patternFill patternType="solid">
        <fgColor indexed="40"/>
        <bgColor indexed="64"/>
      </patternFill>
    </fill>
    <fill>
      <patternFill patternType="solid">
        <fgColor indexed="41"/>
        <bgColor indexed="64"/>
      </patternFill>
    </fill>
    <fill>
      <patternFill patternType="solid">
        <fgColor indexed="22"/>
        <bgColor indexed="40"/>
      </patternFill>
    </fill>
    <fill>
      <patternFill patternType="solid">
        <fgColor indexed="9"/>
        <bgColor indexed="19"/>
      </patternFill>
    </fill>
    <fill>
      <patternFill patternType="solid">
        <fgColor indexed="15"/>
        <bgColor indexed="64"/>
      </patternFill>
    </fill>
    <fill>
      <patternFill patternType="solid">
        <fgColor indexed="9"/>
        <bgColor indexed="43"/>
      </patternFill>
    </fill>
    <fill>
      <patternFill patternType="solid">
        <fgColor theme="0"/>
        <bgColor indexed="64"/>
      </patternFill>
    </fill>
    <fill>
      <patternFill patternType="solid">
        <fgColor rgb="FF80808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tint="-0.34998626667073579"/>
        <bgColor indexed="64"/>
      </patternFill>
    </fill>
    <fill>
      <patternFill patternType="solid">
        <fgColor rgb="FFFF9900"/>
        <bgColor rgb="FF000000"/>
      </patternFill>
    </fill>
    <fill>
      <patternFill patternType="solid">
        <fgColor rgb="FFF2F2F2"/>
        <bgColor indexed="64"/>
      </patternFill>
    </fill>
    <fill>
      <patternFill patternType="solid">
        <fgColor rgb="FFF2F2F2"/>
        <bgColor rgb="FF000000"/>
      </patternFill>
    </fill>
    <fill>
      <patternFill patternType="solid">
        <fgColor theme="4" tint="0.79998168889431442"/>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22"/>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n">
        <color indexed="22"/>
      </left>
      <right/>
      <top style="thin">
        <color indexed="22"/>
      </top>
      <bottom style="thin">
        <color indexed="22"/>
      </bottom>
      <diagonal/>
    </border>
    <border>
      <left/>
      <right/>
      <top style="thin">
        <color indexed="64"/>
      </top>
      <bottom style="medium">
        <color indexed="64"/>
      </bottom>
      <diagonal/>
    </border>
    <border>
      <left style="thin">
        <color indexed="8"/>
      </left>
      <right style="thin">
        <color indexed="8"/>
      </right>
      <top/>
      <bottom/>
      <diagonal/>
    </border>
    <border>
      <left/>
      <right/>
      <top style="thin">
        <color indexed="64"/>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3"/>
      </top>
      <bottom style="hair">
        <color indexed="63"/>
      </bottom>
      <diagonal/>
    </border>
    <border>
      <left style="thick">
        <color indexed="9"/>
      </left>
      <right/>
      <top style="hair">
        <color indexed="63"/>
      </top>
      <bottom style="hair">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top/>
      <bottom style="double">
        <color indexed="10"/>
      </bottom>
      <diagonal/>
    </border>
    <border>
      <left style="thin">
        <color indexed="8"/>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double">
        <color indexed="10"/>
      </left>
      <right style="double">
        <color indexed="10"/>
      </right>
      <top style="double">
        <color indexed="10"/>
      </top>
      <bottom style="double">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ck">
        <color indexed="9"/>
      </left>
      <right/>
      <top style="thin">
        <color indexed="63"/>
      </top>
      <bottom style="hair">
        <color indexed="63"/>
      </bottom>
      <diagonal/>
    </border>
    <border>
      <left/>
      <right/>
      <top/>
      <bottom style="medium">
        <color indexed="24"/>
      </bottom>
      <diagonal/>
    </border>
    <border>
      <left style="thick">
        <color indexed="9"/>
      </left>
      <right style="thick">
        <color indexed="9"/>
      </right>
      <top style="thin">
        <color indexed="48"/>
      </top>
      <bottom style="thin">
        <color indexed="48"/>
      </bottom>
      <diagonal/>
    </border>
    <border>
      <left style="thin">
        <color indexed="10"/>
      </left>
      <right style="thin">
        <color indexed="10"/>
      </right>
      <top style="thin">
        <color indexed="10"/>
      </top>
      <bottom style="thin">
        <color indexed="10"/>
      </bottom>
      <diagonal/>
    </border>
    <border>
      <left/>
      <right/>
      <top style="thin">
        <color indexed="62"/>
      </top>
      <bottom style="double">
        <color indexed="62"/>
      </bottom>
      <diagonal/>
    </border>
    <border>
      <left style="thick">
        <color indexed="22"/>
      </left>
      <right style="thick">
        <color indexed="22"/>
      </right>
      <top style="thick">
        <color indexed="22"/>
      </top>
      <bottom style="thick">
        <color indexed="22"/>
      </bottom>
      <diagonal/>
    </border>
    <border>
      <left/>
      <right/>
      <top style="thin">
        <color indexed="64"/>
      </top>
      <bottom style="double">
        <color indexed="64"/>
      </bottom>
      <diagonal/>
    </border>
    <border>
      <left style="thick">
        <color indexed="22"/>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bottom style="medium">
        <color indexed="64"/>
      </bottom>
      <diagonal/>
    </border>
    <border>
      <left/>
      <right/>
      <top/>
      <bottom style="dotted">
        <color indexed="64"/>
      </bottom>
      <diagonal/>
    </border>
    <border>
      <left/>
      <right/>
      <top/>
      <bottom style="medium">
        <color rgb="FF002060"/>
      </bottom>
      <diagonal/>
    </border>
    <border>
      <left/>
      <right/>
      <top/>
      <bottom style="thick">
        <color rgb="FF000000"/>
      </bottom>
      <diagonal/>
    </border>
    <border>
      <left/>
      <right/>
      <top style="dotted">
        <color rgb="FF002060"/>
      </top>
      <bottom style="thick">
        <color rgb="FF000000"/>
      </bottom>
      <diagonal/>
    </border>
    <border>
      <left/>
      <right/>
      <top style="thick">
        <color rgb="FF000000"/>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bottom style="thick">
        <color indexed="64"/>
      </bottom>
      <diagonal/>
    </border>
    <border>
      <left/>
      <right/>
      <top style="medium">
        <color indexed="64"/>
      </top>
      <bottom style="thick">
        <color indexed="64"/>
      </bottom>
      <diagonal/>
    </border>
    <border>
      <left/>
      <right/>
      <top style="dotted">
        <color indexed="64"/>
      </top>
      <bottom style="thick">
        <color indexed="64"/>
      </bottom>
      <diagonal/>
    </border>
    <border>
      <left/>
      <right/>
      <top/>
      <bottom style="medium">
        <color rgb="FF000000"/>
      </bottom>
      <diagonal/>
    </border>
    <border>
      <left/>
      <right/>
      <top/>
      <bottom style="dotted">
        <color rgb="FF000000"/>
      </bottom>
      <diagonal/>
    </border>
  </borders>
  <cellStyleXfs count="1356">
    <xf numFmtId="0" fontId="0" fillId="0" borderId="0"/>
    <xf numFmtId="9" fontId="109" fillId="0" borderId="0" applyFont="0" applyFill="0" applyBorder="0" applyAlignment="0" applyProtection="0"/>
    <xf numFmtId="0" fontId="106" fillId="0" borderId="0"/>
    <xf numFmtId="0" fontId="109" fillId="0" borderId="0"/>
    <xf numFmtId="0" fontId="109" fillId="0" borderId="0"/>
    <xf numFmtId="0" fontId="109" fillId="0" borderId="0" applyNumberFormat="0" applyFont="0" applyFill="0" applyBorder="0" applyAlignment="0" applyProtection="0"/>
    <xf numFmtId="3" fontId="114" fillId="35" borderId="0">
      <alignment horizontal="left"/>
    </xf>
    <xf numFmtId="0" fontId="106" fillId="36" borderId="0" applyNumberFormat="0" applyBorder="0" applyAlignment="0" applyProtection="0"/>
    <xf numFmtId="0" fontId="114" fillId="37" borderId="0" applyNumberFormat="0" applyBorder="0" applyAlignment="0" applyProtection="0"/>
    <xf numFmtId="0" fontId="106" fillId="36" borderId="0" applyNumberFormat="0" applyBorder="0" applyAlignment="0" applyProtection="0"/>
    <xf numFmtId="0" fontId="106" fillId="36" borderId="0" applyNumberFormat="0" applyBorder="0" applyAlignment="0" applyProtection="0"/>
    <xf numFmtId="0" fontId="106" fillId="38" borderId="0" applyNumberFormat="0" applyBorder="0" applyAlignment="0" applyProtection="0"/>
    <xf numFmtId="0" fontId="114" fillId="39" borderId="0" applyNumberFormat="0" applyBorder="0" applyAlignment="0" applyProtection="0"/>
    <xf numFmtId="0" fontId="106" fillId="38" borderId="0" applyNumberFormat="0" applyBorder="0" applyAlignment="0" applyProtection="0"/>
    <xf numFmtId="0" fontId="106" fillId="38" borderId="0" applyNumberFormat="0" applyBorder="0" applyAlignment="0" applyProtection="0"/>
    <xf numFmtId="0" fontId="106" fillId="40" borderId="0" applyNumberFormat="0" applyBorder="0" applyAlignment="0" applyProtection="0"/>
    <xf numFmtId="0" fontId="114" fillId="41" borderId="0" applyNumberFormat="0" applyBorder="0" applyAlignment="0" applyProtection="0"/>
    <xf numFmtId="0" fontId="106" fillId="40" borderId="0" applyNumberFormat="0" applyBorder="0" applyAlignment="0" applyProtection="0"/>
    <xf numFmtId="0" fontId="106" fillId="40" borderId="0" applyNumberFormat="0" applyBorder="0" applyAlignment="0" applyProtection="0"/>
    <xf numFmtId="0" fontId="106" fillId="42" borderId="0" applyNumberFormat="0" applyBorder="0" applyAlignment="0" applyProtection="0"/>
    <xf numFmtId="0" fontId="114" fillId="43" borderId="0" applyNumberFormat="0" applyBorder="0" applyAlignment="0" applyProtection="0"/>
    <xf numFmtId="0" fontId="106" fillId="42" borderId="0" applyNumberFormat="0" applyBorder="0" applyAlignment="0" applyProtection="0"/>
    <xf numFmtId="0" fontId="106" fillId="42" borderId="0" applyNumberFormat="0" applyBorder="0" applyAlignment="0" applyProtection="0"/>
    <xf numFmtId="0" fontId="106" fillId="44" borderId="0" applyNumberFormat="0" applyBorder="0" applyAlignment="0" applyProtection="0"/>
    <xf numFmtId="0" fontId="114" fillId="44" borderId="0" applyNumberFormat="0" applyBorder="0" applyAlignment="0" applyProtection="0"/>
    <xf numFmtId="0" fontId="106" fillId="44" borderId="0" applyNumberFormat="0" applyBorder="0" applyAlignment="0" applyProtection="0"/>
    <xf numFmtId="0" fontId="106" fillId="44" borderId="0" applyNumberFormat="0" applyBorder="0" applyAlignment="0" applyProtection="0"/>
    <xf numFmtId="0" fontId="106" fillId="43" borderId="0" applyNumberFormat="0" applyBorder="0" applyAlignment="0" applyProtection="0"/>
    <xf numFmtId="0" fontId="114" fillId="41" borderId="0" applyNumberFormat="0" applyBorder="0" applyAlignment="0" applyProtection="0"/>
    <xf numFmtId="0" fontId="106" fillId="43" borderId="0" applyNumberFormat="0" applyBorder="0" applyAlignment="0" applyProtection="0"/>
    <xf numFmtId="0" fontId="106" fillId="43"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114" fillId="36" borderId="0" applyNumberFormat="0" applyBorder="0" applyAlignment="0" applyProtection="0"/>
    <xf numFmtId="0" fontId="114" fillId="36"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114" fillId="40" borderId="0" applyNumberFormat="0" applyBorder="0" applyAlignment="0" applyProtection="0"/>
    <xf numFmtId="0" fontId="114" fillId="40"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114" fillId="44" borderId="0" applyNumberFormat="0" applyBorder="0" applyAlignment="0" applyProtection="0"/>
    <xf numFmtId="0" fontId="114" fillId="44"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3" fontId="107" fillId="45" borderId="0"/>
    <xf numFmtId="0" fontId="106" fillId="37" borderId="0" applyNumberFormat="0" applyBorder="0" applyAlignment="0" applyProtection="0"/>
    <xf numFmtId="0" fontId="114" fillId="44" borderId="0" applyNumberFormat="0" applyBorder="0" applyAlignment="0" applyProtection="0"/>
    <xf numFmtId="0" fontId="106" fillId="37" borderId="0" applyNumberFormat="0" applyBorder="0" applyAlignment="0" applyProtection="0"/>
    <xf numFmtId="0" fontId="106" fillId="37" borderId="0" applyNumberFormat="0" applyBorder="0" applyAlignment="0" applyProtection="0"/>
    <xf numFmtId="0" fontId="106" fillId="39" borderId="0" applyNumberFormat="0" applyBorder="0" applyAlignment="0" applyProtection="0"/>
    <xf numFmtId="0" fontId="114" fillId="39" borderId="0" applyNumberFormat="0" applyBorder="0" applyAlignment="0" applyProtection="0"/>
    <xf numFmtId="0" fontId="106" fillId="39" borderId="0" applyNumberFormat="0" applyBorder="0" applyAlignment="0" applyProtection="0"/>
    <xf numFmtId="0" fontId="106" fillId="39" borderId="0" applyNumberFormat="0" applyBorder="0" applyAlignment="0" applyProtection="0"/>
    <xf numFmtId="0" fontId="106" fillId="46" borderId="0" applyNumberFormat="0" applyBorder="0" applyAlignment="0" applyProtection="0"/>
    <xf numFmtId="0" fontId="114" fillId="47" borderId="0" applyNumberFormat="0" applyBorder="0" applyAlignment="0" applyProtection="0"/>
    <xf numFmtId="0" fontId="106" fillId="46" borderId="0" applyNumberFormat="0" applyBorder="0" applyAlignment="0" applyProtection="0"/>
    <xf numFmtId="0" fontId="106" fillId="46" borderId="0" applyNumberFormat="0" applyBorder="0" applyAlignment="0" applyProtection="0"/>
    <xf numFmtId="0" fontId="106" fillId="42" borderId="0" applyNumberFormat="0" applyBorder="0" applyAlignment="0" applyProtection="0"/>
    <xf numFmtId="0" fontId="114" fillId="38" borderId="0" applyNumberFormat="0" applyBorder="0" applyAlignment="0" applyProtection="0"/>
    <xf numFmtId="0" fontId="106" fillId="42" borderId="0" applyNumberFormat="0" applyBorder="0" applyAlignment="0" applyProtection="0"/>
    <xf numFmtId="0" fontId="106" fillId="42" borderId="0" applyNumberFormat="0" applyBorder="0" applyAlignment="0" applyProtection="0"/>
    <xf numFmtId="0" fontId="106" fillId="37" borderId="0" applyNumberFormat="0" applyBorder="0" applyAlignment="0" applyProtection="0"/>
    <xf numFmtId="0" fontId="114" fillId="44" borderId="0" applyNumberFormat="0" applyBorder="0" applyAlignment="0" applyProtection="0"/>
    <xf numFmtId="0" fontId="106" fillId="37" borderId="0" applyNumberFormat="0" applyBorder="0" applyAlignment="0" applyProtection="0"/>
    <xf numFmtId="0" fontId="106" fillId="37" borderId="0" applyNumberFormat="0" applyBorder="0" applyAlignment="0" applyProtection="0"/>
    <xf numFmtId="0" fontId="106" fillId="48" borderId="0" applyNumberFormat="0" applyBorder="0" applyAlignment="0" applyProtection="0"/>
    <xf numFmtId="0" fontId="114" fillId="41" borderId="0" applyNumberFormat="0" applyBorder="0" applyAlignment="0" applyProtection="0"/>
    <xf numFmtId="0" fontId="106" fillId="48" borderId="0" applyNumberFormat="0" applyBorder="0" applyAlignment="0" applyProtection="0"/>
    <xf numFmtId="0" fontId="106" fillId="48"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114" fillId="37" borderId="0" applyNumberFormat="0" applyBorder="0" applyAlignment="0" applyProtection="0"/>
    <xf numFmtId="0" fontId="114" fillId="37"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114" fillId="37" borderId="0" applyNumberFormat="0" applyBorder="0" applyAlignment="0" applyProtection="0"/>
    <xf numFmtId="0" fontId="114" fillId="37"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114" fillId="48" borderId="0" applyNumberFormat="0" applyBorder="0" applyAlignment="0" applyProtection="0"/>
    <xf numFmtId="0" fontId="114" fillId="48" borderId="0" applyNumberFormat="0" applyBorder="0" applyAlignment="0" applyProtection="0"/>
    <xf numFmtId="0" fontId="115" fillId="49" borderId="0" applyNumberFormat="0" applyBorder="0" applyAlignment="0" applyProtection="0"/>
    <xf numFmtId="0" fontId="116" fillId="44" borderId="0" applyNumberFormat="0" applyBorder="0" applyAlignment="0" applyProtection="0"/>
    <xf numFmtId="0" fontId="115" fillId="49" borderId="0" applyNumberFormat="0" applyBorder="0" applyAlignment="0" applyProtection="0"/>
    <xf numFmtId="0" fontId="115" fillId="39" borderId="0" applyNumberFormat="0" applyBorder="0" applyAlignment="0" applyProtection="0"/>
    <xf numFmtId="0" fontId="116" fillId="50" borderId="0" applyNumberFormat="0" applyBorder="0" applyAlignment="0" applyProtection="0"/>
    <xf numFmtId="0" fontId="115" fillId="39" borderId="0" applyNumberFormat="0" applyBorder="0" applyAlignment="0" applyProtection="0"/>
    <xf numFmtId="0" fontId="115" fillId="46" borderId="0" applyNumberFormat="0" applyBorder="0" applyAlignment="0" applyProtection="0"/>
    <xf numFmtId="0" fontId="116" fillId="48" borderId="0" applyNumberFormat="0" applyBorder="0" applyAlignment="0" applyProtection="0"/>
    <xf numFmtId="0" fontId="115" fillId="46" borderId="0" applyNumberFormat="0" applyBorder="0" applyAlignment="0" applyProtection="0"/>
    <xf numFmtId="0" fontId="115" fillId="51" borderId="0" applyNumberFormat="0" applyBorder="0" applyAlignment="0" applyProtection="0"/>
    <xf numFmtId="0" fontId="116" fillId="38" borderId="0" applyNumberFormat="0" applyBorder="0" applyAlignment="0" applyProtection="0"/>
    <xf numFmtId="0" fontId="115" fillId="51" borderId="0" applyNumberFormat="0" applyBorder="0" applyAlignment="0" applyProtection="0"/>
    <xf numFmtId="0" fontId="115" fillId="52" borderId="0" applyNumberFormat="0" applyBorder="0" applyAlignment="0" applyProtection="0"/>
    <xf numFmtId="0" fontId="116" fillId="44" borderId="0" applyNumberFormat="0" applyBorder="0" applyAlignment="0" applyProtection="0"/>
    <xf numFmtId="0" fontId="115" fillId="52" borderId="0" applyNumberFormat="0" applyBorder="0" applyAlignment="0" applyProtection="0"/>
    <xf numFmtId="0" fontId="115" fillId="53" borderId="0" applyNumberFormat="0" applyBorder="0" applyAlignment="0" applyProtection="0"/>
    <xf numFmtId="0" fontId="116" fillId="39" borderId="0" applyNumberFormat="0" applyBorder="0" applyAlignment="0" applyProtection="0"/>
    <xf numFmtId="0" fontId="115" fillId="53" borderId="0" applyNumberFormat="0" applyBorder="0" applyAlignment="0" applyProtection="0"/>
    <xf numFmtId="0" fontId="105" fillId="12" borderId="0" applyNumberFormat="0" applyBorder="0" applyAlignment="0" applyProtection="0"/>
    <xf numFmtId="0" fontId="116" fillId="49" borderId="0" applyNumberFormat="0" applyBorder="0" applyAlignment="0" applyProtection="0"/>
    <xf numFmtId="0" fontId="116" fillId="49" borderId="0" applyNumberFormat="0" applyBorder="0" applyAlignment="0" applyProtection="0"/>
    <xf numFmtId="0" fontId="105" fillId="16"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105" fillId="20"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05" fillId="24" borderId="0" applyNumberFormat="0" applyBorder="0" applyAlignment="0" applyProtection="0"/>
    <xf numFmtId="0" fontId="116" fillId="51" borderId="0" applyNumberFormat="0" applyBorder="0" applyAlignment="0" applyProtection="0"/>
    <xf numFmtId="0" fontId="116" fillId="51" borderId="0" applyNumberFormat="0" applyBorder="0" applyAlignment="0" applyProtection="0"/>
    <xf numFmtId="0" fontId="105" fillId="28" borderId="0" applyNumberFormat="0" applyBorder="0" applyAlignment="0" applyProtection="0"/>
    <xf numFmtId="0" fontId="116" fillId="52" borderId="0" applyNumberFormat="0" applyBorder="0" applyAlignment="0" applyProtection="0"/>
    <xf numFmtId="0" fontId="116" fillId="52" borderId="0" applyNumberFormat="0" applyBorder="0" applyAlignment="0" applyProtection="0"/>
    <xf numFmtId="0" fontId="105" fillId="32" borderId="0" applyNumberFormat="0" applyBorder="0" applyAlignment="0" applyProtection="0"/>
    <xf numFmtId="0" fontId="116" fillId="53" borderId="0" applyNumberFormat="0" applyBorder="0" applyAlignment="0" applyProtection="0"/>
    <xf numFmtId="0" fontId="116" fillId="53" borderId="0" applyNumberFormat="0" applyBorder="0" applyAlignment="0" applyProtection="0"/>
    <xf numFmtId="0" fontId="117" fillId="54" borderId="14">
      <alignment horizontal="center"/>
    </xf>
    <xf numFmtId="0" fontId="108" fillId="45" borderId="0"/>
    <xf numFmtId="0" fontId="108" fillId="45" borderId="0"/>
    <xf numFmtId="0" fontId="108" fillId="45" borderId="0"/>
    <xf numFmtId="0" fontId="118" fillId="45" borderId="0">
      <alignment horizontal="center"/>
    </xf>
    <xf numFmtId="0" fontId="119" fillId="45" borderId="0">
      <alignment horizontal="left"/>
    </xf>
    <xf numFmtId="0" fontId="115" fillId="55" borderId="0" applyNumberFormat="0" applyBorder="0" applyAlignment="0" applyProtection="0"/>
    <xf numFmtId="0" fontId="116" fillId="56" borderId="0" applyNumberFormat="0" applyBorder="0" applyAlignment="0" applyProtection="0"/>
    <xf numFmtId="0" fontId="115" fillId="55" borderId="0" applyNumberFormat="0" applyBorder="0" applyAlignment="0" applyProtection="0"/>
    <xf numFmtId="0" fontId="115" fillId="57" borderId="0" applyNumberFormat="0" applyBorder="0" applyAlignment="0" applyProtection="0"/>
    <xf numFmtId="0" fontId="116" fillId="50" borderId="0" applyNumberFormat="0" applyBorder="0" applyAlignment="0" applyProtection="0"/>
    <xf numFmtId="0" fontId="115" fillId="57" borderId="0" applyNumberFormat="0" applyBorder="0" applyAlignment="0" applyProtection="0"/>
    <xf numFmtId="0" fontId="115" fillId="58" borderId="0" applyNumberFormat="0" applyBorder="0" applyAlignment="0" applyProtection="0"/>
    <xf numFmtId="0" fontId="116" fillId="48" borderId="0" applyNumberFormat="0" applyBorder="0" applyAlignment="0" applyProtection="0"/>
    <xf numFmtId="0" fontId="115" fillId="58" borderId="0" applyNumberFormat="0" applyBorder="0" applyAlignment="0" applyProtection="0"/>
    <xf numFmtId="0" fontId="115" fillId="51" borderId="0" applyNumberFormat="0" applyBorder="0" applyAlignment="0" applyProtection="0"/>
    <xf numFmtId="0" fontId="116" fillId="59" borderId="0" applyNumberFormat="0" applyBorder="0" applyAlignment="0" applyProtection="0"/>
    <xf numFmtId="0" fontId="115" fillId="51" borderId="0" applyNumberFormat="0" applyBorder="0" applyAlignment="0" applyProtection="0"/>
    <xf numFmtId="0" fontId="115" fillId="52" borderId="0" applyNumberFormat="0" applyBorder="0" applyAlignment="0" applyProtection="0"/>
    <xf numFmtId="0" fontId="116" fillId="52" borderId="0" applyNumberFormat="0" applyBorder="0" applyAlignment="0" applyProtection="0"/>
    <xf numFmtId="0" fontId="115" fillId="52" borderId="0" applyNumberFormat="0" applyBorder="0" applyAlignment="0" applyProtection="0"/>
    <xf numFmtId="0" fontId="115" fillId="50" borderId="0" applyNumberFormat="0" applyBorder="0" applyAlignment="0" applyProtection="0"/>
    <xf numFmtId="0" fontId="116" fillId="57" borderId="0" applyNumberFormat="0" applyBorder="0" applyAlignment="0" applyProtection="0"/>
    <xf numFmtId="0" fontId="115" fillId="50" borderId="0" applyNumberFormat="0" applyBorder="0" applyAlignment="0" applyProtection="0"/>
    <xf numFmtId="37" fontId="109" fillId="34" borderId="15" applyFill="0" applyBorder="0" applyAlignment="0" applyProtection="0"/>
    <xf numFmtId="37" fontId="109" fillId="34" borderId="15" applyFill="0" applyBorder="0" applyAlignment="0" applyProtection="0"/>
    <xf numFmtId="170" fontId="120" fillId="0" borderId="0" applyFont="0" applyFill="0" applyBorder="0" applyAlignment="0" applyProtection="0"/>
    <xf numFmtId="171" fontId="120" fillId="0" borderId="0" applyFont="0" applyFill="0" applyBorder="0" applyAlignment="0" applyProtection="0"/>
    <xf numFmtId="172" fontId="109" fillId="0" borderId="0" applyFont="0" applyFill="0" applyBorder="0" applyAlignment="0" applyProtection="0"/>
    <xf numFmtId="173" fontId="121" fillId="0" borderId="0" applyFill="0" applyBorder="0" applyProtection="0">
      <alignment horizontal="right"/>
    </xf>
    <xf numFmtId="173" fontId="121" fillId="0" borderId="0" applyFill="0" applyBorder="0" applyProtection="0">
      <alignment horizontal="right"/>
    </xf>
    <xf numFmtId="0" fontId="109" fillId="0" borderId="0" applyNumberFormat="0" applyFill="0" applyBorder="0" applyAlignment="0" applyProtection="0"/>
    <xf numFmtId="3" fontId="122" fillId="60" borderId="14" applyNumberFormat="0">
      <alignment horizontal="center"/>
    </xf>
    <xf numFmtId="0" fontId="123" fillId="61" borderId="0"/>
    <xf numFmtId="0" fontId="124" fillId="38" borderId="0" applyNumberFormat="0" applyBorder="0" applyAlignment="0" applyProtection="0"/>
    <xf numFmtId="0" fontId="125" fillId="42" borderId="0" applyNumberFormat="0" applyBorder="0" applyAlignment="0" applyProtection="0"/>
    <xf numFmtId="0" fontId="124" fillId="38" borderId="0" applyNumberFormat="0" applyBorder="0" applyAlignment="0" applyProtection="0"/>
    <xf numFmtId="39" fontId="126" fillId="62" borderId="0" applyNumberFormat="0" applyFill="0" applyBorder="0" applyAlignment="0" applyProtection="0">
      <alignment horizontal="center"/>
    </xf>
    <xf numFmtId="174" fontId="127" fillId="63" borderId="0" applyNumberFormat="0" applyFill="0" applyBorder="0" applyAlignment="0" applyProtection="0">
      <alignment horizontal="center"/>
    </xf>
    <xf numFmtId="175" fontId="128" fillId="0" borderId="16" applyAlignment="0" applyProtection="0"/>
    <xf numFmtId="0" fontId="129" fillId="0" borderId="17" applyFill="0" applyProtection="0">
      <alignment horizontal="right"/>
    </xf>
    <xf numFmtId="0" fontId="94" fillId="2" borderId="0" applyNumberFormat="0" applyBorder="0" applyAlignment="0" applyProtection="0"/>
    <xf numFmtId="0" fontId="130" fillId="40" borderId="0" applyNumberFormat="0" applyBorder="0" applyAlignment="0" applyProtection="0"/>
    <xf numFmtId="0" fontId="130" fillId="40" borderId="0" applyNumberFormat="0" applyBorder="0" applyAlignment="0" applyProtection="0"/>
    <xf numFmtId="39" fontId="131" fillId="0" borderId="0" applyFill="0" applyBorder="0" applyAlignment="0"/>
    <xf numFmtId="0" fontId="132" fillId="64" borderId="18" applyNumberFormat="0" applyAlignment="0" applyProtection="0"/>
    <xf numFmtId="0" fontId="133" fillId="65" borderId="18" applyNumberFormat="0" applyAlignment="0" applyProtection="0"/>
    <xf numFmtId="0" fontId="133" fillId="65" borderId="18" applyNumberFormat="0" applyAlignment="0" applyProtection="0"/>
    <xf numFmtId="0" fontId="132" fillId="64" borderId="18" applyNumberFormat="0" applyAlignment="0" applyProtection="0"/>
    <xf numFmtId="0" fontId="99" fillId="6" borderId="4" applyNumberFormat="0" applyAlignment="0" applyProtection="0"/>
    <xf numFmtId="0" fontId="134" fillId="64" borderId="18" applyNumberFormat="0" applyAlignment="0" applyProtection="0"/>
    <xf numFmtId="0" fontId="134" fillId="64" borderId="18" applyNumberFormat="0" applyAlignment="0" applyProtection="0"/>
    <xf numFmtId="0" fontId="135" fillId="0" borderId="0"/>
    <xf numFmtId="0" fontId="136" fillId="0" borderId="0" applyFont="0" applyFill="0" applyBorder="0" applyAlignment="0" applyProtection="0"/>
    <xf numFmtId="0" fontId="136" fillId="0" borderId="0" applyFont="0" applyFill="0" applyBorder="0" applyAlignment="0" applyProtection="0"/>
    <xf numFmtId="0" fontId="101" fillId="7" borderId="7" applyNumberFormat="0" applyAlignment="0" applyProtection="0"/>
    <xf numFmtId="0" fontId="137" fillId="66" borderId="19" applyNumberFormat="0" applyAlignment="0" applyProtection="0"/>
    <xf numFmtId="0" fontId="137" fillId="66" borderId="19" applyNumberFormat="0" applyAlignment="0" applyProtection="0"/>
    <xf numFmtId="0" fontId="100" fillId="0" borderId="6" applyNumberFormat="0" applyFill="0" applyAlignment="0" applyProtection="0"/>
    <xf numFmtId="0" fontId="138" fillId="0" borderId="20" applyNumberFormat="0" applyFill="0" applyAlignment="0" applyProtection="0"/>
    <xf numFmtId="0" fontId="138" fillId="0" borderId="20" applyNumberFormat="0" applyFill="0" applyAlignment="0" applyProtection="0"/>
    <xf numFmtId="176" fontId="109" fillId="0" borderId="21" applyFont="0" applyFill="0" applyBorder="0" applyProtection="0">
      <alignment horizontal="right"/>
    </xf>
    <xf numFmtId="0" fontId="139" fillId="66" borderId="19" applyNumberFormat="0" applyAlignment="0" applyProtection="0"/>
    <xf numFmtId="0" fontId="137" fillId="66" borderId="19" applyNumberFormat="0" applyAlignment="0" applyProtection="0"/>
    <xf numFmtId="0" fontId="139" fillId="66" borderId="19" applyNumberFormat="0" applyAlignment="0" applyProtection="0"/>
    <xf numFmtId="1" fontId="140" fillId="67" borderId="22">
      <alignment horizontal="right" vertical="center"/>
    </xf>
    <xf numFmtId="40" fontId="109" fillId="0" borderId="0" applyFont="0" applyFill="0" applyBorder="0" applyProtection="0">
      <alignment horizontal="right"/>
    </xf>
    <xf numFmtId="3" fontId="141" fillId="0" borderId="0" applyFont="0" applyFill="0" applyBorder="0" applyAlignment="0" applyProtection="0"/>
    <xf numFmtId="0" fontId="142" fillId="0" borderId="0" applyFill="0" applyBorder="0" applyAlignment="0" applyProtection="0">
      <protection locked="0"/>
    </xf>
    <xf numFmtId="37" fontId="109" fillId="45" borderId="15" applyFill="0" applyBorder="0" applyAlignment="0" applyProtection="0"/>
    <xf numFmtId="37" fontId="109" fillId="45" borderId="15" applyFill="0" applyBorder="0" applyAlignment="0" applyProtection="0"/>
    <xf numFmtId="178" fontId="121" fillId="0" borderId="23" applyFont="0" applyFill="0" applyBorder="0" applyAlignment="0" applyProtection="0"/>
    <xf numFmtId="179" fontId="121" fillId="0" borderId="0" applyFont="0" applyFill="0" applyBorder="0" applyAlignment="0"/>
    <xf numFmtId="179" fontId="121" fillId="0" borderId="0" applyFont="0" applyFill="0" applyBorder="0" applyAlignment="0"/>
    <xf numFmtId="176" fontId="109" fillId="0" borderId="24">
      <protection locked="0"/>
    </xf>
    <xf numFmtId="0" fontId="141" fillId="0" borderId="0" applyFont="0" applyFill="0" applyBorder="0" applyAlignment="0" applyProtection="0"/>
    <xf numFmtId="14" fontId="143" fillId="63" borderId="25" applyFill="0" applyBorder="0">
      <alignment horizontal="right"/>
    </xf>
    <xf numFmtId="22" fontId="144" fillId="0" borderId="0">
      <alignment horizontal="left"/>
    </xf>
    <xf numFmtId="15" fontId="143" fillId="0" borderId="0" applyFill="0" applyBorder="0" applyAlignment="0"/>
    <xf numFmtId="174" fontId="143" fillId="68" borderId="0" applyFont="0" applyFill="0" applyBorder="0" applyAlignment="0" applyProtection="0"/>
    <xf numFmtId="180" fontId="127" fillId="68" borderId="26" applyFont="0" applyFill="0" applyBorder="0" applyAlignment="0" applyProtection="0"/>
    <xf numFmtId="180" fontId="121" fillId="68" borderId="0" applyFont="0" applyFill="0" applyBorder="0" applyAlignment="0" applyProtection="0"/>
    <xf numFmtId="17" fontId="143" fillId="0" borderId="0" applyFill="0" applyBorder="0">
      <alignment horizontal="right"/>
    </xf>
    <xf numFmtId="181" fontId="143" fillId="0" borderId="27"/>
    <xf numFmtId="14" fontId="143" fillId="63" borderId="25" applyFill="0" applyBorder="0">
      <alignment horizontal="right"/>
    </xf>
    <xf numFmtId="180" fontId="143" fillId="0" borderId="0" applyFill="0" applyBorder="0">
      <alignment horizontal="right"/>
    </xf>
    <xf numFmtId="179" fontId="109" fillId="0" borderId="28">
      <alignment horizontal="center"/>
    </xf>
    <xf numFmtId="0" fontId="145" fillId="0" borderId="0" applyFont="0" applyFill="0" applyBorder="0" applyAlignment="0" applyProtection="0"/>
    <xf numFmtId="0" fontId="109" fillId="0" borderId="0" applyFont="0" applyFill="0" applyBorder="0" applyAlignment="0" applyProtection="0"/>
    <xf numFmtId="0" fontId="109" fillId="0" borderId="0" applyFont="0" applyFill="0" applyBorder="0" applyAlignment="0" applyProtection="0"/>
    <xf numFmtId="182" fontId="121" fillId="0" borderId="0"/>
    <xf numFmtId="182" fontId="121" fillId="0" borderId="0"/>
    <xf numFmtId="0" fontId="93"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05" fillId="9" borderId="0" applyNumberFormat="0" applyBorder="0" applyAlignment="0" applyProtection="0"/>
    <xf numFmtId="0" fontId="116" fillId="55" borderId="0" applyNumberFormat="0" applyBorder="0" applyAlignment="0" applyProtection="0"/>
    <xf numFmtId="0" fontId="116" fillId="55" borderId="0" applyNumberFormat="0" applyBorder="0" applyAlignment="0" applyProtection="0"/>
    <xf numFmtId="0" fontId="105" fillId="13" borderId="0" applyNumberFormat="0" applyBorder="0" applyAlignment="0" applyProtection="0"/>
    <xf numFmtId="0" fontId="116" fillId="57" borderId="0" applyNumberFormat="0" applyBorder="0" applyAlignment="0" applyProtection="0"/>
    <xf numFmtId="0" fontId="116" fillId="57" borderId="0" applyNumberFormat="0" applyBorder="0" applyAlignment="0" applyProtection="0"/>
    <xf numFmtId="0" fontId="105" fillId="17" borderId="0" applyNumberFormat="0" applyBorder="0" applyAlignment="0" applyProtection="0"/>
    <xf numFmtId="0" fontId="116" fillId="58" borderId="0" applyNumberFormat="0" applyBorder="0" applyAlignment="0" applyProtection="0"/>
    <xf numFmtId="0" fontId="116" fillId="58" borderId="0" applyNumberFormat="0" applyBorder="0" applyAlignment="0" applyProtection="0"/>
    <xf numFmtId="0" fontId="105" fillId="21" borderId="0" applyNumberFormat="0" applyBorder="0" applyAlignment="0" applyProtection="0"/>
    <xf numFmtId="0" fontId="116" fillId="51" borderId="0" applyNumberFormat="0" applyBorder="0" applyAlignment="0" applyProtection="0"/>
    <xf numFmtId="0" fontId="116" fillId="51" borderId="0" applyNumberFormat="0" applyBorder="0" applyAlignment="0" applyProtection="0"/>
    <xf numFmtId="0" fontId="105" fillId="25" borderId="0" applyNumberFormat="0" applyBorder="0" applyAlignment="0" applyProtection="0"/>
    <xf numFmtId="0" fontId="116" fillId="52" borderId="0" applyNumberFormat="0" applyBorder="0" applyAlignment="0" applyProtection="0"/>
    <xf numFmtId="0" fontId="116" fillId="52" borderId="0" applyNumberFormat="0" applyBorder="0" applyAlignment="0" applyProtection="0"/>
    <xf numFmtId="0" fontId="105" fillId="29"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97" fillId="5" borderId="4" applyNumberFormat="0" applyAlignment="0" applyProtection="0"/>
    <xf numFmtId="0" fontId="149" fillId="43" borderId="18" applyNumberFormat="0" applyAlignment="0" applyProtection="0"/>
    <xf numFmtId="0" fontId="149" fillId="43" borderId="18" applyNumberFormat="0" applyAlignment="0" applyProtection="0"/>
    <xf numFmtId="164" fontId="109" fillId="0" borderId="0" applyFont="0" applyFill="0" applyBorder="0" applyAlignment="0" applyProtection="0"/>
    <xf numFmtId="183" fontId="109" fillId="0" borderId="0" applyFon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184" fontId="152" fillId="0" borderId="0" applyFont="0" applyFill="0" applyBorder="0" applyAlignment="0" applyProtection="0"/>
    <xf numFmtId="177" fontId="152" fillId="0" borderId="0" applyFont="0" applyFill="0" applyBorder="0" applyAlignment="0" applyProtection="0"/>
    <xf numFmtId="185" fontId="153" fillId="0" borderId="0">
      <protection locked="0"/>
    </xf>
    <xf numFmtId="185" fontId="154" fillId="0" borderId="0">
      <protection locked="0"/>
    </xf>
    <xf numFmtId="185" fontId="154" fillId="0" borderId="0">
      <protection locked="0"/>
    </xf>
    <xf numFmtId="185" fontId="154" fillId="0" borderId="0">
      <protection locked="0"/>
    </xf>
    <xf numFmtId="185" fontId="153" fillId="0" borderId="0">
      <protection locked="0"/>
    </xf>
    <xf numFmtId="185" fontId="154" fillId="0" borderId="0">
      <protection locked="0"/>
    </xf>
    <xf numFmtId="185" fontId="154" fillId="0" borderId="0">
      <protection locked="0"/>
    </xf>
    <xf numFmtId="3" fontId="155" fillId="0" borderId="0" applyFont="0" applyFill="0" applyBorder="0" applyAlignment="0" applyProtection="0"/>
    <xf numFmtId="2" fontId="141" fillId="0" borderId="0" applyFont="0" applyFill="0" applyBorder="0" applyAlignment="0" applyProtection="0"/>
    <xf numFmtId="186" fontId="109" fillId="68" borderId="0" applyFont="0" applyFill="0" applyBorder="0" applyAlignment="0"/>
    <xf numFmtId="0" fontId="156" fillId="0" borderId="0" applyNumberFormat="0" applyFill="0" applyBorder="0" applyAlignment="0" applyProtection="0">
      <alignment vertical="top"/>
      <protection locked="0"/>
    </xf>
    <xf numFmtId="187" fontId="108" fillId="45" borderId="29" applyFill="0" applyBorder="0">
      <alignment vertical="center"/>
    </xf>
    <xf numFmtId="187" fontId="108" fillId="45" borderId="29" applyFill="0" applyBorder="0">
      <alignment vertical="center"/>
    </xf>
    <xf numFmtId="184" fontId="109" fillId="45" borderId="30" applyFill="0" applyBorder="0">
      <alignment vertical="center"/>
    </xf>
    <xf numFmtId="184" fontId="109" fillId="45" borderId="30" applyFill="0" applyBorder="0">
      <alignment vertical="center"/>
    </xf>
    <xf numFmtId="0" fontId="157" fillId="40" borderId="0" applyNumberFormat="0" applyBorder="0" applyAlignment="0" applyProtection="0"/>
    <xf numFmtId="0" fontId="130" fillId="44" borderId="0" applyNumberFormat="0" applyBorder="0" applyAlignment="0" applyProtection="0"/>
    <xf numFmtId="0" fontId="157" fillId="40" borderId="0" applyNumberFormat="0" applyBorder="0" applyAlignment="0" applyProtection="0"/>
    <xf numFmtId="38" fontId="121" fillId="45" borderId="0" applyNumberFormat="0" applyBorder="0" applyAlignment="0" applyProtection="0"/>
    <xf numFmtId="38" fontId="121" fillId="45" borderId="0" applyNumberFormat="0" applyBorder="0" applyAlignment="0" applyProtection="0"/>
    <xf numFmtId="0" fontId="158" fillId="0" borderId="31" applyNumberFormat="0" applyAlignment="0" applyProtection="0">
      <alignment horizontal="left" vertical="center"/>
    </xf>
    <xf numFmtId="37" fontId="142" fillId="69" borderId="0">
      <alignment vertical="center"/>
    </xf>
    <xf numFmtId="0" fontId="158" fillId="0" borderId="32">
      <alignment horizontal="left" vertical="center"/>
    </xf>
    <xf numFmtId="37" fontId="159" fillId="69" borderId="0">
      <alignment horizontal="left" vertical="center"/>
    </xf>
    <xf numFmtId="0" fontId="158" fillId="0" borderId="32">
      <alignment horizontal="left" vertical="center"/>
    </xf>
    <xf numFmtId="37" fontId="160" fillId="69" borderId="0">
      <alignment horizontal="left"/>
    </xf>
    <xf numFmtId="0" fontId="161" fillId="0" borderId="0" applyFill="0" applyBorder="0" applyProtection="0">
      <alignment horizontal="right"/>
    </xf>
    <xf numFmtId="0" fontId="162" fillId="0" borderId="33" applyNumberFormat="0" applyFill="0" applyAlignment="0" applyProtection="0"/>
    <xf numFmtId="0" fontId="163" fillId="0" borderId="34" applyNumberFormat="0" applyFill="0" applyAlignment="0" applyProtection="0"/>
    <xf numFmtId="0" fontId="162" fillId="0" borderId="33" applyNumberFormat="0" applyFill="0" applyAlignment="0" applyProtection="0"/>
    <xf numFmtId="0" fontId="164" fillId="0" borderId="35" applyNumberFormat="0" applyFill="0" applyAlignment="0" applyProtection="0"/>
    <xf numFmtId="0" fontId="165" fillId="0" borderId="36" applyNumberFormat="0" applyFill="0" applyAlignment="0" applyProtection="0"/>
    <xf numFmtId="0" fontId="164" fillId="0" borderId="35" applyNumberFormat="0" applyFill="0" applyAlignment="0" applyProtection="0"/>
    <xf numFmtId="0" fontId="166" fillId="0" borderId="37" applyNumberFormat="0" applyFill="0" applyAlignment="0" applyProtection="0"/>
    <xf numFmtId="0" fontId="167" fillId="0" borderId="38" applyNumberFormat="0" applyFill="0" applyAlignment="0" applyProtection="0"/>
    <xf numFmtId="0" fontId="166" fillId="0" borderId="37" applyNumberFormat="0" applyFill="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6" fillId="0" borderId="0" applyNumberFormat="0" applyFill="0" applyBorder="0" applyAlignment="0" applyProtection="0"/>
    <xf numFmtId="0" fontId="168" fillId="0" borderId="0" applyFill="0" applyAlignment="0" applyProtection="0">
      <protection locked="0"/>
    </xf>
    <xf numFmtId="0" fontId="168" fillId="0" borderId="27" applyFill="0" applyAlignment="0" applyProtection="0">
      <protection locked="0"/>
    </xf>
    <xf numFmtId="188" fontId="109" fillId="0" borderId="0" applyFont="0" applyFill="0" applyBorder="0" applyAlignment="0" applyProtection="0">
      <alignment vertical="top" wrapText="1"/>
    </xf>
    <xf numFmtId="188" fontId="109" fillId="0" borderId="0" applyFont="0" applyFill="0" applyBorder="0" applyAlignment="0" applyProtection="0">
      <alignment vertical="top" wrapText="1"/>
    </xf>
    <xf numFmtId="189" fontId="169" fillId="0" borderId="0" applyFill="0" applyBorder="0" applyAlignment="0" applyProtection="0"/>
    <xf numFmtId="0" fontId="170" fillId="69" borderId="39" applyNumberFormat="0" applyFont="0" applyBorder="0" applyAlignment="0">
      <alignment vertical="center"/>
    </xf>
    <xf numFmtId="0" fontId="170" fillId="63" borderId="40" applyNumberFormat="0" applyFont="0" applyBorder="0" applyAlignment="0"/>
    <xf numFmtId="0" fontId="171" fillId="0" borderId="0" applyNumberFormat="0" applyFill="0" applyBorder="0" applyAlignment="0" applyProtection="0">
      <alignment vertical="top"/>
      <protection locked="0"/>
    </xf>
    <xf numFmtId="0" fontId="95" fillId="3" borderId="0" applyNumberFormat="0" applyBorder="0" applyAlignment="0" applyProtection="0"/>
    <xf numFmtId="0" fontId="125" fillId="38" borderId="0" applyNumberFormat="0" applyBorder="0" applyAlignment="0" applyProtection="0"/>
    <xf numFmtId="0" fontId="125" fillId="38" borderId="0" applyNumberFormat="0" applyBorder="0" applyAlignment="0" applyProtection="0"/>
    <xf numFmtId="190" fontId="109" fillId="0" borderId="0" applyNumberFormat="0" applyFill="0" applyBorder="0" applyAlignment="0" applyProtection="0"/>
    <xf numFmtId="190" fontId="109" fillId="0" borderId="0" applyNumberFormat="0" applyFill="0" applyBorder="0" applyAlignment="0" applyProtection="0"/>
    <xf numFmtId="0" fontId="172" fillId="43" borderId="18" applyNumberFormat="0" applyAlignment="0" applyProtection="0"/>
    <xf numFmtId="10" fontId="121" fillId="68" borderId="22" applyNumberFormat="0" applyBorder="0" applyAlignment="0" applyProtection="0"/>
    <xf numFmtId="10" fontId="121" fillId="68" borderId="22" applyNumberFormat="0" applyBorder="0" applyAlignment="0" applyProtection="0"/>
    <xf numFmtId="0" fontId="149" fillId="47" borderId="18" applyNumberFormat="0" applyAlignment="0" applyProtection="0"/>
    <xf numFmtId="176" fontId="121" fillId="0" borderId="0"/>
    <xf numFmtId="176" fontId="121" fillId="0" borderId="0"/>
    <xf numFmtId="191" fontId="109" fillId="68" borderId="0" applyFont="0" applyBorder="0" applyAlignment="0" applyProtection="0">
      <protection locked="0"/>
    </xf>
    <xf numFmtId="192" fontId="109" fillId="68" borderId="0" applyFont="0" applyBorder="0" applyAlignment="0">
      <protection locked="0"/>
    </xf>
    <xf numFmtId="174" fontId="169" fillId="70" borderId="0">
      <protection locked="0"/>
    </xf>
    <xf numFmtId="0" fontId="173" fillId="71" borderId="0" applyNumberFormat="0" applyBorder="0" applyAlignment="0">
      <protection locked="0"/>
    </xf>
    <xf numFmtId="193" fontId="127" fillId="68" borderId="0" applyBorder="0" applyAlignment="0">
      <protection locked="0"/>
    </xf>
    <xf numFmtId="10" fontId="121" fillId="68" borderId="0">
      <protection locked="0"/>
    </xf>
    <xf numFmtId="10" fontId="121" fillId="68" borderId="0">
      <protection locked="0"/>
    </xf>
    <xf numFmtId="194" fontId="109" fillId="0" borderId="0"/>
    <xf numFmtId="174" fontId="109" fillId="68" borderId="0" applyNumberFormat="0" applyBorder="0" applyAlignment="0">
      <protection locked="0"/>
    </xf>
    <xf numFmtId="38" fontId="127" fillId="63" borderId="0"/>
    <xf numFmtId="0" fontId="174" fillId="62" borderId="41" applyNumberFormat="0" applyFont="0" applyBorder="0">
      <alignment horizontal="left"/>
      <protection locked="0"/>
    </xf>
    <xf numFmtId="195" fontId="126" fillId="68" borderId="0">
      <protection locked="0"/>
    </xf>
    <xf numFmtId="169" fontId="126" fillId="68" borderId="0">
      <protection locked="0"/>
    </xf>
    <xf numFmtId="196" fontId="109" fillId="45" borderId="40" applyFill="0" applyBorder="0" applyAlignment="0"/>
    <xf numFmtId="0" fontId="175"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37" fontId="143" fillId="0" borderId="22" applyNumberFormat="0" applyFont="0" applyFill="0" applyAlignment="0" applyProtection="0"/>
    <xf numFmtId="37" fontId="109" fillId="69" borderId="0">
      <alignment horizontal="left" indent="1"/>
    </xf>
    <xf numFmtId="37" fontId="109" fillId="69" borderId="0">
      <alignment horizontal="left" indent="1"/>
    </xf>
    <xf numFmtId="37" fontId="109" fillId="69" borderId="0">
      <alignment horizontal="left" indent="2"/>
    </xf>
    <xf numFmtId="37" fontId="109" fillId="69" borderId="0">
      <alignment horizontal="left" indent="2"/>
    </xf>
    <xf numFmtId="0" fontId="109" fillId="69" borderId="0">
      <alignment horizontal="left" vertical="center" indent="1"/>
    </xf>
    <xf numFmtId="0" fontId="109" fillId="69" borderId="0">
      <alignment horizontal="left" vertical="center" indent="1"/>
    </xf>
    <xf numFmtId="0" fontId="177" fillId="0" borderId="20" applyNumberFormat="0" applyFill="0" applyAlignment="0" applyProtection="0"/>
    <xf numFmtId="0" fontId="178" fillId="0" borderId="42" applyNumberFormat="0" applyFill="0" applyAlignment="0" applyProtection="0"/>
    <xf numFmtId="0" fontId="177" fillId="0" borderId="20" applyNumberFormat="0" applyFill="0" applyAlignment="0" applyProtection="0"/>
    <xf numFmtId="195" fontId="109" fillId="0" borderId="0" applyNumberFormat="0" applyFont="0" applyFill="0" applyBorder="0" applyAlignment="0"/>
    <xf numFmtId="195" fontId="109" fillId="0" borderId="0" applyNumberFormat="0" applyFont="0" applyFill="0" applyBorder="0" applyAlignment="0"/>
    <xf numFmtId="14" fontId="143" fillId="0" borderId="27" applyFont="0" applyFill="0" applyBorder="0" applyAlignment="0" applyProtection="0"/>
    <xf numFmtId="0" fontId="136" fillId="0" borderId="0" applyFont="0" applyFill="0" applyBorder="0" applyAlignment="0" applyProtection="0"/>
    <xf numFmtId="38" fontId="179" fillId="0" borderId="0" applyFont="0" applyFill="0" applyBorder="0" applyAlignment="0" applyProtection="0"/>
    <xf numFmtId="40" fontId="179" fillId="0" borderId="0" applyFont="0" applyFill="0" applyBorder="0" applyAlignment="0" applyProtection="0"/>
    <xf numFmtId="38" fontId="180" fillId="0" borderId="0" applyFont="0" applyFill="0" applyBorder="0" applyAlignment="0" applyProtection="0"/>
    <xf numFmtId="197" fontId="181" fillId="0" borderId="0" applyFont="0" applyFill="0" applyBorder="0" applyAlignment="0" applyProtection="0"/>
    <xf numFmtId="177" fontId="109"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77" fontId="109" fillId="0" borderId="0" applyFont="0" applyFill="0" applyBorder="0" applyAlignment="0" applyProtection="0"/>
    <xf numFmtId="165" fontId="109"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5" fontId="109"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77" fontId="109"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67" fontId="106" fillId="0" borderId="0" applyFont="0" applyFill="0" applyBorder="0" applyAlignment="0" applyProtection="0"/>
    <xf numFmtId="177" fontId="109" fillId="0" borderId="0" applyFont="0" applyFill="0" applyBorder="0" applyAlignment="0" applyProtection="0"/>
    <xf numFmtId="167" fontId="106" fillId="0" borderId="0" applyFont="0" applyFill="0" applyBorder="0" applyAlignment="0" applyProtection="0"/>
    <xf numFmtId="177" fontId="109" fillId="0" borderId="0" applyFont="0" applyFill="0" applyBorder="0" applyAlignment="0" applyProtection="0"/>
    <xf numFmtId="40" fontId="180" fillId="0" borderId="0" applyFont="0" applyFill="0" applyBorder="0" applyAlignment="0" applyProtection="0"/>
    <xf numFmtId="177" fontId="109" fillId="0" borderId="0" applyFont="0" applyFill="0" applyBorder="0" applyAlignment="0" applyProtection="0"/>
    <xf numFmtId="198" fontId="109" fillId="0" borderId="0" applyFont="0" applyFill="0" applyBorder="0" applyAlignment="0" applyProtection="0"/>
    <xf numFmtId="177" fontId="109" fillId="0" borderId="0" applyFont="0" applyFill="0" applyBorder="0" applyAlignment="0" applyProtection="0"/>
    <xf numFmtId="165" fontId="109"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6" fillId="0" borderId="0" applyFont="0" applyFill="0" applyBorder="0" applyAlignment="0" applyProtection="0"/>
    <xf numFmtId="167" fontId="89"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65" fontId="109"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67" fontId="106"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67" fontId="106"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77" fontId="109"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77" fontId="109"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77" fontId="109" fillId="0" borderId="0" applyFont="0" applyFill="0" applyBorder="0" applyAlignment="0" applyProtection="0"/>
    <xf numFmtId="167" fontId="109" fillId="0" borderId="0" applyFont="0" applyFill="0" applyBorder="0" applyAlignment="0" applyProtection="0"/>
    <xf numFmtId="177" fontId="109" fillId="0" borderId="0" applyFont="0" applyFill="0" applyBorder="0" applyAlignment="0" applyProtection="0"/>
    <xf numFmtId="199" fontId="182" fillId="0" borderId="0" applyFont="0" applyFill="0" applyBorder="0" applyAlignment="0" applyProtection="0"/>
    <xf numFmtId="200" fontId="182" fillId="0" borderId="0" applyFont="0" applyFill="0" applyBorder="0" applyAlignment="0" applyProtection="0"/>
    <xf numFmtId="201" fontId="109" fillId="0" borderId="0" applyFont="0" applyFill="0" applyBorder="0" applyAlignment="0" applyProtection="0"/>
    <xf numFmtId="176" fontId="180" fillId="0" borderId="0" applyFont="0" applyFill="0" applyBorder="0" applyAlignment="0" applyProtection="0"/>
    <xf numFmtId="201"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0" fontId="155" fillId="0" borderId="0" applyFont="0" applyFill="0" applyBorder="0" applyAlignment="0" applyProtection="0"/>
    <xf numFmtId="195" fontId="109" fillId="0" borderId="0" applyNumberFormat="0" applyFill="0" applyBorder="0" applyAlignment="0" applyProtection="0"/>
    <xf numFmtId="195" fontId="109" fillId="0" borderId="0" applyNumberFormat="0" applyFill="0" applyBorder="0" applyAlignment="0" applyProtection="0"/>
    <xf numFmtId="203" fontId="183" fillId="0" borderId="27" applyBorder="0"/>
    <xf numFmtId="169" fontId="183" fillId="34" borderId="0" applyNumberFormat="0" applyFont="0" applyFill="0"/>
    <xf numFmtId="195" fontId="109" fillId="0" borderId="0" applyNumberFormat="0" applyFill="0" applyBorder="0" applyAlignment="0" applyProtection="0"/>
    <xf numFmtId="3" fontId="184" fillId="35" borderId="27">
      <alignment horizontal="center"/>
    </xf>
    <xf numFmtId="204" fontId="109" fillId="0" borderId="0" applyFont="0" applyFill="0" applyBorder="0" applyAlignment="0" applyProtection="0"/>
    <xf numFmtId="204" fontId="185" fillId="0" borderId="0" applyFont="0" applyFill="0" applyBorder="0" applyAlignment="0" applyProtection="0"/>
    <xf numFmtId="205" fontId="109" fillId="45" borderId="0" applyFont="0" applyBorder="0" applyAlignment="0" applyProtection="0">
      <alignment horizontal="right"/>
      <protection hidden="1"/>
    </xf>
    <xf numFmtId="0" fontId="186" fillId="0" borderId="0"/>
    <xf numFmtId="0" fontId="186" fillId="0" borderId="0"/>
    <xf numFmtId="0" fontId="96" fillId="4" borderId="0" applyNumberFormat="0" applyBorder="0" applyAlignment="0" applyProtection="0"/>
    <xf numFmtId="0" fontId="187" fillId="47" borderId="0" applyNumberFormat="0" applyBorder="0" applyAlignment="0" applyProtection="0"/>
    <xf numFmtId="0" fontId="187" fillId="47" borderId="0" applyNumberFormat="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86" fillId="0" borderId="0"/>
    <xf numFmtId="206" fontId="109" fillId="69" borderId="43" applyFont="0" applyBorder="0">
      <alignment horizontal="center" vertical="center"/>
    </xf>
    <xf numFmtId="206" fontId="109" fillId="69" borderId="43" applyFont="0" applyBorder="0">
      <alignment horizontal="center" vertical="center"/>
    </xf>
    <xf numFmtId="207" fontId="121" fillId="0" borderId="0" applyFont="0" applyFill="0" applyBorder="0" applyAlignment="0" applyProtection="0">
      <alignment horizontal="right"/>
    </xf>
    <xf numFmtId="208" fontId="188" fillId="0" borderId="0"/>
    <xf numFmtId="38" fontId="121" fillId="0" borderId="0" applyFont="0" applyFill="0" applyBorder="0" applyAlignment="0"/>
    <xf numFmtId="38" fontId="121" fillId="0" borderId="0" applyFont="0" applyFill="0" applyBorder="0" applyAlignment="0"/>
    <xf numFmtId="195" fontId="121" fillId="0" borderId="0" applyFont="0" applyFill="0" applyBorder="0" applyAlignment="0" applyProtection="0"/>
    <xf numFmtId="195" fontId="121" fillId="0" borderId="0" applyFont="0" applyFill="0" applyBorder="0" applyAlignment="0" applyProtection="0"/>
    <xf numFmtId="39" fontId="109" fillId="0" borderId="0" applyFont="0" applyFill="0" applyBorder="0" applyAlignment="0" applyProtection="0"/>
    <xf numFmtId="209" fontId="109" fillId="0" borderId="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189" fillId="0" borderId="0"/>
    <xf numFmtId="0" fontId="180" fillId="0" borderId="0"/>
    <xf numFmtId="0" fontId="108" fillId="0" borderId="0"/>
    <xf numFmtId="0" fontId="190" fillId="0" borderId="0"/>
    <xf numFmtId="0" fontId="109" fillId="0" borderId="0"/>
    <xf numFmtId="0" fontId="109" fillId="0" borderId="0"/>
    <xf numFmtId="0" fontId="109" fillId="0" borderId="0"/>
    <xf numFmtId="0" fontId="89" fillId="0" borderId="0"/>
    <xf numFmtId="0" fontId="89" fillId="0" borderId="0"/>
    <xf numFmtId="0" fontId="89" fillId="0" borderId="0"/>
    <xf numFmtId="0" fontId="89" fillId="0" borderId="0"/>
    <xf numFmtId="0" fontId="109" fillId="0" borderId="0"/>
    <xf numFmtId="0" fontId="89" fillId="0" borderId="0"/>
    <xf numFmtId="0" fontId="89" fillId="0" borderId="0"/>
    <xf numFmtId="0" fontId="109" fillId="0" borderId="0"/>
    <xf numFmtId="207" fontId="121" fillId="0" borderId="0" applyFont="0" applyFill="0" applyBorder="0" applyAlignment="0" applyProtection="0">
      <alignment horizontal="right"/>
    </xf>
    <xf numFmtId="0" fontId="109" fillId="0" borderId="0"/>
    <xf numFmtId="0" fontId="109" fillId="0" borderId="0"/>
    <xf numFmtId="0" fontId="109" fillId="0" borderId="0"/>
    <xf numFmtId="0" fontId="10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09" fillId="0" borderId="0"/>
    <xf numFmtId="0" fontId="106" fillId="0" borderId="0"/>
    <xf numFmtId="0" fontId="10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91" fillId="0" borderId="0"/>
    <xf numFmtId="0" fontId="109" fillId="0" borderId="0"/>
    <xf numFmtId="0" fontId="191" fillId="0" borderId="0"/>
    <xf numFmtId="0" fontId="89" fillId="0" borderId="0"/>
    <xf numFmtId="0" fontId="89" fillId="0" borderId="0"/>
    <xf numFmtId="0" fontId="191" fillId="0" borderId="0"/>
    <xf numFmtId="0" fontId="89" fillId="0" borderId="0"/>
    <xf numFmtId="0" fontId="89" fillId="0" borderId="0"/>
    <xf numFmtId="174" fontId="143" fillId="0" borderId="0" applyNumberFormat="0" applyFill="0" applyBorder="0" applyAlignment="0" applyProtection="0"/>
    <xf numFmtId="210" fontId="121" fillId="0" borderId="0" applyFont="0" applyFill="0" applyBorder="0" applyAlignment="0" applyProtection="0"/>
    <xf numFmtId="210" fontId="121" fillId="0" borderId="0" applyFont="0" applyFill="0" applyBorder="0" applyAlignment="0" applyProtection="0"/>
    <xf numFmtId="0" fontId="152" fillId="0" borderId="0"/>
    <xf numFmtId="0" fontId="174" fillId="0" borderId="0">
      <alignment horizontal="left" indent="1"/>
    </xf>
    <xf numFmtId="0" fontId="109" fillId="0" borderId="0">
      <alignment horizontal="left" indent="1"/>
    </xf>
    <xf numFmtId="40" fontId="143" fillId="0" borderId="0">
      <alignment horizontal="left"/>
    </xf>
    <xf numFmtId="0" fontId="179" fillId="0" borderId="0"/>
    <xf numFmtId="174" fontId="121" fillId="0" borderId="0"/>
    <xf numFmtId="174" fontId="121" fillId="0" borderId="0"/>
    <xf numFmtId="0" fontId="192" fillId="0" borderId="0"/>
    <xf numFmtId="0" fontId="136" fillId="0" borderId="0"/>
    <xf numFmtId="211" fontId="121" fillId="0" borderId="0" applyFont="0" applyFill="0" applyBorder="0" applyAlignment="0" applyProtection="0"/>
    <xf numFmtId="212" fontId="121" fillId="0" borderId="0" applyFont="0" applyFill="0" applyBorder="0" applyAlignment="0" applyProtection="0"/>
    <xf numFmtId="0" fontId="106" fillId="8" borderId="8" applyNumberFormat="0" applyFont="0" applyAlignment="0" applyProtection="0"/>
    <xf numFmtId="0" fontId="106" fillId="8" borderId="8" applyNumberFormat="0" applyFont="0" applyAlignment="0" applyProtection="0"/>
    <xf numFmtId="0" fontId="114" fillId="41" borderId="44" applyNumberFormat="0" applyFont="0" applyAlignment="0" applyProtection="0"/>
    <xf numFmtId="0" fontId="114" fillId="41" borderId="44" applyNumberFormat="0" applyFont="0" applyAlignment="0" applyProtection="0"/>
    <xf numFmtId="0" fontId="106" fillId="41" borderId="44" applyNumberFormat="0" applyFont="0" applyAlignment="0" applyProtection="0"/>
    <xf numFmtId="0" fontId="179" fillId="41" borderId="44" applyNumberFormat="0" applyFont="0" applyAlignment="0" applyProtection="0"/>
    <xf numFmtId="0" fontId="106" fillId="41" borderId="44" applyNumberFormat="0" applyFont="0" applyAlignment="0" applyProtection="0"/>
    <xf numFmtId="213" fontId="109" fillId="0" borderId="0" applyFont="0" applyFill="0" applyBorder="0" applyAlignment="0" applyProtection="0"/>
    <xf numFmtId="214" fontId="109" fillId="0" borderId="0" applyFont="0" applyFill="0" applyBorder="0" applyAlignment="0" applyProtection="0"/>
    <xf numFmtId="0" fontId="193" fillId="64" borderId="45" applyNumberFormat="0" applyAlignment="0" applyProtection="0"/>
    <xf numFmtId="0" fontId="194" fillId="65" borderId="45" applyNumberFormat="0" applyAlignment="0" applyProtection="0"/>
    <xf numFmtId="39" fontId="108" fillId="34" borderId="0">
      <alignment horizontal="right"/>
    </xf>
    <xf numFmtId="39" fontId="108" fillId="34" borderId="0">
      <alignment horizontal="right"/>
    </xf>
    <xf numFmtId="0" fontId="113" fillId="34" borderId="0">
      <alignment horizontal="center" vertical="center"/>
    </xf>
    <xf numFmtId="0" fontId="107" fillId="34" borderId="46"/>
    <xf numFmtId="0" fontId="113" fillId="34" borderId="0" applyBorder="0">
      <alignment horizontal="centerContinuous"/>
    </xf>
    <xf numFmtId="0" fontId="195" fillId="34" borderId="0" applyBorder="0">
      <alignment horizontal="centerContinuous"/>
    </xf>
    <xf numFmtId="0" fontId="193" fillId="64" borderId="45" applyNumberFormat="0" applyAlignment="0" applyProtection="0"/>
    <xf numFmtId="37" fontId="109" fillId="69" borderId="0" applyBorder="0"/>
    <xf numFmtId="37" fontId="109" fillId="69" borderId="0" applyBorder="0"/>
    <xf numFmtId="37" fontId="196" fillId="69" borderId="0"/>
    <xf numFmtId="4" fontId="109" fillId="69" borderId="0"/>
    <xf numFmtId="4" fontId="109" fillId="69" borderId="0"/>
    <xf numFmtId="4" fontId="197" fillId="69" borderId="0"/>
    <xf numFmtId="169" fontId="109" fillId="69" borderId="0">
      <alignment horizontal="right"/>
    </xf>
    <xf numFmtId="169" fontId="109" fillId="69" borderId="0">
      <alignment horizontal="right"/>
    </xf>
    <xf numFmtId="169" fontId="196" fillId="69" borderId="0">
      <alignment horizontal="right"/>
    </xf>
    <xf numFmtId="3" fontId="109" fillId="69" borderId="15" applyFill="0" applyBorder="0" applyAlignment="0" applyProtection="0">
      <alignment vertical="top"/>
    </xf>
    <xf numFmtId="215" fontId="109" fillId="0" borderId="0" applyFont="0" applyFill="0" applyBorder="0" applyAlignment="0"/>
    <xf numFmtId="169" fontId="109" fillId="0" borderId="0" applyFont="0" applyFill="0" applyBorder="0" applyAlignment="0" applyProtection="0"/>
    <xf numFmtId="216" fontId="198" fillId="0" borderId="0" applyFill="0" applyBorder="0" applyAlignment="0" applyProtection="0"/>
    <xf numFmtId="193" fontId="121" fillId="0" borderId="0" applyFont="0" applyFill="0" applyBorder="0" applyAlignment="0"/>
    <xf numFmtId="10" fontId="109" fillId="0" borderId="0" applyFont="0" applyFill="0" applyBorder="0" applyAlignment="0" applyProtection="0"/>
    <xf numFmtId="217" fontId="109" fillId="0" borderId="0" applyFont="0" applyFill="0" applyBorder="0" applyProtection="0">
      <alignment horizontal="right"/>
    </xf>
    <xf numFmtId="169" fontId="199" fillId="63" borderId="44"/>
    <xf numFmtId="218" fontId="109" fillId="0" borderId="0" applyFont="0" applyFill="0" applyBorder="0" applyAlignment="0" applyProtection="0"/>
    <xf numFmtId="38" fontId="200" fillId="0" borderId="0" applyNumberForma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80"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9" fillId="0" borderId="0" applyFont="0" applyFill="0" applyBorder="0" applyAlignment="0" applyProtection="0"/>
    <xf numFmtId="9" fontId="201"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202"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203" fillId="0" borderId="0" applyFont="0" applyFill="0" applyBorder="0" applyAlignment="0" applyProtection="0"/>
    <xf numFmtId="190" fontId="109" fillId="0" borderId="0" applyNumberFormat="0" applyAlignment="0">
      <alignment horizontal="left"/>
    </xf>
    <xf numFmtId="0" fontId="204" fillId="0" borderId="22">
      <alignment horizontal="center" vertical="center"/>
    </xf>
    <xf numFmtId="0" fontId="205" fillId="0" borderId="47" applyBorder="0">
      <alignment vertical="top"/>
      <protection locked="0"/>
    </xf>
    <xf numFmtId="219" fontId="206" fillId="0" borderId="0"/>
    <xf numFmtId="220" fontId="182" fillId="0" borderId="16" applyFont="0" applyFill="0" applyBorder="0" applyAlignment="0" applyProtection="0"/>
    <xf numFmtId="220" fontId="182" fillId="0" borderId="16" applyFont="0" applyFill="0" applyBorder="0" applyAlignment="0" applyProtection="0"/>
    <xf numFmtId="221" fontId="109" fillId="0" borderId="0" applyFont="0" applyFill="0" applyBorder="0" applyProtection="0">
      <alignment horizontal="right"/>
    </xf>
    <xf numFmtId="222" fontId="109" fillId="0" borderId="0" applyFont="0" applyFill="0" applyBorder="0" applyProtection="0">
      <alignment horizontal="right"/>
    </xf>
    <xf numFmtId="174" fontId="207" fillId="0" borderId="0" applyNumberFormat="0" applyFill="0" applyBorder="0" applyAlignment="0" applyProtection="0">
      <alignment horizontal="left"/>
    </xf>
    <xf numFmtId="0" fontId="121" fillId="0" borderId="0">
      <alignment horizontal="right"/>
    </xf>
    <xf numFmtId="0" fontId="121" fillId="0" borderId="0">
      <alignment horizontal="right"/>
    </xf>
    <xf numFmtId="0" fontId="98" fillId="6" borderId="5" applyNumberFormat="0" applyAlignment="0" applyProtection="0"/>
    <xf numFmtId="0" fontId="194" fillId="64" borderId="45" applyNumberFormat="0" applyAlignment="0" applyProtection="0"/>
    <xf numFmtId="0" fontId="194" fillId="64" borderId="45" applyNumberFormat="0" applyAlignment="0" applyProtection="0"/>
    <xf numFmtId="4" fontId="208" fillId="63" borderId="48" applyNumberFormat="0" applyProtection="0">
      <alignment vertical="center"/>
    </xf>
    <xf numFmtId="4" fontId="209" fillId="63" borderId="48" applyNumberFormat="0" applyProtection="0">
      <alignment vertical="center"/>
    </xf>
    <xf numFmtId="4" fontId="210" fillId="63" borderId="48" applyNumberFormat="0" applyProtection="0">
      <alignment horizontal="left" vertical="center" indent="1"/>
    </xf>
    <xf numFmtId="4" fontId="208" fillId="65" borderId="48" applyNumberFormat="0" applyProtection="0">
      <alignment horizontal="left" vertical="center" wrapText="1" indent="1"/>
    </xf>
    <xf numFmtId="4" fontId="210" fillId="72" borderId="48" applyNumberFormat="0" applyProtection="0">
      <alignment horizontal="right" vertical="center"/>
    </xf>
    <xf numFmtId="4" fontId="210" fillId="73" borderId="48" applyNumberFormat="0" applyProtection="0">
      <alignment horizontal="right" vertical="center"/>
    </xf>
    <xf numFmtId="4" fontId="210" fillId="74" borderId="48" applyNumberFormat="0" applyProtection="0">
      <alignment horizontal="right" vertical="center"/>
    </xf>
    <xf numFmtId="4" fontId="210" fillId="75" borderId="48" applyNumberFormat="0" applyProtection="0">
      <alignment horizontal="right" vertical="center"/>
    </xf>
    <xf numFmtId="4" fontId="210" fillId="76" borderId="48" applyNumberFormat="0" applyProtection="0">
      <alignment horizontal="right" vertical="center"/>
    </xf>
    <xf numFmtId="4" fontId="210" fillId="69" borderId="48" applyNumberFormat="0" applyProtection="0">
      <alignment horizontal="right" vertical="center"/>
    </xf>
    <xf numFmtId="4" fontId="210" fillId="77" borderId="48" applyNumberFormat="0" applyProtection="0">
      <alignment horizontal="right" vertical="center"/>
    </xf>
    <xf numFmtId="4" fontId="210" fillId="78" borderId="48" applyNumberFormat="0" applyProtection="0">
      <alignment horizontal="right" vertical="center"/>
    </xf>
    <xf numFmtId="4" fontId="210" fillId="79" borderId="48" applyNumberFormat="0" applyProtection="0">
      <alignment horizontal="right" vertical="center"/>
    </xf>
    <xf numFmtId="4" fontId="107" fillId="80" borderId="49" applyNumberFormat="0" applyProtection="0">
      <alignment horizontal="left" vertical="center" indent="1"/>
    </xf>
    <xf numFmtId="4" fontId="122" fillId="60" borderId="0" applyNumberFormat="0" applyProtection="0">
      <alignment horizontal="left" vertical="center" indent="1"/>
    </xf>
    <xf numFmtId="4" fontId="122" fillId="81" borderId="0" applyNumberFormat="0" applyProtection="0">
      <alignment horizontal="left" vertical="center" indent="1"/>
    </xf>
    <xf numFmtId="4" fontId="114" fillId="60" borderId="48" applyNumberFormat="0" applyProtection="0">
      <alignment horizontal="right" vertical="center"/>
    </xf>
    <xf numFmtId="4" fontId="108" fillId="60" borderId="0" applyNumberFormat="0" applyProtection="0">
      <alignment horizontal="left" vertical="center" indent="1"/>
    </xf>
    <xf numFmtId="4" fontId="108" fillId="60" borderId="0" applyNumberFormat="0" applyProtection="0">
      <alignment horizontal="left" vertical="center" indent="1"/>
    </xf>
    <xf numFmtId="4" fontId="108" fillId="82" borderId="0" applyNumberFormat="0" applyProtection="0">
      <alignment horizontal="left" vertical="center" indent="1"/>
    </xf>
    <xf numFmtId="4" fontId="108" fillId="82" borderId="0" applyNumberFormat="0" applyProtection="0">
      <alignment horizontal="left" vertical="center" indent="1"/>
    </xf>
    <xf numFmtId="4" fontId="114" fillId="83" borderId="48" applyNumberFormat="0" applyProtection="0">
      <alignment vertical="center"/>
    </xf>
    <xf numFmtId="4" fontId="211" fillId="83" borderId="48" applyNumberFormat="0" applyProtection="0">
      <alignment vertical="center"/>
    </xf>
    <xf numFmtId="4" fontId="122" fillId="60" borderId="50" applyNumberFormat="0" applyProtection="0">
      <alignment horizontal="left" vertical="center" indent="1"/>
    </xf>
    <xf numFmtId="223" fontId="109" fillId="45" borderId="51">
      <alignment horizontal="right" vertical="center"/>
      <protection locked="0"/>
    </xf>
    <xf numFmtId="223" fontId="109" fillId="45" borderId="51">
      <alignment horizontal="right" vertical="center"/>
      <protection locked="0"/>
    </xf>
    <xf numFmtId="4" fontId="211" fillId="83" borderId="48" applyNumberFormat="0" applyProtection="0">
      <alignment horizontal="right" vertical="center"/>
    </xf>
    <xf numFmtId="4" fontId="108" fillId="84" borderId="48" applyNumberFormat="0" applyProtection="0">
      <alignment horizontal="left" vertical="center" indent="1"/>
    </xf>
    <xf numFmtId="4" fontId="108" fillId="84" borderId="48" applyNumberFormat="0" applyProtection="0">
      <alignment horizontal="left" vertical="center" indent="1"/>
    </xf>
    <xf numFmtId="0" fontId="212" fillId="0" borderId="52" applyNumberFormat="0" applyProtection="0">
      <alignment horizontal="left" vertical="center" indent="1"/>
    </xf>
    <xf numFmtId="4" fontId="213" fillId="64" borderId="53" applyNumberFormat="0" applyProtection="0">
      <alignment horizontal="right" vertical="center"/>
    </xf>
    <xf numFmtId="0" fontId="109" fillId="0" borderId="54" applyNumberFormat="0" applyFont="0" applyFill="0" applyAlignment="0" applyProtection="0"/>
    <xf numFmtId="0" fontId="109" fillId="0" borderId="0" applyNumberFormat="0" applyFont="0" applyFill="0" applyBorder="0" applyAlignment="0" applyProtection="0"/>
    <xf numFmtId="0" fontId="109" fillId="0" borderId="44" applyNumberFormat="0" applyFont="0" applyFill="0" applyAlignment="0" applyProtection="0"/>
    <xf numFmtId="0" fontId="158" fillId="0" borderId="0" applyFill="0" applyBorder="0" applyProtection="0">
      <alignment horizontal="left"/>
    </xf>
    <xf numFmtId="43" fontId="109" fillId="0" borderId="0" applyFont="0" applyFill="0" applyBorder="0" applyAlignment="0" applyProtection="0"/>
    <xf numFmtId="3" fontId="119" fillId="85" borderId="0">
      <alignment horizontal="left"/>
    </xf>
    <xf numFmtId="0" fontId="109" fillId="0" borderId="0"/>
    <xf numFmtId="12" fontId="109" fillId="0" borderId="0" applyFont="0" applyFill="0" applyBorder="0" applyProtection="0">
      <alignment horizontal="right"/>
    </xf>
    <xf numFmtId="12" fontId="109" fillId="0" borderId="0" applyFont="0" applyFill="0" applyBorder="0" applyProtection="0">
      <alignment horizontal="right"/>
    </xf>
    <xf numFmtId="224" fontId="109" fillId="86" borderId="0" applyFont="0" applyFill="0" applyBorder="0" applyProtection="0">
      <alignment horizontal="right"/>
    </xf>
    <xf numFmtId="225" fontId="121" fillId="0" borderId="0" applyFill="0" applyBorder="0" applyProtection="0">
      <alignment horizontal="right" wrapText="1"/>
    </xf>
    <xf numFmtId="0" fontId="108" fillId="0" borderId="0" applyNumberFormat="0" applyBorder="0" applyAlignment="0"/>
    <xf numFmtId="0" fontId="108" fillId="0" borderId="0" applyNumberFormat="0" applyBorder="0" applyAlignment="0"/>
    <xf numFmtId="0" fontId="108" fillId="0" borderId="0" applyNumberFormat="0" applyBorder="0" applyAlignment="0"/>
    <xf numFmtId="0" fontId="108" fillId="0" borderId="0" applyNumberFormat="0" applyBorder="0" applyAlignment="0"/>
    <xf numFmtId="0" fontId="107" fillId="0" borderId="0" applyNumberFormat="0" applyBorder="0" applyAlignment="0"/>
    <xf numFmtId="0" fontId="107" fillId="0" borderId="0" applyNumberFormat="0" applyBorder="0" applyAlignment="0"/>
    <xf numFmtId="0" fontId="210" fillId="0" borderId="0" applyNumberFormat="0" applyBorder="0" applyAlignment="0"/>
    <xf numFmtId="0" fontId="210" fillId="0" borderId="0" applyNumberFormat="0" applyBorder="0" applyAlignment="0"/>
    <xf numFmtId="3" fontId="114" fillId="85" borderId="0">
      <alignment horizontal="left"/>
    </xf>
    <xf numFmtId="1" fontId="214" fillId="0" borderId="0"/>
    <xf numFmtId="0" fontId="121" fillId="0" borderId="0"/>
    <xf numFmtId="0" fontId="121" fillId="0" borderId="0"/>
    <xf numFmtId="0" fontId="186" fillId="0" borderId="0"/>
    <xf numFmtId="37" fontId="108" fillId="0" borderId="0" applyBorder="0" applyAlignment="0" applyProtection="0"/>
    <xf numFmtId="37" fontId="108" fillId="0" borderId="0" applyBorder="0" applyAlignment="0" applyProtection="0"/>
    <xf numFmtId="0" fontId="102"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03"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226" fontId="109" fillId="0" borderId="0" applyFill="0" applyBorder="0" applyAlignment="0" applyProtection="0">
      <alignment horizontal="right"/>
    </xf>
    <xf numFmtId="227" fontId="109" fillId="0" borderId="0"/>
    <xf numFmtId="0" fontId="215" fillId="0" borderId="0" applyNumberFormat="0" applyFill="0" applyBorder="0" applyAlignment="0" applyProtection="0"/>
    <xf numFmtId="0" fontId="216" fillId="0" borderId="0" applyNumberFormat="0" applyFill="0" applyBorder="0" applyAlignment="0" applyProtection="0"/>
    <xf numFmtId="0" fontId="215" fillId="0" borderId="0" applyNumberFormat="0" applyFill="0" applyBorder="0" applyAlignment="0" applyProtection="0"/>
    <xf numFmtId="3" fontId="217" fillId="85" borderId="0">
      <alignment horizontal="center"/>
    </xf>
    <xf numFmtId="0" fontId="91" fillId="0" borderId="1" applyNumberFormat="0" applyFill="0" applyAlignment="0" applyProtection="0"/>
    <xf numFmtId="0" fontId="218" fillId="0" borderId="33" applyNumberFormat="0" applyFill="0" applyAlignment="0" applyProtection="0"/>
    <xf numFmtId="0" fontId="218" fillId="0" borderId="33" applyNumberFormat="0" applyFill="0" applyAlignment="0" applyProtection="0"/>
    <xf numFmtId="0" fontId="92" fillId="0" borderId="2" applyNumberFormat="0" applyFill="0" applyAlignment="0" applyProtection="0"/>
    <xf numFmtId="0" fontId="219" fillId="0" borderId="35" applyNumberFormat="0" applyFill="0" applyAlignment="0" applyProtection="0"/>
    <xf numFmtId="0" fontId="219" fillId="0" borderId="35" applyNumberFormat="0" applyFill="0" applyAlignment="0" applyProtection="0"/>
    <xf numFmtId="0" fontId="93" fillId="0" borderId="3" applyNumberFormat="0" applyFill="0" applyAlignment="0" applyProtection="0"/>
    <xf numFmtId="0" fontId="146" fillId="0" borderId="37" applyNumberFormat="0" applyFill="0" applyAlignment="0" applyProtection="0"/>
    <xf numFmtId="0" fontId="146" fillId="0" borderId="37" applyNumberFormat="0" applyFill="0" applyAlignment="0" applyProtection="0"/>
    <xf numFmtId="0" fontId="90" fillId="0" borderId="0" applyNumberFormat="0" applyFill="0" applyBorder="0" applyAlignment="0" applyProtection="0"/>
    <xf numFmtId="0" fontId="215" fillId="0" borderId="0" applyNumberFormat="0" applyFill="0" applyBorder="0" applyAlignment="0" applyProtection="0"/>
    <xf numFmtId="0" fontId="220" fillId="0" borderId="27" applyNumberFormat="0" applyProtection="0">
      <alignment horizontal="center"/>
    </xf>
    <xf numFmtId="3" fontId="184" fillId="45" borderId="27">
      <alignment horizontal="center" vertical="center"/>
    </xf>
    <xf numFmtId="3" fontId="221" fillId="85" borderId="0">
      <alignment horizontal="left"/>
    </xf>
    <xf numFmtId="0" fontId="222" fillId="0" borderId="0" applyFill="0" applyBorder="0" applyAlignment="0" applyProtection="0"/>
    <xf numFmtId="0" fontId="104" fillId="0" borderId="9" applyNumberFormat="0" applyFill="0" applyAlignment="0" applyProtection="0"/>
    <xf numFmtId="0" fontId="122" fillId="0" borderId="55" applyNumberFormat="0" applyFill="0" applyAlignment="0" applyProtection="0"/>
    <xf numFmtId="0" fontId="122" fillId="0" borderId="55" applyNumberFormat="0" applyFill="0" applyAlignment="0" applyProtection="0"/>
    <xf numFmtId="37" fontId="174" fillId="69" borderId="0">
      <alignment horizontal="left" indent="1"/>
    </xf>
    <xf numFmtId="37" fontId="174" fillId="45" borderId="0">
      <alignment horizontal="left" vertical="center"/>
    </xf>
    <xf numFmtId="3" fontId="107" fillId="87" borderId="0">
      <alignment horizontal="right"/>
    </xf>
    <xf numFmtId="228" fontId="223" fillId="0" borderId="0">
      <alignment horizontal="left"/>
      <protection locked="0"/>
    </xf>
    <xf numFmtId="37" fontId="224" fillId="0" borderId="0">
      <protection locked="0"/>
    </xf>
    <xf numFmtId="229" fontId="109" fillId="0" borderId="0" applyFont="0" applyFill="0" applyBorder="0" applyAlignment="0" applyProtection="0"/>
    <xf numFmtId="229" fontId="109" fillId="0" borderId="0" applyFont="0" applyFill="0" applyBorder="0" applyAlignment="0" applyProtection="0"/>
    <xf numFmtId="2" fontId="155" fillId="0" borderId="0" applyFont="0" applyFill="0" applyBorder="0" applyAlignment="0" applyProtection="0"/>
    <xf numFmtId="0" fontId="145" fillId="0" borderId="0" applyFont="0" applyFill="0" applyBorder="0" applyAlignment="0" applyProtection="0"/>
    <xf numFmtId="0" fontId="109" fillId="0" borderId="0" applyFont="0" applyFill="0" applyBorder="0" applyAlignment="0" applyProtection="0"/>
    <xf numFmtId="0" fontId="109" fillId="0" borderId="0" applyFont="0" applyFill="0" applyBorder="0" applyAlignment="0" applyProtection="0"/>
    <xf numFmtId="0" fontId="225" fillId="0" borderId="0" applyNumberFormat="0" applyFill="0" applyBorder="0" applyAlignment="0" applyProtection="0"/>
    <xf numFmtId="0" fontId="178" fillId="0" borderId="0" applyNumberFormat="0" applyFill="0" applyBorder="0" applyAlignment="0" applyProtection="0"/>
    <xf numFmtId="0" fontId="225" fillId="0" borderId="0" applyNumberFormat="0" applyFill="0" applyBorder="0" applyAlignment="0" applyProtection="0"/>
    <xf numFmtId="174" fontId="226" fillId="0" borderId="0" applyNumberFormat="0" applyFill="0" applyBorder="0" applyAlignment="0" applyProtection="0"/>
    <xf numFmtId="40" fontId="109" fillId="0" borderId="0">
      <alignment horizontal="left" wrapText="1"/>
    </xf>
    <xf numFmtId="1" fontId="158" fillId="69" borderId="0">
      <alignment horizontal="right" vertical="center"/>
    </xf>
    <xf numFmtId="1" fontId="227" fillId="69" borderId="0">
      <alignment horizontal="right" vertical="center"/>
    </xf>
    <xf numFmtId="0" fontId="109" fillId="0" borderId="0" applyNumberFormat="0" applyFill="0" applyBorder="0" applyAlignment="0" applyProtection="0"/>
    <xf numFmtId="0" fontId="88" fillId="0" borderId="0"/>
    <xf numFmtId="9" fontId="88" fillId="0" borderId="0" applyFont="0" applyFill="0" applyBorder="0" applyAlignment="0" applyProtection="0"/>
    <xf numFmtId="167" fontId="88" fillId="0" borderId="0" applyFont="0" applyFill="0" applyBorder="0" applyAlignment="0" applyProtection="0"/>
    <xf numFmtId="0" fontId="88" fillId="0" borderId="0"/>
    <xf numFmtId="0" fontId="229" fillId="89" borderId="0"/>
    <xf numFmtId="43" fontId="88" fillId="0" borderId="0" applyFont="0" applyFill="0" applyBorder="0" applyAlignment="0" applyProtection="0"/>
    <xf numFmtId="0" fontId="88" fillId="0" borderId="0"/>
    <xf numFmtId="167" fontId="230" fillId="0" borderId="0" applyFont="0" applyFill="0" applyBorder="0" applyAlignment="0" applyProtection="0"/>
    <xf numFmtId="0" fontId="175" fillId="0" borderId="0" applyNumberFormat="0" applyFill="0" applyBorder="0" applyAlignment="0" applyProtection="0">
      <alignment vertical="top"/>
      <protection locked="0"/>
    </xf>
    <xf numFmtId="0" fontId="106" fillId="0" borderId="0"/>
    <xf numFmtId="0" fontId="87" fillId="0" borderId="0"/>
    <xf numFmtId="0" fontId="87" fillId="0" borderId="0"/>
    <xf numFmtId="167" fontId="106" fillId="0" borderId="0" applyFont="0" applyFill="0" applyBorder="0" applyAlignment="0" applyProtection="0"/>
    <xf numFmtId="232" fontId="109" fillId="0" borderId="0" applyFont="0" applyFill="0" applyBorder="0" applyAlignment="0" applyProtection="0"/>
    <xf numFmtId="177" fontId="109" fillId="0" borderId="0" applyFont="0" applyFill="0" applyBorder="0" applyAlignment="0" applyProtection="0"/>
    <xf numFmtId="166" fontId="109" fillId="0" borderId="0" applyFont="0" applyFill="0" applyBorder="0" applyAlignment="0" applyProtection="0"/>
    <xf numFmtId="233" fontId="109" fillId="0" borderId="0" applyFont="0" applyFill="0" applyBorder="0" applyAlignment="0" applyProtection="0"/>
    <xf numFmtId="234" fontId="109" fillId="0" borderId="0" applyFont="0" applyFill="0" applyBorder="0" applyAlignment="0" applyProtection="0"/>
    <xf numFmtId="235" fontId="109" fillId="0" borderId="0" applyFont="0" applyFill="0" applyBorder="0" applyAlignment="0" applyProtection="0"/>
    <xf numFmtId="236" fontId="109" fillId="0" borderId="0" applyFont="0" applyFill="0" applyBorder="0" applyAlignment="0" applyProtection="0"/>
    <xf numFmtId="15" fontId="191" fillId="0" borderId="46" applyFont="0" applyFill="0" applyBorder="0" applyAlignment="0" applyProtection="0"/>
    <xf numFmtId="0" fontId="234" fillId="0" borderId="0"/>
    <xf numFmtId="37" fontId="235" fillId="0" borderId="0"/>
    <xf numFmtId="0" fontId="86" fillId="0" borderId="0"/>
    <xf numFmtId="165" fontId="86" fillId="0" borderId="0" applyFont="0" applyFill="0" applyBorder="0" applyAlignment="0" applyProtection="0"/>
    <xf numFmtId="0" fontId="85" fillId="0" borderId="0"/>
    <xf numFmtId="165" fontId="85" fillId="0" borderId="0" applyFont="0" applyFill="0" applyBorder="0" applyAlignment="0" applyProtection="0"/>
    <xf numFmtId="0" fontId="84" fillId="0" borderId="0"/>
    <xf numFmtId="0" fontId="84" fillId="0" borderId="0"/>
    <xf numFmtId="9" fontId="106" fillId="0" borderId="0" applyFont="0" applyFill="0" applyBorder="0" applyAlignment="0" applyProtection="0"/>
    <xf numFmtId="0" fontId="83" fillId="0" borderId="0"/>
    <xf numFmtId="0" fontId="164" fillId="0" borderId="35" applyNumberFormat="0" applyFill="0" applyAlignment="0" applyProtection="0"/>
    <xf numFmtId="167" fontId="106" fillId="0" borderId="0" applyFont="0" applyFill="0" applyBorder="0" applyAlignment="0" applyProtection="0"/>
    <xf numFmtId="0" fontId="82" fillId="0" borderId="0"/>
    <xf numFmtId="165" fontId="81" fillId="0" borderId="0" applyFont="0" applyFill="0" applyBorder="0" applyAlignment="0" applyProtection="0"/>
    <xf numFmtId="0" fontId="109" fillId="0" borderId="0"/>
    <xf numFmtId="0" fontId="80" fillId="0" borderId="0"/>
    <xf numFmtId="0" fontId="256" fillId="0" borderId="0" applyNumberFormat="0" applyFill="0" applyBorder="0">
      <alignment vertical="center"/>
    </xf>
    <xf numFmtId="167" fontId="256" fillId="0" borderId="0" applyFont="0" applyFill="0" applyBorder="0" applyAlignment="0" applyProtection="0"/>
    <xf numFmtId="165" fontId="79" fillId="0" borderId="0" applyFont="0" applyFill="0" applyBorder="0" applyAlignment="0" applyProtection="0"/>
    <xf numFmtId="165" fontId="78" fillId="0" borderId="0" applyFont="0" applyFill="0" applyBorder="0" applyAlignment="0" applyProtection="0"/>
    <xf numFmtId="0" fontId="78" fillId="0" borderId="0"/>
    <xf numFmtId="0" fontId="77" fillId="0" borderId="0"/>
    <xf numFmtId="0" fontId="76" fillId="0" borderId="0"/>
    <xf numFmtId="0" fontId="76" fillId="0" borderId="0"/>
    <xf numFmtId="0" fontId="75" fillId="0" borderId="0"/>
    <xf numFmtId="165" fontId="74" fillId="0" borderId="0" applyFont="0" applyFill="0" applyBorder="0" applyAlignment="0" applyProtection="0"/>
    <xf numFmtId="0" fontId="74" fillId="0" borderId="0"/>
    <xf numFmtId="0" fontId="74" fillId="0" borderId="0"/>
    <xf numFmtId="241" fontId="74" fillId="0" borderId="0" applyFont="0" applyFill="0" applyBorder="0" applyAlignment="0" applyProtection="0"/>
    <xf numFmtId="167" fontId="74" fillId="0" borderId="0" applyFont="0" applyFill="0" applyBorder="0" applyAlignment="0" applyProtection="0"/>
    <xf numFmtId="0" fontId="74" fillId="0" borderId="0"/>
    <xf numFmtId="241" fontId="74"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0" fontId="73" fillId="0" borderId="0"/>
    <xf numFmtId="0" fontId="73" fillId="0" borderId="0"/>
    <xf numFmtId="43" fontId="73" fillId="0" borderId="0" applyFont="0" applyFill="0" applyBorder="0" applyAlignment="0" applyProtection="0"/>
    <xf numFmtId="0" fontId="72" fillId="0" borderId="0"/>
    <xf numFmtId="241" fontId="72" fillId="0" borderId="0" applyFont="0" applyFill="0" applyBorder="0" applyAlignment="0" applyProtection="0"/>
    <xf numFmtId="167" fontId="72" fillId="0" borderId="0" applyFont="0" applyFill="0" applyBorder="0" applyAlignment="0" applyProtection="0"/>
    <xf numFmtId="165" fontId="72" fillId="0" borderId="0" applyFont="0" applyFill="0" applyBorder="0" applyAlignment="0" applyProtection="0"/>
    <xf numFmtId="0" fontId="72" fillId="0" borderId="0"/>
    <xf numFmtId="241" fontId="72" fillId="0" borderId="0" applyFont="0" applyFill="0" applyBorder="0" applyAlignment="0" applyProtection="0"/>
    <xf numFmtId="241" fontId="72" fillId="0" borderId="0" applyFont="0" applyFill="0" applyBorder="0" applyAlignment="0" applyProtection="0"/>
    <xf numFmtId="165" fontId="72" fillId="0" borderId="0" applyFont="0" applyFill="0" applyBorder="0" applyAlignment="0" applyProtection="0"/>
    <xf numFmtId="43" fontId="72" fillId="0" borderId="0" applyFont="0" applyFill="0" applyBorder="0" applyAlignment="0" applyProtection="0"/>
    <xf numFmtId="0" fontId="71" fillId="0" borderId="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0" fontId="69" fillId="0" borderId="0"/>
    <xf numFmtId="0" fontId="68" fillId="0" borderId="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0" fontId="67" fillId="0" borderId="0"/>
    <xf numFmtId="241" fontId="67" fillId="0" borderId="0" applyFont="0" applyFill="0" applyBorder="0" applyAlignment="0" applyProtection="0"/>
    <xf numFmtId="167" fontId="67" fillId="0" borderId="0" applyFont="0" applyFill="0" applyBorder="0" applyAlignment="0" applyProtection="0"/>
    <xf numFmtId="0" fontId="67" fillId="0" borderId="0"/>
    <xf numFmtId="0" fontId="67" fillId="0" borderId="0"/>
    <xf numFmtId="241" fontId="67" fillId="0" borderId="0" applyFont="0" applyFill="0" applyBorder="0" applyAlignment="0" applyProtection="0"/>
    <xf numFmtId="241" fontId="67" fillId="0" borderId="0" applyFont="0" applyFill="0" applyBorder="0" applyAlignment="0" applyProtection="0"/>
    <xf numFmtId="165" fontId="67" fillId="0" borderId="0" applyFont="0" applyFill="0" applyBorder="0" applyAlignment="0" applyProtection="0"/>
    <xf numFmtId="43" fontId="67" fillId="0" borderId="0" applyFont="0" applyFill="0" applyBorder="0" applyAlignment="0" applyProtection="0"/>
    <xf numFmtId="0" fontId="66" fillId="0" borderId="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0" fontId="65" fillId="0" borderId="0"/>
    <xf numFmtId="241" fontId="65" fillId="0" borderId="0" applyFont="0" applyFill="0" applyBorder="0" applyAlignment="0" applyProtection="0"/>
    <xf numFmtId="167" fontId="65" fillId="0" borderId="0" applyFont="0" applyFill="0" applyBorder="0" applyAlignment="0" applyProtection="0"/>
    <xf numFmtId="0" fontId="64" fillId="0" borderId="0"/>
    <xf numFmtId="241" fontId="64" fillId="0" borderId="0" applyFont="0" applyFill="0" applyBorder="0" applyAlignment="0" applyProtection="0"/>
    <xf numFmtId="165" fontId="64" fillId="0" borderId="0" applyFont="0" applyFill="0" applyBorder="0" applyAlignment="0" applyProtection="0"/>
    <xf numFmtId="167" fontId="64" fillId="0" borderId="0" applyFont="0" applyFill="0" applyBorder="0" applyAlignment="0" applyProtection="0"/>
    <xf numFmtId="0" fontId="64" fillId="0" borderId="0"/>
    <xf numFmtId="241" fontId="64" fillId="0" borderId="0" applyFont="0" applyFill="0" applyBorder="0" applyAlignment="0" applyProtection="0"/>
    <xf numFmtId="241" fontId="64" fillId="0" borderId="0" applyFont="0" applyFill="0" applyBorder="0" applyAlignment="0" applyProtection="0"/>
    <xf numFmtId="165" fontId="64" fillId="0" borderId="0" applyFont="0" applyFill="0" applyBorder="0" applyAlignment="0" applyProtection="0"/>
    <xf numFmtId="43"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0" fontId="63" fillId="0" borderId="0"/>
    <xf numFmtId="0" fontId="63" fillId="0" borderId="0"/>
    <xf numFmtId="241" fontId="63" fillId="0" borderId="0" applyFont="0" applyFill="0" applyBorder="0" applyAlignment="0" applyProtection="0"/>
    <xf numFmtId="43" fontId="63" fillId="0" borderId="0" applyFont="0" applyFill="0" applyBorder="0" applyAlignment="0" applyProtection="0"/>
    <xf numFmtId="0" fontId="63" fillId="0" borderId="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0" fontId="62" fillId="0" borderId="0"/>
    <xf numFmtId="241" fontId="62" fillId="0" borderId="0" applyFont="0" applyFill="0" applyBorder="0" applyAlignment="0" applyProtection="0"/>
    <xf numFmtId="43" fontId="62" fillId="0" borderId="0" applyFont="0" applyFill="0" applyBorder="0" applyAlignment="0" applyProtection="0"/>
    <xf numFmtId="0" fontId="61" fillId="0" borderId="0"/>
    <xf numFmtId="9" fontId="61" fillId="0" borderId="0" applyFont="0" applyFill="0" applyBorder="0" applyAlignment="0" applyProtection="0"/>
    <xf numFmtId="165" fontId="61" fillId="0" borderId="0" applyFont="0" applyFill="0" applyBorder="0" applyAlignment="0" applyProtection="0"/>
    <xf numFmtId="165" fontId="60" fillId="0" borderId="0" applyFont="0" applyFill="0" applyBorder="0" applyAlignment="0" applyProtection="0"/>
    <xf numFmtId="242" fontId="261" fillId="94" borderId="59" applyAlignment="0" applyProtection="0">
      <alignment horizontal="left" vertical="center" indent="1"/>
    </xf>
    <xf numFmtId="243"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0" fontId="60" fillId="0" borderId="0"/>
    <xf numFmtId="0" fontId="60" fillId="0" borderId="0"/>
    <xf numFmtId="241" fontId="60" fillId="0" borderId="0" applyFont="0" applyFill="0" applyBorder="0" applyAlignment="0" applyProtection="0"/>
    <xf numFmtId="0" fontId="60" fillId="0" borderId="0"/>
    <xf numFmtId="43" fontId="60" fillId="0" borderId="0" applyFont="0" applyFill="0" applyBorder="0" applyAlignment="0" applyProtection="0"/>
    <xf numFmtId="0" fontId="59" fillId="0" borderId="0"/>
    <xf numFmtId="165" fontId="59" fillId="0" borderId="0" applyFont="0" applyFill="0" applyBorder="0" applyAlignment="0" applyProtection="0"/>
    <xf numFmtId="243"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0" fontId="58" fillId="0" borderId="0"/>
    <xf numFmtId="241" fontId="58" fillId="0" borderId="0" applyFont="0" applyFill="0" applyBorder="0" applyAlignment="0" applyProtection="0"/>
    <xf numFmtId="0" fontId="58" fillId="0" borderId="0"/>
    <xf numFmtId="43" fontId="58" fillId="0" borderId="0" applyFont="0" applyFill="0" applyBorder="0" applyAlignment="0" applyProtection="0"/>
    <xf numFmtId="165" fontId="58" fillId="0" borderId="0" applyFont="0" applyFill="0" applyBorder="0" applyAlignment="0" applyProtection="0"/>
    <xf numFmtId="0" fontId="57" fillId="0" borderId="0"/>
    <xf numFmtId="9" fontId="57" fillId="0" borderId="0" applyFont="0" applyFill="0" applyBorder="0" applyAlignment="0" applyProtection="0"/>
    <xf numFmtId="0" fontId="109" fillId="0" borderId="0"/>
    <xf numFmtId="0" fontId="56" fillId="0" borderId="0"/>
    <xf numFmtId="165"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243"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9" fontId="56" fillId="0" borderId="0" applyFont="0" applyFill="0" applyBorder="0" applyAlignment="0" applyProtection="0"/>
    <xf numFmtId="0" fontId="55" fillId="0" borderId="0"/>
    <xf numFmtId="9"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243" fontId="55" fillId="0" borderId="0" applyFont="0" applyFill="0" applyBorder="0" applyAlignment="0" applyProtection="0"/>
    <xf numFmtId="241" fontId="55" fillId="0" borderId="0" applyFont="0" applyFill="0" applyBorder="0" applyAlignment="0" applyProtection="0"/>
    <xf numFmtId="0" fontId="55" fillId="0" borderId="0"/>
    <xf numFmtId="241" fontId="55" fillId="0" borderId="0" applyFont="0" applyFill="0" applyBorder="0" applyAlignment="0" applyProtection="0"/>
    <xf numFmtId="0" fontId="55" fillId="0" borderId="0"/>
    <xf numFmtId="43" fontId="55" fillId="0" borderId="0" applyFont="0" applyFill="0" applyBorder="0" applyAlignment="0" applyProtection="0"/>
    <xf numFmtId="0" fontId="54" fillId="0" borderId="0"/>
    <xf numFmtId="9" fontId="54" fillId="0" borderId="0" applyFont="0" applyFill="0" applyBorder="0" applyAlignment="0" applyProtection="0"/>
    <xf numFmtId="0" fontId="53" fillId="0" borderId="0"/>
    <xf numFmtId="241" fontId="53" fillId="0" borderId="0" applyFont="0" applyFill="0" applyBorder="0" applyAlignment="0" applyProtection="0"/>
    <xf numFmtId="0" fontId="52" fillId="0" borderId="0"/>
    <xf numFmtId="241" fontId="52"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0" fontId="49" fillId="0" borderId="0"/>
    <xf numFmtId="9"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0" fontId="49" fillId="0" borderId="0"/>
    <xf numFmtId="241" fontId="49" fillId="0" borderId="0" applyFont="0" applyFill="0" applyBorder="0" applyAlignment="0" applyProtection="0"/>
    <xf numFmtId="43" fontId="49" fillId="0" borderId="0" applyFont="0" applyFill="0" applyBorder="0" applyAlignment="0" applyProtection="0"/>
    <xf numFmtId="0" fontId="48" fillId="0" borderId="0"/>
    <xf numFmtId="165" fontId="47" fillId="0" borderId="0" applyFont="0" applyFill="0" applyBorder="0" applyAlignment="0" applyProtection="0"/>
    <xf numFmtId="165" fontId="47" fillId="0" borderId="0" applyFont="0" applyFill="0" applyBorder="0" applyAlignment="0" applyProtection="0"/>
    <xf numFmtId="0" fontId="46" fillId="0" borderId="0"/>
    <xf numFmtId="241" fontId="46" fillId="0" borderId="0" applyFont="0" applyFill="0" applyBorder="0" applyAlignment="0" applyProtection="0"/>
    <xf numFmtId="43" fontId="46" fillId="0" borderId="0" applyFont="0" applyFill="0" applyBorder="0" applyAlignment="0" applyProtection="0"/>
    <xf numFmtId="0" fontId="45" fillId="0" borderId="0"/>
    <xf numFmtId="43" fontId="45" fillId="0" borderId="0" applyFont="0" applyFill="0" applyBorder="0" applyAlignment="0" applyProtection="0"/>
    <xf numFmtId="0" fontId="44" fillId="0" borderId="0"/>
    <xf numFmtId="241" fontId="44" fillId="0" borderId="0" applyFont="0" applyFill="0" applyBorder="0" applyAlignment="0" applyProtection="0"/>
    <xf numFmtId="43" fontId="44" fillId="0" borderId="0" applyFont="0" applyFill="0" applyBorder="0" applyAlignment="0" applyProtection="0"/>
    <xf numFmtId="0" fontId="43" fillId="0" borderId="0"/>
    <xf numFmtId="241" fontId="43"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0" fontId="42" fillId="0" borderId="0"/>
    <xf numFmtId="241" fontId="42" fillId="0" borderId="0" applyFont="0" applyFill="0" applyBorder="0" applyAlignment="0" applyProtection="0"/>
    <xf numFmtId="43" fontId="42" fillId="0" borderId="0" applyFont="0" applyFill="0" applyBorder="0" applyAlignment="0" applyProtection="0"/>
    <xf numFmtId="0" fontId="41" fillId="0" borderId="0"/>
    <xf numFmtId="43" fontId="41"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40" fillId="0" borderId="0"/>
    <xf numFmtId="165" fontId="40" fillId="0" borderId="0" applyFont="0" applyFill="0" applyBorder="0" applyAlignment="0" applyProtection="0"/>
    <xf numFmtId="165" fontId="40" fillId="0" borderId="0" applyFont="0" applyFill="0" applyBorder="0" applyAlignment="0" applyProtection="0"/>
    <xf numFmtId="43" fontId="106" fillId="0" borderId="0" applyFont="0" applyFill="0" applyBorder="0" applyAlignment="0" applyProtection="0"/>
    <xf numFmtId="9" fontId="40" fillId="0" borderId="0" applyFont="0" applyFill="0" applyBorder="0" applyAlignment="0" applyProtection="0"/>
    <xf numFmtId="0" fontId="39" fillId="0" borderId="0"/>
    <xf numFmtId="241" fontId="39" fillId="0" borderId="0" applyFont="0" applyFill="0" applyBorder="0" applyAlignment="0" applyProtection="0"/>
    <xf numFmtId="43" fontId="39" fillId="0" borderId="0" applyFont="0" applyFill="0" applyBorder="0" applyAlignment="0" applyProtection="0"/>
    <xf numFmtId="41" fontId="39" fillId="0" borderId="0" applyFont="0" applyFill="0" applyBorder="0" applyAlignment="0" applyProtection="0"/>
    <xf numFmtId="165" fontId="39" fillId="0" borderId="0" applyFont="0" applyFill="0" applyBorder="0" applyAlignment="0" applyProtection="0"/>
    <xf numFmtId="0" fontId="38" fillId="0" borderId="0"/>
    <xf numFmtId="165" fontId="38"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0" fontId="37" fillId="0" borderId="0"/>
    <xf numFmtId="241" fontId="37" fillId="0" borderId="0" applyFont="0" applyFill="0" applyBorder="0" applyAlignment="0" applyProtection="0"/>
    <xf numFmtId="43" fontId="37" fillId="0" borderId="0" applyFont="0" applyFill="0" applyBorder="0" applyAlignment="0" applyProtection="0"/>
    <xf numFmtId="41" fontId="37" fillId="0" borderId="0" applyFont="0" applyFill="0" applyBorder="0" applyAlignment="0" applyProtection="0"/>
    <xf numFmtId="0" fontId="36" fillId="0" borderId="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9" fontId="36" fillId="0" borderId="0" applyFont="0" applyFill="0" applyBorder="0" applyAlignment="0" applyProtection="0"/>
    <xf numFmtId="0" fontId="36" fillId="0" borderId="0"/>
    <xf numFmtId="241"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0" fontId="35" fillId="0" borderId="0"/>
    <xf numFmtId="165" fontId="35" fillId="0" borderId="0" applyFont="0" applyFill="0" applyBorder="0" applyAlignment="0" applyProtection="0"/>
    <xf numFmtId="165" fontId="35" fillId="0" borderId="0" applyFont="0" applyFill="0" applyBorder="0" applyAlignment="0" applyProtection="0"/>
    <xf numFmtId="0" fontId="35" fillId="0" borderId="0"/>
    <xf numFmtId="241" fontId="35" fillId="0" borderId="0" applyFont="0" applyFill="0" applyBorder="0" applyAlignment="0" applyProtection="0"/>
    <xf numFmtId="43" fontId="35" fillId="0" borderId="0" applyFont="0" applyFill="0" applyBorder="0" applyAlignment="0" applyProtection="0"/>
    <xf numFmtId="41" fontId="35" fillId="0" borderId="0" applyFont="0" applyFill="0" applyBorder="0" applyAlignment="0" applyProtection="0"/>
    <xf numFmtId="9" fontId="35" fillId="0" borderId="0" applyFont="0" applyFill="0" applyBorder="0" applyAlignment="0" applyProtection="0"/>
    <xf numFmtId="0" fontId="34" fillId="0" borderId="0"/>
    <xf numFmtId="241"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0" fontId="33" fillId="0" borderId="0"/>
    <xf numFmtId="43" fontId="33"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0" fontId="32" fillId="0" borderId="0"/>
    <xf numFmtId="165" fontId="32" fillId="0" borderId="0" applyFont="0" applyFill="0" applyBorder="0" applyAlignment="0" applyProtection="0"/>
    <xf numFmtId="165" fontId="32" fillId="0" borderId="0" applyFont="0" applyFill="0" applyBorder="0" applyAlignment="0" applyProtection="0"/>
    <xf numFmtId="0" fontId="32" fillId="0" borderId="0"/>
    <xf numFmtId="241"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0" fontId="30" fillId="0" borderId="0"/>
    <xf numFmtId="43" fontId="109" fillId="0" borderId="0" applyFont="0" applyFill="0" applyBorder="0" applyAlignment="0" applyProtection="0"/>
    <xf numFmtId="9" fontId="30" fillId="0" borderId="0" applyFont="0" applyFill="0" applyBorder="0" applyAlignment="0" applyProtection="0"/>
    <xf numFmtId="0" fontId="29" fillId="0" borderId="0"/>
    <xf numFmtId="241" fontId="29"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0" fontId="25" fillId="0" borderId="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0" fontId="109" fillId="0" borderId="0"/>
    <xf numFmtId="41" fontId="109" fillId="0" borderId="0" applyFont="0" applyFill="0" applyBorder="0" applyAlignment="0" applyProtection="0"/>
    <xf numFmtId="165" fontId="25" fillId="0" borderId="0" applyFont="0" applyFill="0" applyBorder="0" applyAlignment="0" applyProtection="0"/>
    <xf numFmtId="41"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241" fontId="25" fillId="0" borderId="0" applyFont="0" applyFill="0" applyBorder="0" applyAlignment="0" applyProtection="0"/>
    <xf numFmtId="43"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0" fontId="23" fillId="0" borderId="0"/>
    <xf numFmtId="165" fontId="23" fillId="0" borderId="0" applyFont="0" applyFill="0" applyBorder="0" applyAlignment="0" applyProtection="0"/>
    <xf numFmtId="0" fontId="22" fillId="0" borderId="0"/>
    <xf numFmtId="165" fontId="22" fillId="0" borderId="0" applyFont="0" applyFill="0" applyBorder="0" applyAlignment="0" applyProtection="0"/>
    <xf numFmtId="0" fontId="21" fillId="0" borderId="0"/>
    <xf numFmtId="165" fontId="21" fillId="0" borderId="0" applyFont="0" applyFill="0" applyBorder="0" applyAlignment="0" applyProtection="0"/>
    <xf numFmtId="41" fontId="265"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1" fontId="20" fillId="0" borderId="0" applyFont="0" applyFill="0" applyBorder="0" applyAlignment="0" applyProtection="0"/>
    <xf numFmtId="0" fontId="20"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241"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241" fontId="17"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241" fontId="16" fillId="0" borderId="0" applyFont="0" applyFill="0" applyBorder="0" applyAlignment="0" applyProtection="0"/>
    <xf numFmtId="43" fontId="16"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1" fontId="15" fillId="0" borderId="0" applyFont="0" applyFill="0" applyBorder="0" applyAlignment="0" applyProtection="0"/>
    <xf numFmtId="0" fontId="15" fillId="0" borderId="0"/>
    <xf numFmtId="0" fontId="14" fillId="0" borderId="0"/>
    <xf numFmtId="241"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1" fontId="11" fillId="0" borderId="0" applyFont="0" applyFill="0" applyBorder="0" applyAlignment="0" applyProtection="0"/>
    <xf numFmtId="0" fontId="11" fillId="0" borderId="0"/>
    <xf numFmtId="9" fontId="11" fillId="0" borderId="0" applyFont="0" applyFill="0" applyBorder="0" applyAlignment="0" applyProtection="0"/>
    <xf numFmtId="0" fontId="10" fillId="0" borderId="0"/>
    <xf numFmtId="241" fontId="10"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6" fillId="0" borderId="0"/>
    <xf numFmtId="0" fontId="6" fillId="0" borderId="0"/>
    <xf numFmtId="41"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3" fontId="5" fillId="0" borderId="0" applyFont="0" applyFill="0" applyBorder="0" applyAlignment="0" applyProtection="0"/>
    <xf numFmtId="41" fontId="4" fillId="0" borderId="0" applyFont="0" applyFill="0" applyBorder="0" applyAlignment="0" applyProtection="0"/>
    <xf numFmtId="0" fontId="4" fillId="0" borderId="0"/>
    <xf numFmtId="43" fontId="4" fillId="0" borderId="0" applyFont="0" applyFill="0" applyBorder="0" applyAlignment="0" applyProtection="0"/>
    <xf numFmtId="41"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543">
    <xf numFmtId="0" fontId="0" fillId="0" borderId="0" xfId="0"/>
    <xf numFmtId="0" fontId="108" fillId="0" borderId="0" xfId="2" applyFont="1" applyAlignment="1">
      <alignment vertical="center" wrapText="1"/>
    </xf>
    <xf numFmtId="0" fontId="107" fillId="0" borderId="0" xfId="2" applyFont="1" applyAlignment="1">
      <alignment vertical="center" wrapText="1"/>
    </xf>
    <xf numFmtId="0" fontId="108" fillId="0" borderId="0" xfId="2" applyFont="1" applyBorder="1" applyAlignment="1">
      <alignment vertical="center" wrapText="1"/>
    </xf>
    <xf numFmtId="0" fontId="108" fillId="0" borderId="0" xfId="2" applyFont="1" applyFill="1" applyBorder="1" applyAlignment="1">
      <alignment vertical="center" wrapText="1"/>
    </xf>
    <xf numFmtId="37" fontId="228" fillId="0" borderId="0" xfId="2" applyNumberFormat="1" applyFont="1" applyAlignment="1">
      <alignment vertical="center" wrapText="1"/>
    </xf>
    <xf numFmtId="37" fontId="108" fillId="0" borderId="0" xfId="2" applyNumberFormat="1" applyFont="1" applyFill="1" applyBorder="1" applyAlignment="1">
      <alignment vertical="center" wrapText="1"/>
    </xf>
    <xf numFmtId="3" fontId="107" fillId="0" borderId="0" xfId="2" applyNumberFormat="1" applyFont="1" applyFill="1" applyBorder="1" applyAlignment="1">
      <alignment vertical="center" wrapText="1"/>
    </xf>
    <xf numFmtId="0" fontId="107" fillId="0" borderId="0" xfId="2" applyFont="1" applyBorder="1" applyAlignment="1">
      <alignment vertical="center" wrapText="1"/>
    </xf>
    <xf numFmtId="37" fontId="107" fillId="0" borderId="0" xfId="2" applyNumberFormat="1" applyFont="1" applyFill="1" applyBorder="1" applyAlignment="1">
      <alignment vertical="center" wrapText="1"/>
    </xf>
    <xf numFmtId="0" fontId="112" fillId="0" borderId="0" xfId="2" applyFont="1" applyBorder="1" applyAlignment="1">
      <alignment vertical="center" wrapText="1"/>
    </xf>
    <xf numFmtId="0" fontId="108" fillId="0" borderId="0" xfId="2" applyFont="1" applyFill="1" applyBorder="1" applyAlignment="1">
      <alignment horizontal="left" vertical="center" wrapText="1" indent="1"/>
    </xf>
    <xf numFmtId="231" fontId="108" fillId="0" borderId="0" xfId="2" applyNumberFormat="1" applyFont="1" applyAlignment="1">
      <alignment vertical="center" wrapText="1"/>
    </xf>
    <xf numFmtId="0" fontId="109" fillId="0" borderId="0" xfId="3" applyFont="1" applyAlignment="1">
      <alignment horizontal="right" vertical="center" wrapText="1"/>
    </xf>
    <xf numFmtId="0" fontId="109" fillId="0" borderId="0" xfId="3" applyFont="1" applyFill="1" applyAlignment="1">
      <alignment horizontal="left" vertical="center" wrapText="1"/>
    </xf>
    <xf numFmtId="0" fontId="108" fillId="0" borderId="0" xfId="3" applyFont="1" applyFill="1" applyBorder="1" applyAlignment="1" applyProtection="1">
      <alignment horizontal="left" vertical="center" wrapText="1"/>
      <protection locked="0"/>
    </xf>
    <xf numFmtId="0" fontId="108" fillId="0" borderId="13" xfId="3" applyFont="1" applyBorder="1" applyAlignment="1" applyProtection="1">
      <alignment horizontal="left"/>
      <protection locked="0"/>
    </xf>
    <xf numFmtId="3" fontId="109" fillId="0" borderId="0" xfId="3" applyNumberFormat="1" applyFont="1" applyAlignment="1">
      <alignment horizontal="left" vertical="center" wrapText="1"/>
    </xf>
    <xf numFmtId="0" fontId="108" fillId="0" borderId="0" xfId="3" applyFont="1" applyBorder="1" applyAlignment="1" applyProtection="1">
      <alignment horizontal="left"/>
      <protection locked="0"/>
    </xf>
    <xf numFmtId="0" fontId="108" fillId="0" borderId="0" xfId="3" applyFont="1" applyBorder="1" applyAlignment="1" applyProtection="1">
      <alignment horizontal="left" vertical="center" wrapText="1"/>
      <protection locked="0"/>
    </xf>
    <xf numFmtId="0" fontId="109" fillId="0" borderId="0" xfId="3" applyFont="1" applyBorder="1" applyAlignment="1">
      <alignment horizontal="left" vertical="center" wrapText="1"/>
    </xf>
    <xf numFmtId="0" fontId="228" fillId="0" borderId="0" xfId="2" applyFont="1" applyAlignment="1">
      <alignment vertical="center" wrapText="1"/>
    </xf>
    <xf numFmtId="3" fontId="238" fillId="0" borderId="0" xfId="2" applyNumberFormat="1" applyFont="1" applyFill="1" applyBorder="1" applyAlignment="1">
      <alignment horizontal="right" vertical="center" wrapText="1"/>
    </xf>
    <xf numFmtId="237" fontId="109" fillId="0" borderId="0" xfId="403" applyNumberFormat="1" applyFont="1" applyBorder="1" applyAlignment="1">
      <alignment horizontal="right" vertical="center" wrapText="1"/>
    </xf>
    <xf numFmtId="0" fontId="109" fillId="0" borderId="0" xfId="3" applyFont="1" applyAlignment="1">
      <alignment horizontal="left" vertical="center" wrapText="1"/>
    </xf>
    <xf numFmtId="0" fontId="108" fillId="0" borderId="0" xfId="2" applyFont="1" applyFill="1" applyAlignment="1">
      <alignment horizontal="right" vertical="center" wrapText="1"/>
    </xf>
    <xf numFmtId="0" fontId="109" fillId="0" borderId="0" xfId="3" applyFont="1" applyAlignment="1">
      <alignment vertical="center" wrapText="1"/>
    </xf>
    <xf numFmtId="0" fontId="108" fillId="0" borderId="0" xfId="2" applyFont="1" applyBorder="1" applyAlignment="1">
      <alignment horizontal="right" vertical="center" wrapText="1"/>
    </xf>
    <xf numFmtId="198" fontId="240" fillId="0" borderId="0" xfId="456" applyNumberFormat="1" applyFont="1" applyFill="1" applyBorder="1"/>
    <xf numFmtId="0" fontId="109" fillId="0" borderId="0" xfId="3" applyFont="1" applyFill="1" applyBorder="1" applyAlignment="1">
      <alignment horizontal="left" vertical="center" wrapText="1"/>
    </xf>
    <xf numFmtId="3" fontId="109" fillId="0" borderId="0" xfId="3" applyNumberFormat="1" applyFont="1" applyFill="1" applyBorder="1" applyAlignment="1">
      <alignment horizontal="right" vertical="center" wrapText="1"/>
    </xf>
    <xf numFmtId="0" fontId="109" fillId="0" borderId="0" xfId="592" applyNumberFormat="1" applyFont="1" applyFill="1" applyBorder="1" applyAlignment="1" applyProtection="1">
      <protection locked="0"/>
    </xf>
    <xf numFmtId="0" fontId="174" fillId="0" borderId="0" xfId="3" applyFont="1" applyFill="1" applyBorder="1" applyAlignment="1">
      <alignment horizontal="left" vertical="center" wrapText="1"/>
    </xf>
    <xf numFmtId="3" fontId="174" fillId="0" borderId="0" xfId="3" applyNumberFormat="1" applyFont="1" applyFill="1" applyBorder="1" applyAlignment="1">
      <alignment horizontal="right" vertical="center" wrapText="1"/>
    </xf>
    <xf numFmtId="230" fontId="174" fillId="0" borderId="0" xfId="1" applyNumberFormat="1" applyFont="1" applyFill="1" applyBorder="1" applyAlignment="1">
      <alignment horizontal="right" vertical="center" wrapText="1"/>
    </xf>
    <xf numFmtId="0" fontId="174" fillId="0" borderId="0" xfId="3" applyFont="1" applyBorder="1" applyAlignment="1">
      <alignment horizontal="center" vertical="center" wrapText="1"/>
    </xf>
    <xf numFmtId="0" fontId="109" fillId="0" borderId="0" xfId="3" applyFont="1" applyBorder="1" applyAlignment="1">
      <alignment horizontal="right" vertical="center" wrapText="1"/>
    </xf>
    <xf numFmtId="167" fontId="109" fillId="0" borderId="0" xfId="922" applyFont="1" applyBorder="1" applyAlignment="1">
      <alignment horizontal="left" vertical="center" wrapText="1"/>
    </xf>
    <xf numFmtId="231" fontId="109" fillId="0" borderId="0" xfId="922" applyNumberFormat="1" applyFont="1" applyFill="1" applyBorder="1" applyAlignment="1">
      <alignment horizontal="right" vertical="center" wrapText="1"/>
    </xf>
    <xf numFmtId="3" fontId="109" fillId="0" borderId="0" xfId="3" applyNumberFormat="1" applyFont="1" applyBorder="1" applyAlignment="1">
      <alignment horizontal="right" vertical="center" wrapText="1"/>
    </xf>
    <xf numFmtId="231" fontId="109" fillId="0" borderId="0" xfId="922" applyNumberFormat="1" applyFont="1" applyBorder="1" applyAlignment="1">
      <alignment horizontal="right" vertical="center" wrapText="1"/>
    </xf>
    <xf numFmtId="0" fontId="241" fillId="0" borderId="0" xfId="592" applyFont="1" applyFill="1" applyBorder="1"/>
    <xf numFmtId="231" fontId="242" fillId="0" borderId="0" xfId="403" applyNumberFormat="1" applyFont="1" applyFill="1" applyBorder="1"/>
    <xf numFmtId="0" fontId="242" fillId="0" borderId="0" xfId="592" applyFont="1" applyFill="1" applyBorder="1"/>
    <xf numFmtId="231" fontId="241" fillId="0" borderId="0" xfId="403" applyNumberFormat="1" applyFont="1" applyFill="1" applyBorder="1" applyAlignment="1">
      <alignment horizontal="center"/>
    </xf>
    <xf numFmtId="231" fontId="241" fillId="0" borderId="0" xfId="403" quotePrefix="1" applyNumberFormat="1" applyFont="1" applyFill="1" applyBorder="1" applyAlignment="1">
      <alignment horizontal="center"/>
    </xf>
    <xf numFmtId="231" fontId="241" fillId="0" borderId="0" xfId="403" applyNumberFormat="1" applyFont="1" applyFill="1" applyBorder="1"/>
    <xf numFmtId="0" fontId="174" fillId="91" borderId="0" xfId="3" applyFont="1" applyFill="1" applyBorder="1" applyAlignment="1">
      <alignment horizontal="left" vertical="center" wrapText="1"/>
    </xf>
    <xf numFmtId="231" fontId="174" fillId="91" borderId="0" xfId="922" applyNumberFormat="1" applyFont="1" applyFill="1" applyBorder="1" applyAlignment="1">
      <alignment horizontal="right" vertical="center" wrapText="1"/>
    </xf>
    <xf numFmtId="0" fontId="109" fillId="91" borderId="0" xfId="3" applyFont="1" applyFill="1" applyBorder="1" applyAlignment="1">
      <alignment horizontal="left" vertical="center" wrapText="1"/>
    </xf>
    <xf numFmtId="3" fontId="174" fillId="91" borderId="0" xfId="3" applyNumberFormat="1" applyFont="1" applyFill="1" applyBorder="1" applyAlignment="1">
      <alignment horizontal="right" vertical="center" wrapText="1"/>
    </xf>
    <xf numFmtId="0" fontId="243" fillId="91" borderId="0" xfId="3" applyFont="1" applyFill="1" applyBorder="1" applyAlignment="1">
      <alignment horizontal="left" vertical="center" wrapText="1"/>
    </xf>
    <xf numFmtId="3" fontId="243" fillId="91" borderId="0" xfId="3" applyNumberFormat="1" applyFont="1" applyFill="1" applyBorder="1" applyAlignment="1">
      <alignment horizontal="right" vertical="center" wrapText="1"/>
    </xf>
    <xf numFmtId="0" fontId="228" fillId="91" borderId="0" xfId="3" applyFont="1" applyFill="1" applyBorder="1" applyAlignment="1">
      <alignment horizontal="left" vertical="center" wrapText="1"/>
    </xf>
    <xf numFmtId="0" fontId="108" fillId="0" borderId="0" xfId="2" applyFont="1" applyFill="1" applyBorder="1" applyAlignment="1">
      <alignment horizontal="right" vertical="center" wrapText="1"/>
    </xf>
    <xf numFmtId="3" fontId="109" fillId="0" borderId="0" xfId="2" applyNumberFormat="1" applyFont="1" applyFill="1" applyBorder="1" applyAlignment="1">
      <alignment horizontal="right" vertical="center" wrapText="1"/>
    </xf>
    <xf numFmtId="3" fontId="108" fillId="0" borderId="0" xfId="2" applyNumberFormat="1" applyFont="1" applyFill="1" applyBorder="1" applyAlignment="1">
      <alignment horizontal="right" vertical="center" wrapText="1"/>
    </xf>
    <xf numFmtId="169" fontId="112" fillId="0" borderId="0" xfId="1" applyNumberFormat="1" applyFont="1" applyFill="1" applyBorder="1" applyAlignment="1">
      <alignment horizontal="right" vertical="center" wrapText="1"/>
    </xf>
    <xf numFmtId="169" fontId="237" fillId="0" borderId="0" xfId="1" applyNumberFormat="1" applyFont="1" applyFill="1" applyBorder="1" applyAlignment="1">
      <alignment horizontal="right" vertical="center" wrapText="1"/>
    </xf>
    <xf numFmtId="37" fontId="107" fillId="0" borderId="0" xfId="2" applyNumberFormat="1" applyFont="1" applyFill="1" applyBorder="1" applyAlignment="1">
      <alignment horizontal="right" vertical="center" wrapText="1"/>
    </xf>
    <xf numFmtId="0" fontId="108" fillId="0" borderId="0" xfId="2" applyFont="1" applyBorder="1" applyAlignment="1">
      <alignment horizontal="left" vertical="center" wrapText="1" indent="1"/>
    </xf>
    <xf numFmtId="169" fontId="112" fillId="0" borderId="0" xfId="1" applyNumberFormat="1" applyFont="1" applyFill="1" applyBorder="1" applyAlignment="1">
      <alignment vertical="center" wrapText="1"/>
    </xf>
    <xf numFmtId="231" fontId="107" fillId="0" borderId="0" xfId="922" applyNumberFormat="1" applyFont="1" applyFill="1" applyBorder="1" applyAlignment="1">
      <alignment vertical="center" wrapText="1"/>
    </xf>
    <xf numFmtId="0" fontId="109" fillId="0" borderId="0" xfId="2" applyFont="1" applyFill="1" applyBorder="1" applyAlignment="1">
      <alignment horizontal="left" vertical="center" wrapText="1" indent="1"/>
    </xf>
    <xf numFmtId="231" fontId="108" fillId="0" borderId="0" xfId="922" applyNumberFormat="1" applyFont="1" applyFill="1" applyBorder="1" applyAlignment="1">
      <alignment vertical="center" wrapText="1"/>
    </xf>
    <xf numFmtId="0" fontId="109" fillId="34" borderId="0" xfId="4" applyFont="1" applyFill="1" applyBorder="1" applyAlignment="1">
      <alignment horizontal="left" vertical="center" indent="1"/>
    </xf>
    <xf numFmtId="167" fontId="108" fillId="0" borderId="0" xfId="543" applyFont="1" applyFill="1" applyBorder="1" applyAlignment="1">
      <alignment vertical="center" wrapText="1"/>
    </xf>
    <xf numFmtId="0" fontId="107" fillId="91" borderId="0" xfId="2" applyFont="1" applyFill="1" applyBorder="1" applyAlignment="1">
      <alignment vertical="center" wrapText="1"/>
    </xf>
    <xf numFmtId="169" fontId="112" fillId="91" borderId="0" xfId="1" applyNumberFormat="1" applyFont="1" applyFill="1" applyBorder="1" applyAlignment="1">
      <alignment vertical="center" wrapText="1"/>
    </xf>
    <xf numFmtId="0" fontId="107" fillId="91" borderId="0" xfId="2" applyFont="1" applyFill="1" applyBorder="1" applyAlignment="1">
      <alignment horizontal="left" vertical="center" wrapText="1"/>
    </xf>
    <xf numFmtId="231" fontId="107" fillId="0" borderId="0" xfId="922" applyNumberFormat="1" applyFont="1" applyFill="1" applyBorder="1" applyAlignment="1">
      <alignment horizontal="right" vertical="center" wrapText="1"/>
    </xf>
    <xf numFmtId="231" fontId="174" fillId="0" borderId="0" xfId="922" applyNumberFormat="1" applyFont="1" applyFill="1" applyBorder="1" applyAlignment="1">
      <alignment horizontal="right" vertical="center" wrapText="1"/>
    </xf>
    <xf numFmtId="0" fontId="243" fillId="0" borderId="0" xfId="2" applyFont="1" applyBorder="1" applyAlignment="1">
      <alignment vertical="center" wrapText="1"/>
    </xf>
    <xf numFmtId="231" fontId="243" fillId="0" borderId="0" xfId="922" applyNumberFormat="1" applyFont="1" applyFill="1" applyBorder="1" applyAlignment="1">
      <alignment horizontal="right" vertical="center" wrapText="1"/>
    </xf>
    <xf numFmtId="231" fontId="108" fillId="0" borderId="0" xfId="922" applyNumberFormat="1" applyFont="1" applyFill="1" applyBorder="1" applyAlignment="1">
      <alignment horizontal="right" vertical="center" wrapText="1"/>
    </xf>
    <xf numFmtId="37" fontId="174" fillId="0" borderId="0" xfId="2" applyNumberFormat="1" applyFont="1" applyFill="1" applyBorder="1" applyAlignment="1">
      <alignment horizontal="right" vertical="center" wrapText="1"/>
    </xf>
    <xf numFmtId="0" fontId="244" fillId="0" borderId="0" xfId="2" applyFont="1" applyBorder="1" applyAlignment="1">
      <alignment vertical="center" wrapText="1"/>
    </xf>
    <xf numFmtId="9" fontId="244" fillId="0" borderId="0" xfId="1" applyFont="1" applyFill="1" applyBorder="1" applyAlignment="1">
      <alignment horizontal="right" vertical="center" wrapText="1"/>
    </xf>
    <xf numFmtId="37" fontId="243" fillId="0" borderId="0" xfId="2" applyNumberFormat="1" applyFont="1" applyFill="1" applyBorder="1" applyAlignment="1">
      <alignment horizontal="right" vertical="center" wrapText="1"/>
    </xf>
    <xf numFmtId="37" fontId="236" fillId="0" borderId="0" xfId="2" applyNumberFormat="1" applyFont="1" applyFill="1" applyBorder="1" applyAlignment="1">
      <alignment horizontal="right" vertical="center" wrapText="1"/>
    </xf>
    <xf numFmtId="37" fontId="228" fillId="0" borderId="0" xfId="2" applyNumberFormat="1" applyFont="1" applyFill="1" applyBorder="1" applyAlignment="1">
      <alignment vertical="center" wrapText="1"/>
    </xf>
    <xf numFmtId="37" fontId="228" fillId="0" borderId="0" xfId="2" applyNumberFormat="1" applyFont="1" applyFill="1" applyBorder="1" applyAlignment="1">
      <alignment horizontal="right" vertical="center" wrapText="1"/>
    </xf>
    <xf numFmtId="39" fontId="228" fillId="0" borderId="0" xfId="2" applyNumberFormat="1" applyFont="1" applyFill="1" applyBorder="1" applyAlignment="1">
      <alignment horizontal="right" vertical="center" wrapText="1"/>
    </xf>
    <xf numFmtId="231" fontId="107" fillId="0" borderId="0" xfId="2" applyNumberFormat="1" applyFont="1" applyFill="1" applyBorder="1" applyAlignment="1">
      <alignment vertical="center" wrapText="1"/>
    </xf>
    <xf numFmtId="231" fontId="107" fillId="0" borderId="0" xfId="2" applyNumberFormat="1" applyFont="1" applyFill="1" applyBorder="1" applyAlignment="1">
      <alignment horizontal="right" vertical="center" wrapText="1"/>
    </xf>
    <xf numFmtId="0" fontId="107" fillId="0" borderId="0" xfId="2" applyFont="1" applyFill="1" applyBorder="1" applyAlignment="1">
      <alignment horizontal="right" vertical="center" wrapText="1"/>
    </xf>
    <xf numFmtId="231" fontId="108" fillId="0" borderId="0" xfId="2" applyNumberFormat="1" applyFont="1" applyFill="1" applyBorder="1" applyAlignment="1">
      <alignment horizontal="right" vertical="center" wrapText="1"/>
    </xf>
    <xf numFmtId="231" fontId="108" fillId="0" borderId="0" xfId="2" applyNumberFormat="1" applyFont="1" applyBorder="1" applyAlignment="1">
      <alignment horizontal="right" vertical="center" wrapText="1"/>
    </xf>
    <xf numFmtId="231" fontId="108" fillId="0" borderId="0" xfId="922" applyNumberFormat="1" applyFont="1" applyBorder="1" applyAlignment="1">
      <alignment horizontal="right" vertical="center" wrapText="1"/>
    </xf>
    <xf numFmtId="0" fontId="108" fillId="91" borderId="0" xfId="2" applyFont="1" applyFill="1" applyBorder="1" applyAlignment="1">
      <alignment horizontal="right" vertical="center" wrapText="1"/>
    </xf>
    <xf numFmtId="0" fontId="243" fillId="91" borderId="0" xfId="2" applyFont="1" applyFill="1" applyBorder="1" applyAlignment="1">
      <alignment vertical="center" wrapText="1"/>
    </xf>
    <xf numFmtId="231" fontId="243" fillId="91" borderId="0" xfId="922" applyNumberFormat="1" applyFont="1" applyFill="1" applyBorder="1" applyAlignment="1">
      <alignment horizontal="right" vertical="center" wrapText="1"/>
    </xf>
    <xf numFmtId="0" fontId="239" fillId="0" borderId="0" xfId="2" applyFont="1" applyBorder="1" applyAlignment="1">
      <alignment vertical="center" wrapText="1"/>
    </xf>
    <xf numFmtId="9" fontId="239" fillId="0" borderId="0" xfId="1" applyNumberFormat="1" applyFont="1" applyFill="1" applyBorder="1" applyAlignment="1">
      <alignment horizontal="right" vertical="center" wrapText="1"/>
    </xf>
    <xf numFmtId="0" fontId="109" fillId="0" borderId="0" xfId="2" applyFont="1" applyFill="1" applyBorder="1" applyAlignment="1">
      <alignment horizontal="right" vertical="center" wrapText="1"/>
    </xf>
    <xf numFmtId="3" fontId="107" fillId="91" borderId="0" xfId="2" applyNumberFormat="1" applyFont="1" applyFill="1" applyBorder="1" applyAlignment="1">
      <alignment horizontal="right" vertical="center" wrapText="1"/>
    </xf>
    <xf numFmtId="0" fontId="243" fillId="91" borderId="0" xfId="2" applyFont="1" applyFill="1" applyBorder="1" applyAlignment="1">
      <alignment horizontal="left" vertical="center" wrapText="1"/>
    </xf>
    <xf numFmtId="3" fontId="243" fillId="91" borderId="0" xfId="2" applyNumberFormat="1" applyFont="1" applyFill="1" applyBorder="1" applyAlignment="1">
      <alignment horizontal="right" vertical="center" wrapText="1"/>
    </xf>
    <xf numFmtId="0" fontId="239" fillId="91" borderId="0" xfId="2" applyFont="1" applyFill="1" applyBorder="1" applyAlignment="1">
      <alignment horizontal="left" vertical="center" wrapText="1" indent="1"/>
    </xf>
    <xf numFmtId="9" fontId="239" fillId="91" borderId="0" xfId="1" applyFont="1" applyFill="1" applyBorder="1" applyAlignment="1">
      <alignment horizontal="right" vertical="center" wrapText="1"/>
    </xf>
    <xf numFmtId="0" fontId="109" fillId="91" borderId="0" xfId="2" applyFont="1" applyFill="1" applyBorder="1" applyAlignment="1">
      <alignment horizontal="right" vertical="center" wrapText="1"/>
    </xf>
    <xf numFmtId="0" fontId="174" fillId="91" borderId="0" xfId="4" applyFont="1" applyFill="1" applyBorder="1" applyAlignment="1">
      <alignment horizontal="left" vertical="center" indent="1"/>
    </xf>
    <xf numFmtId="231" fontId="231" fillId="91" borderId="0" xfId="922" applyNumberFormat="1" applyFont="1" applyFill="1" applyBorder="1" applyAlignment="1">
      <alignment horizontal="right" vertical="center" wrapText="1"/>
    </xf>
    <xf numFmtId="0" fontId="243" fillId="91" borderId="0" xfId="4" applyFont="1" applyFill="1" applyBorder="1" applyAlignment="1">
      <alignment horizontal="left" vertical="center" indent="1"/>
    </xf>
    <xf numFmtId="0" fontId="239" fillId="91" borderId="0" xfId="2" applyFont="1" applyFill="1" applyBorder="1" applyAlignment="1">
      <alignment vertical="center" wrapText="1"/>
    </xf>
    <xf numFmtId="9" fontId="239" fillId="91" borderId="0" xfId="1" applyNumberFormat="1" applyFont="1" applyFill="1" applyBorder="1" applyAlignment="1">
      <alignment horizontal="right" vertical="center" wrapText="1"/>
    </xf>
    <xf numFmtId="231" fontId="0" fillId="0" borderId="0" xfId="488" applyNumberFormat="1" applyFont="1" applyFill="1"/>
    <xf numFmtId="198" fontId="248" fillId="0" borderId="0" xfId="381" applyNumberFormat="1" applyFont="1"/>
    <xf numFmtId="231" fontId="109" fillId="0" borderId="0" xfId="488" applyNumberFormat="1" applyFont="1" applyFill="1"/>
    <xf numFmtId="198" fontId="247" fillId="0" borderId="22" xfId="381" applyNumberFormat="1" applyFont="1" applyBorder="1"/>
    <xf numFmtId="169" fontId="106" fillId="0" borderId="0" xfId="944" applyNumberFormat="1" applyFont="1" applyFill="1"/>
    <xf numFmtId="167" fontId="106" fillId="0" borderId="0" xfId="381" applyNumberFormat="1" applyFont="1" applyFill="1"/>
    <xf numFmtId="239" fontId="107" fillId="0" borderId="22" xfId="2" applyNumberFormat="1" applyFont="1" applyBorder="1" applyAlignment="1">
      <alignment vertical="center" wrapText="1"/>
    </xf>
    <xf numFmtId="231" fontId="106" fillId="0" borderId="0" xfId="488" applyNumberFormat="1" applyFont="1" applyFill="1"/>
    <xf numFmtId="198" fontId="106" fillId="0" borderId="0" xfId="381" applyNumberFormat="1" applyFont="1" applyFill="1"/>
    <xf numFmtId="9" fontId="106" fillId="0" borderId="0" xfId="944" applyNumberFormat="1" applyFont="1" applyFill="1"/>
    <xf numFmtId="231" fontId="247" fillId="0" borderId="57" xfId="488" applyNumberFormat="1" applyFont="1" applyFill="1" applyBorder="1"/>
    <xf numFmtId="169" fontId="106" fillId="0" borderId="0" xfId="944" applyNumberFormat="1" applyFont="1"/>
    <xf numFmtId="198" fontId="247" fillId="0" borderId="0" xfId="381" applyNumberFormat="1" applyFont="1"/>
    <xf numFmtId="198" fontId="106" fillId="0" borderId="0" xfId="381" applyNumberFormat="1" applyFont="1"/>
    <xf numFmtId="177" fontId="106" fillId="0" borderId="0" xfId="381" applyFont="1"/>
    <xf numFmtId="177" fontId="106" fillId="0" borderId="0" xfId="381" applyFont="1" applyFill="1"/>
    <xf numFmtId="177" fontId="247" fillId="0" borderId="0" xfId="381" applyFont="1" applyFill="1"/>
    <xf numFmtId="177" fontId="0" fillId="0" borderId="0" xfId="381" applyFont="1" applyFill="1"/>
    <xf numFmtId="198" fontId="251" fillId="90" borderId="0" xfId="381" applyNumberFormat="1" applyFont="1" applyFill="1"/>
    <xf numFmtId="0" fontId="174" fillId="0" borderId="0" xfId="3" applyFont="1" applyBorder="1" applyAlignment="1">
      <alignment horizontal="center" vertical="center" wrapText="1"/>
    </xf>
    <xf numFmtId="0" fontId="109" fillId="0" borderId="0" xfId="3" applyFont="1" applyBorder="1" applyAlignment="1">
      <alignment horizontal="left" vertical="center" wrapText="1"/>
    </xf>
    <xf numFmtId="0" fontId="109" fillId="0" borderId="0" xfId="3" applyFont="1" applyFill="1" applyBorder="1" applyAlignment="1">
      <alignment horizontal="left" vertical="center" wrapText="1"/>
    </xf>
    <xf numFmtId="0" fontId="109" fillId="0" borderId="0" xfId="3" applyFont="1" applyAlignment="1">
      <alignment horizontal="left" vertical="center" wrapText="1"/>
    </xf>
    <xf numFmtId="0" fontId="109" fillId="0" borderId="0" xfId="3" applyFont="1" applyBorder="1" applyAlignment="1">
      <alignment horizontal="left" vertical="center" wrapText="1"/>
    </xf>
    <xf numFmtId="0" fontId="109" fillId="0" borderId="0" xfId="3" applyFont="1" applyFill="1" applyBorder="1" applyAlignment="1">
      <alignment horizontal="left" vertical="center" wrapText="1"/>
    </xf>
    <xf numFmtId="0" fontId="109" fillId="0" borderId="0" xfId="3" applyFont="1" applyAlignment="1">
      <alignment horizontal="left" vertical="center" wrapText="1"/>
    </xf>
    <xf numFmtId="231" fontId="109" fillId="0" borderId="0" xfId="922" applyNumberFormat="1" applyFont="1" applyAlignment="1">
      <alignment horizontal="left" vertical="center" wrapText="1"/>
    </xf>
    <xf numFmtId="231" fontId="109" fillId="0" borderId="0" xfId="922" applyNumberFormat="1" applyFont="1" applyFill="1" applyAlignment="1">
      <alignment horizontal="left" vertical="center" wrapText="1"/>
    </xf>
    <xf numFmtId="167" fontId="109" fillId="0" borderId="0" xfId="922" applyFont="1" applyBorder="1" applyAlignment="1">
      <alignment horizontal="right" vertical="center" wrapText="1"/>
    </xf>
    <xf numFmtId="167" fontId="109" fillId="0" borderId="0" xfId="922" applyFont="1" applyFill="1" applyBorder="1" applyAlignment="1">
      <alignment horizontal="left" vertical="center" wrapText="1"/>
    </xf>
    <xf numFmtId="167" fontId="109" fillId="0" borderId="0" xfId="922" applyFont="1" applyAlignment="1">
      <alignment horizontal="left" vertical="center" wrapText="1"/>
    </xf>
    <xf numFmtId="0" fontId="109" fillId="0" borderId="0" xfId="3" applyFont="1" applyBorder="1" applyAlignment="1">
      <alignment horizontal="left" vertical="center" wrapText="1"/>
    </xf>
    <xf numFmtId="0" fontId="109" fillId="0" borderId="0" xfId="3" applyFont="1" applyFill="1" applyBorder="1" applyAlignment="1">
      <alignment horizontal="left" vertical="center" wrapText="1"/>
    </xf>
    <xf numFmtId="0" fontId="109" fillId="0" borderId="0" xfId="3" applyFont="1" applyAlignment="1">
      <alignment horizontal="left" vertical="center" wrapText="1"/>
    </xf>
    <xf numFmtId="0" fontId="109" fillId="0" borderId="0" xfId="3" applyFont="1" applyBorder="1" applyAlignment="1">
      <alignment horizontal="left" vertical="center" wrapText="1"/>
    </xf>
    <xf numFmtId="0" fontId="109" fillId="0" borderId="0" xfId="3" applyFont="1" applyFill="1" applyBorder="1" applyAlignment="1">
      <alignment horizontal="left" vertical="center" wrapText="1"/>
    </xf>
    <xf numFmtId="0" fontId="109" fillId="0" borderId="0" xfId="3" applyFont="1" applyAlignment="1">
      <alignment horizontal="left" vertical="center" wrapText="1"/>
    </xf>
    <xf numFmtId="0" fontId="109" fillId="0" borderId="0" xfId="3" applyFont="1" applyBorder="1" applyAlignment="1">
      <alignment horizontal="left" vertical="center" wrapText="1"/>
    </xf>
    <xf numFmtId="0" fontId="109" fillId="0" borderId="0" xfId="3" applyFont="1" applyAlignment="1">
      <alignment horizontal="left" vertical="center" wrapText="1"/>
    </xf>
    <xf numFmtId="231" fontId="109" fillId="0" borderId="0" xfId="543" applyNumberFormat="1" applyFont="1" applyFill="1" applyAlignment="1">
      <alignment horizontal="right" vertical="center" wrapText="1"/>
    </xf>
    <xf numFmtId="231" fontId="109" fillId="0" borderId="0" xfId="543" applyNumberFormat="1" applyFont="1" applyAlignment="1">
      <alignment horizontal="left" vertical="center" wrapText="1"/>
    </xf>
    <xf numFmtId="231" fontId="109" fillId="0" borderId="0" xfId="543" applyNumberFormat="1" applyFont="1" applyAlignment="1">
      <alignment horizontal="right" vertical="center" wrapText="1"/>
    </xf>
    <xf numFmtId="231" fontId="109" fillId="0" borderId="0" xfId="543" applyNumberFormat="1" applyFont="1" applyFill="1" applyAlignment="1">
      <alignment horizontal="left" vertical="center" wrapText="1"/>
    </xf>
    <xf numFmtId="0" fontId="108" fillId="0" borderId="0" xfId="2" applyFont="1" applyFill="1" applyAlignment="1">
      <alignment vertical="center" wrapText="1"/>
    </xf>
    <xf numFmtId="17" fontId="110" fillId="0" borderId="0" xfId="3" applyNumberFormat="1" applyFont="1" applyFill="1" applyBorder="1" applyAlignment="1">
      <alignment horizontal="center" vertical="center" wrapText="1"/>
    </xf>
    <xf numFmtId="17" fontId="110" fillId="33" borderId="56" xfId="3" applyNumberFormat="1" applyFont="1" applyFill="1" applyBorder="1" applyAlignment="1">
      <alignment horizontal="center" vertical="center" wrapText="1"/>
    </xf>
    <xf numFmtId="231" fontId="107" fillId="0" borderId="0" xfId="543" applyNumberFormat="1" applyFont="1" applyFill="1" applyBorder="1" applyAlignment="1">
      <alignment vertical="center" wrapText="1"/>
    </xf>
    <xf numFmtId="231" fontId="108" fillId="0" borderId="0" xfId="543" applyNumberFormat="1" applyFont="1" applyAlignment="1">
      <alignment vertical="center" wrapText="1"/>
    </xf>
    <xf numFmtId="231" fontId="108" fillId="0" borderId="0" xfId="543" applyNumberFormat="1" applyFont="1" applyFill="1" applyBorder="1" applyAlignment="1">
      <alignment vertical="center" wrapText="1"/>
    </xf>
    <xf numFmtId="231" fontId="108" fillId="0" borderId="0" xfId="543" applyNumberFormat="1" applyFont="1" applyFill="1" applyAlignment="1">
      <alignment vertical="center" wrapText="1"/>
    </xf>
    <xf numFmtId="37" fontId="108" fillId="0" borderId="0" xfId="2" applyNumberFormat="1" applyFont="1" applyAlignment="1">
      <alignment vertical="center" wrapText="1"/>
    </xf>
    <xf numFmtId="231" fontId="106" fillId="45" borderId="0" xfId="488" applyNumberFormat="1" applyFont="1" applyFill="1"/>
    <xf numFmtId="231" fontId="228" fillId="0" borderId="0" xfId="488" applyNumberFormat="1" applyFont="1" applyFill="1"/>
    <xf numFmtId="231" fontId="251" fillId="90" borderId="0" xfId="381" applyNumberFormat="1" applyFont="1" applyFill="1"/>
    <xf numFmtId="0" fontId="109" fillId="0" borderId="0" xfId="3" applyFont="1" applyBorder="1" applyAlignment="1">
      <alignment horizontal="left" vertical="center" wrapText="1"/>
    </xf>
    <xf numFmtId="0" fontId="174" fillId="0" borderId="0" xfId="3" applyFont="1" applyBorder="1" applyAlignment="1">
      <alignment horizontal="center" vertical="center" wrapText="1"/>
    </xf>
    <xf numFmtId="0" fontId="109" fillId="0" borderId="0" xfId="3" applyFont="1" applyAlignment="1">
      <alignment horizontal="left" vertical="center" wrapText="1"/>
    </xf>
    <xf numFmtId="0" fontId="108" fillId="0" borderId="0" xfId="3" applyFont="1" applyFill="1" applyBorder="1" applyAlignment="1" applyProtection="1">
      <alignment horizontal="left"/>
      <protection locked="0"/>
    </xf>
    <xf numFmtId="0" fontId="107" fillId="0" borderId="0" xfId="2" applyFont="1" applyFill="1" applyBorder="1" applyAlignment="1">
      <alignment vertical="center" wrapText="1"/>
    </xf>
    <xf numFmtId="0" fontId="109" fillId="0" borderId="0" xfId="0" applyFont="1" applyFill="1" applyBorder="1" applyAlignment="1" applyProtection="1">
      <alignment horizontal="left"/>
      <protection locked="0"/>
    </xf>
    <xf numFmtId="0" fontId="109" fillId="0" borderId="0" xfId="4" applyFont="1" applyFill="1" applyBorder="1" applyAlignment="1">
      <alignment horizontal="left" vertical="center" indent="1"/>
    </xf>
    <xf numFmtId="0" fontId="108" fillId="0" borderId="0" xfId="2" applyFont="1" applyAlignment="1">
      <alignment horizontal="right" vertical="center" wrapText="1"/>
    </xf>
    <xf numFmtId="231" fontId="108" fillId="0" borderId="0" xfId="543" applyNumberFormat="1" applyFont="1" applyFill="1" applyBorder="1" applyAlignment="1">
      <alignment horizontal="right" vertical="center" wrapText="1"/>
    </xf>
    <xf numFmtId="0" fontId="112" fillId="0" borderId="0" xfId="2" applyFont="1" applyAlignment="1">
      <alignment vertical="center" wrapText="1"/>
    </xf>
    <xf numFmtId="167" fontId="108" fillId="0" borderId="0" xfId="543" applyFont="1" applyAlignment="1">
      <alignment vertical="center" wrapText="1"/>
    </xf>
    <xf numFmtId="0" fontId="109" fillId="0" borderId="0" xfId="3" applyFont="1" applyBorder="1" applyAlignment="1">
      <alignment horizontal="left" vertical="center" wrapText="1"/>
    </xf>
    <xf numFmtId="0" fontId="174" fillId="0" borderId="0" xfId="3" applyFont="1" applyBorder="1" applyAlignment="1">
      <alignment horizontal="center" vertical="center" wrapText="1"/>
    </xf>
    <xf numFmtId="49" fontId="245" fillId="33" borderId="58" xfId="3" applyNumberFormat="1" applyFont="1" applyFill="1" applyBorder="1" applyAlignment="1">
      <alignment horizontal="center" vertical="center" wrapText="1"/>
    </xf>
    <xf numFmtId="0" fontId="109" fillId="0" borderId="0" xfId="3" applyFont="1" applyFill="1" applyBorder="1" applyAlignment="1">
      <alignment horizontal="center" vertical="center" wrapText="1"/>
    </xf>
    <xf numFmtId="49" fontId="245" fillId="0" borderId="0" xfId="3" applyNumberFormat="1" applyFont="1" applyFill="1" applyBorder="1" applyAlignment="1">
      <alignment horizontal="center" vertical="center" wrapText="1"/>
    </xf>
    <xf numFmtId="0" fontId="109" fillId="0" borderId="0" xfId="3" applyFont="1" applyAlignment="1">
      <alignment horizontal="left" vertical="center" wrapText="1"/>
    </xf>
    <xf numFmtId="0" fontId="108" fillId="0" borderId="0" xfId="2" applyFont="1" applyAlignment="1">
      <alignment vertical="center"/>
    </xf>
    <xf numFmtId="3" fontId="243" fillId="0" borderId="0" xfId="3" applyNumberFormat="1" applyFont="1" applyFill="1" applyBorder="1" applyAlignment="1">
      <alignment horizontal="right" vertical="center" wrapText="1"/>
    </xf>
    <xf numFmtId="0" fontId="109" fillId="0" borderId="0" xfId="3" applyFont="1" applyFill="1" applyBorder="1" applyAlignment="1">
      <alignment horizontal="right" vertical="center" wrapText="1"/>
    </xf>
    <xf numFmtId="167" fontId="109" fillId="0" borderId="0" xfId="922" applyFont="1" applyFill="1" applyAlignment="1">
      <alignment horizontal="left" vertical="center" wrapText="1"/>
    </xf>
    <xf numFmtId="0" fontId="109" fillId="0" borderId="0" xfId="3" applyFont="1" applyBorder="1" applyAlignment="1">
      <alignment horizontal="left" vertical="center" wrapText="1"/>
    </xf>
    <xf numFmtId="0" fontId="109" fillId="0" borderId="0" xfId="3" applyFont="1" applyBorder="1" applyAlignment="1">
      <alignment horizontal="center" vertical="center" wrapText="1"/>
    </xf>
    <xf numFmtId="0" fontId="108" fillId="0" borderId="0" xfId="2" applyFont="1" applyBorder="1" applyAlignment="1">
      <alignment horizontal="center" vertical="center" wrapText="1"/>
    </xf>
    <xf numFmtId="0" fontId="109" fillId="0" borderId="0" xfId="3" applyFont="1" applyAlignment="1">
      <alignment horizontal="left" vertical="center" wrapText="1"/>
    </xf>
    <xf numFmtId="17" fontId="110" fillId="33" borderId="10" xfId="3" applyNumberFormat="1" applyFont="1" applyFill="1" applyBorder="1" applyAlignment="1">
      <alignment horizontal="center" vertical="center" wrapText="1"/>
    </xf>
    <xf numFmtId="231" fontId="109" fillId="0" borderId="0" xfId="922" applyNumberFormat="1" applyFont="1" applyFill="1" applyBorder="1" applyAlignment="1">
      <alignment horizontal="right" vertical="center"/>
    </xf>
    <xf numFmtId="0" fontId="109" fillId="0" borderId="0" xfId="2" applyFont="1" applyFill="1" applyBorder="1" applyAlignment="1">
      <alignment horizontal="right" vertical="center"/>
    </xf>
    <xf numFmtId="0" fontId="108" fillId="0" borderId="0" xfId="2" applyFont="1"/>
    <xf numFmtId="231" fontId="121" fillId="0" borderId="0" xfId="488" applyNumberFormat="1" applyFont="1" applyFill="1"/>
    <xf numFmtId="231" fontId="259" fillId="0" borderId="0" xfId="488" applyNumberFormat="1" applyFont="1" applyFill="1"/>
    <xf numFmtId="198" fontId="258" fillId="0" borderId="0" xfId="381" applyNumberFormat="1" applyFont="1"/>
    <xf numFmtId="169" fontId="260" fillId="0" borderId="0" xfId="944" applyNumberFormat="1" applyFont="1" applyFill="1"/>
    <xf numFmtId="198" fontId="121" fillId="0" borderId="0" xfId="381" applyNumberFormat="1" applyFont="1" applyFill="1"/>
    <xf numFmtId="198" fontId="102" fillId="90" borderId="0" xfId="381" applyNumberFormat="1" applyFont="1" applyFill="1"/>
    <xf numFmtId="0" fontId="109" fillId="0" borderId="0" xfId="3" applyFont="1" applyAlignment="1">
      <alignment horizontal="left" vertical="center" wrapText="1"/>
    </xf>
    <xf numFmtId="0" fontId="109" fillId="0" borderId="0" xfId="3" applyFont="1" applyBorder="1" applyAlignment="1">
      <alignment horizontal="left" vertical="center" wrapText="1"/>
    </xf>
    <xf numFmtId="0" fontId="109" fillId="0" borderId="0" xfId="3" applyFont="1" applyAlignment="1">
      <alignment horizontal="left" vertical="center" wrapText="1"/>
    </xf>
    <xf numFmtId="17" fontId="110" fillId="33" borderId="10" xfId="3" applyNumberFormat="1" applyFont="1" applyFill="1" applyBorder="1" applyAlignment="1">
      <alignment horizontal="center" vertical="center" wrapText="1"/>
    </xf>
    <xf numFmtId="0" fontId="109" fillId="0" borderId="0" xfId="3" applyFont="1" applyAlignment="1">
      <alignment horizontal="left" vertical="center" wrapText="1"/>
    </xf>
    <xf numFmtId="37" fontId="109" fillId="0" borderId="0" xfId="2" applyNumberFormat="1" applyFont="1" applyFill="1" applyBorder="1" applyAlignment="1">
      <alignment horizontal="right" vertical="center" wrapText="1"/>
    </xf>
    <xf numFmtId="237" fontId="109" fillId="0" borderId="0" xfId="403" applyNumberFormat="1" applyFont="1" applyFill="1" applyBorder="1" applyAlignment="1">
      <alignment horizontal="right" vertical="center" wrapText="1"/>
    </xf>
    <xf numFmtId="0" fontId="174" fillId="0" borderId="0" xfId="3" applyFont="1" applyBorder="1" applyAlignment="1">
      <alignment horizontal="center" vertical="center" wrapText="1"/>
    </xf>
    <xf numFmtId="0" fontId="109" fillId="0" borderId="0" xfId="3" applyFont="1" applyBorder="1" applyAlignment="1">
      <alignment horizontal="center" vertical="center" wrapText="1"/>
    </xf>
    <xf numFmtId="0" fontId="109" fillId="0" borderId="0" xfId="3" applyFont="1" applyAlignment="1">
      <alignment horizontal="left" vertical="center" wrapText="1"/>
    </xf>
    <xf numFmtId="0" fontId="107" fillId="91" borderId="0" xfId="2" applyFont="1" applyFill="1" applyAlignment="1">
      <alignment vertical="center" wrapText="1"/>
    </xf>
    <xf numFmtId="17" fontId="110" fillId="33" borderId="0" xfId="3" applyNumberFormat="1" applyFont="1" applyFill="1" applyBorder="1" applyAlignment="1">
      <alignment horizontal="center" vertical="center" wrapText="1"/>
    </xf>
    <xf numFmtId="0" fontId="109" fillId="0" borderId="0" xfId="3" applyFont="1" applyAlignment="1">
      <alignment horizontal="left" vertical="center" wrapText="1"/>
    </xf>
    <xf numFmtId="17" fontId="110" fillId="33" borderId="10" xfId="3" applyNumberFormat="1" applyFont="1" applyFill="1" applyBorder="1" applyAlignment="1">
      <alignment horizontal="center" vertical="center" wrapText="1"/>
    </xf>
    <xf numFmtId="0" fontId="174" fillId="0" borderId="0" xfId="3" applyFont="1" applyFill="1" applyBorder="1" applyAlignment="1">
      <alignment horizontal="center" vertical="center" wrapText="1"/>
    </xf>
    <xf numFmtId="177" fontId="247" fillId="45" borderId="22" xfId="381" applyFont="1" applyFill="1" applyBorder="1"/>
    <xf numFmtId="17" fontId="110" fillId="33" borderId="10" xfId="3" applyNumberFormat="1" applyFont="1" applyFill="1" applyBorder="1" applyAlignment="1">
      <alignment horizontal="center" vertical="center" wrapText="1"/>
    </xf>
    <xf numFmtId="0" fontId="109" fillId="0" borderId="0" xfId="3" applyFont="1" applyBorder="1" applyAlignment="1">
      <alignment horizontal="center" vertical="center" wrapText="1"/>
    </xf>
    <xf numFmtId="17" fontId="110" fillId="33" borderId="10" xfId="3" applyNumberFormat="1" applyFont="1" applyFill="1" applyBorder="1" applyAlignment="1">
      <alignment horizontal="center" vertical="center" wrapText="1"/>
    </xf>
    <xf numFmtId="0" fontId="109" fillId="0" borderId="0" xfId="3" applyFont="1" applyAlignment="1">
      <alignment horizontal="left" vertical="center" wrapText="1"/>
    </xf>
    <xf numFmtId="231" fontId="109" fillId="0" borderId="0" xfId="543" applyNumberFormat="1" applyFont="1" applyFill="1" applyBorder="1" applyAlignment="1">
      <alignment horizontal="right" vertical="center" wrapText="1"/>
    </xf>
    <xf numFmtId="0" fontId="246" fillId="63" borderId="0" xfId="1047" applyFont="1" applyFill="1"/>
    <xf numFmtId="0" fontId="60" fillId="63" borderId="0" xfId="1047" applyFill="1"/>
    <xf numFmtId="0" fontId="60" fillId="0" borderId="0" xfId="1047"/>
    <xf numFmtId="198" fontId="60" fillId="0" borderId="0" xfId="381" applyNumberFormat="1" applyFont="1"/>
    <xf numFmtId="0" fontId="60" fillId="0" borderId="0" xfId="1047" applyFill="1"/>
    <xf numFmtId="0" fontId="247" fillId="0" borderId="22" xfId="1047" applyFont="1" applyFill="1" applyBorder="1"/>
    <xf numFmtId="17" fontId="247" fillId="0" borderId="0" xfId="1047" applyNumberFormat="1" applyFont="1" applyFill="1"/>
    <xf numFmtId="17" fontId="247" fillId="0" borderId="0" xfId="1047" applyNumberFormat="1" applyFont="1" applyFill="1" applyAlignment="1">
      <alignment horizontal="right" wrapText="1"/>
    </xf>
    <xf numFmtId="0" fontId="60" fillId="45" borderId="0" xfId="1047" applyFill="1"/>
    <xf numFmtId="3" fontId="121" fillId="0" borderId="0" xfId="0" applyNumberFormat="1" applyFont="1" applyFill="1"/>
    <xf numFmtId="167" fontId="60" fillId="0" borderId="0" xfId="1047" applyNumberFormat="1" applyFill="1"/>
    <xf numFmtId="0" fontId="60" fillId="0" borderId="0" xfId="1047" applyFont="1" applyFill="1"/>
    <xf numFmtId="177" fontId="60" fillId="0" borderId="0" xfId="381" applyNumberFormat="1" applyFont="1"/>
    <xf numFmtId="1" fontId="60" fillId="0" borderId="0" xfId="1047" applyNumberFormat="1" applyFill="1"/>
    <xf numFmtId="0" fontId="247" fillId="0" borderId="0" xfId="1047" applyFont="1" applyFill="1"/>
    <xf numFmtId="1" fontId="258" fillId="0" borderId="0" xfId="1047" applyNumberFormat="1" applyFont="1" applyFill="1"/>
    <xf numFmtId="238" fontId="60" fillId="0" borderId="0" xfId="1047" applyNumberFormat="1" applyFill="1"/>
    <xf numFmtId="0" fontId="249" fillId="0" borderId="0" xfId="1047" applyFont="1"/>
    <xf numFmtId="0" fontId="258" fillId="0" borderId="0" xfId="1047" applyFont="1" applyFill="1"/>
    <xf numFmtId="0" fontId="250" fillId="45" borderId="25" xfId="0" applyFont="1" applyFill="1" applyBorder="1" applyAlignment="1">
      <alignment horizontal="center"/>
    </xf>
    <xf numFmtId="198" fontId="60" fillId="0" borderId="0" xfId="381" applyNumberFormat="1" applyFont="1" applyFill="1"/>
    <xf numFmtId="3" fontId="60" fillId="0" borderId="0" xfId="1047" applyNumberFormat="1" applyFill="1"/>
    <xf numFmtId="231" fontId="60" fillId="0" borderId="0" xfId="1047" applyNumberFormat="1" applyFill="1"/>
    <xf numFmtId="168" fontId="60" fillId="0" borderId="0" xfId="1047" applyNumberFormat="1" applyFill="1"/>
    <xf numFmtId="3" fontId="252" fillId="0" borderId="0" xfId="1047" applyNumberFormat="1" applyFont="1" applyFill="1"/>
    <xf numFmtId="0" fontId="253" fillId="0" borderId="0" xfId="1047" applyFont="1"/>
    <xf numFmtId="0" fontId="225" fillId="0" borderId="0" xfId="1047" applyFont="1"/>
    <xf numFmtId="3" fontId="252" fillId="83" borderId="0" xfId="1047" applyNumberFormat="1" applyFont="1" applyFill="1"/>
    <xf numFmtId="1" fontId="254" fillId="83" borderId="0" xfId="1047" applyNumberFormat="1" applyFont="1" applyFill="1"/>
    <xf numFmtId="3" fontId="60" fillId="0" borderId="0" xfId="1047" applyNumberFormat="1"/>
    <xf numFmtId="3" fontId="240" fillId="0" borderId="0" xfId="1047" applyNumberFormat="1" applyFont="1" applyFill="1"/>
    <xf numFmtId="0" fontId="247" fillId="0" borderId="0" xfId="1047" applyFont="1"/>
    <xf numFmtId="240" fontId="60" fillId="0" borderId="0" xfId="1047" applyNumberFormat="1" applyFill="1"/>
    <xf numFmtId="3" fontId="247" fillId="83" borderId="0" xfId="1047" applyNumberFormat="1" applyFont="1" applyFill="1"/>
    <xf numFmtId="4" fontId="60" fillId="0" borderId="0" xfId="1047" applyNumberFormat="1" applyFill="1"/>
    <xf numFmtId="17" fontId="247" fillId="0" borderId="0" xfId="1047" applyNumberFormat="1" applyFont="1" applyFill="1" applyAlignment="1">
      <alignment wrapText="1"/>
    </xf>
    <xf numFmtId="0" fontId="255" fillId="0" borderId="0" xfId="1047" applyFont="1"/>
    <xf numFmtId="3" fontId="0" fillId="0" borderId="0" xfId="0" applyNumberFormat="1" applyFill="1"/>
    <xf numFmtId="17" fontId="247" fillId="0" borderId="0" xfId="1047" applyNumberFormat="1" applyFont="1" applyFill="1" applyAlignment="1">
      <alignment horizontal="center" wrapText="1"/>
    </xf>
    <xf numFmtId="1" fontId="247" fillId="45" borderId="22" xfId="1047" applyNumberFormat="1" applyFont="1" applyFill="1" applyBorder="1"/>
    <xf numFmtId="198" fontId="60" fillId="0" borderId="0" xfId="1047" applyNumberFormat="1" applyFill="1"/>
    <xf numFmtId="198" fontId="60" fillId="0" borderId="0" xfId="1047" applyNumberFormat="1"/>
    <xf numFmtId="231" fontId="102" fillId="0" borderId="0" xfId="1047" applyNumberFormat="1" applyFont="1" applyFill="1"/>
    <xf numFmtId="231" fontId="257" fillId="0" borderId="0" xfId="1047" applyNumberFormat="1" applyFont="1" applyFill="1"/>
    <xf numFmtId="9" fontId="225" fillId="0" borderId="0" xfId="1047" applyNumberFormat="1" applyFont="1"/>
    <xf numFmtId="0" fontId="109" fillId="0" borderId="0" xfId="3" applyFont="1" applyBorder="1" applyAlignment="1">
      <alignment horizontal="left" vertical="center" wrapText="1"/>
    </xf>
    <xf numFmtId="0" fontId="109" fillId="0" borderId="0" xfId="3" applyFont="1" applyAlignment="1">
      <alignment horizontal="left" vertical="center" wrapText="1"/>
    </xf>
    <xf numFmtId="17" fontId="110" fillId="33" borderId="10" xfId="3" applyNumberFormat="1" applyFont="1" applyFill="1" applyBorder="1" applyAlignment="1">
      <alignment horizontal="center" vertical="center" wrapText="1"/>
    </xf>
    <xf numFmtId="167" fontId="109" fillId="0" borderId="0" xfId="543" applyFont="1" applyFill="1" applyBorder="1" applyAlignment="1">
      <alignment horizontal="right" vertical="center" wrapText="1"/>
    </xf>
    <xf numFmtId="231" fontId="109" fillId="93" borderId="0" xfId="543" applyNumberFormat="1" applyFont="1" applyFill="1" applyBorder="1" applyAlignment="1">
      <alignment horizontal="right" vertical="center" wrapText="1"/>
    </xf>
    <xf numFmtId="231" fontId="109" fillId="0" borderId="0" xfId="543" applyNumberFormat="1" applyFont="1" applyBorder="1" applyAlignment="1">
      <alignment horizontal="right" vertical="center" wrapText="1"/>
    </xf>
    <xf numFmtId="167" fontId="109" fillId="0" borderId="0" xfId="543" applyFont="1" applyBorder="1" applyAlignment="1">
      <alignment horizontal="right" vertical="center" wrapText="1"/>
    </xf>
    <xf numFmtId="231" fontId="107" fillId="91" borderId="0" xfId="543" applyNumberFormat="1" applyFont="1" applyFill="1" applyBorder="1" applyAlignment="1">
      <alignment vertical="center" wrapText="1"/>
    </xf>
    <xf numFmtId="0" fontId="109" fillId="0" borderId="0" xfId="3" applyFont="1" applyAlignment="1">
      <alignment horizontal="left" vertical="center" wrapText="1"/>
    </xf>
    <xf numFmtId="17" fontId="110" fillId="33" borderId="10" xfId="3" applyNumberFormat="1" applyFont="1" applyFill="1" applyBorder="1" applyAlignment="1">
      <alignment horizontal="center" vertical="center" wrapText="1"/>
    </xf>
    <xf numFmtId="3" fontId="108" fillId="0" borderId="0" xfId="2" applyNumberFormat="1" applyFont="1" applyAlignment="1">
      <alignment vertical="center" wrapText="1"/>
    </xf>
    <xf numFmtId="0" fontId="109" fillId="0" borderId="0" xfId="3" applyFont="1" applyAlignment="1">
      <alignment horizontal="left" vertical="center" wrapText="1"/>
    </xf>
    <xf numFmtId="17" fontId="110" fillId="33" borderId="10" xfId="3" applyNumberFormat="1" applyFont="1" applyFill="1" applyBorder="1" applyAlignment="1">
      <alignment horizontal="center" vertical="center" wrapText="1"/>
    </xf>
    <xf numFmtId="49" fontId="245" fillId="33" borderId="56" xfId="3" applyNumberFormat="1" applyFont="1" applyFill="1" applyBorder="1" applyAlignment="1">
      <alignment horizontal="center" vertical="center" wrapText="1"/>
    </xf>
    <xf numFmtId="17" fontId="110" fillId="33" borderId="10" xfId="3" applyNumberFormat="1" applyFont="1" applyFill="1" applyBorder="1" applyAlignment="1">
      <alignment horizontal="center" vertical="center" wrapText="1"/>
    </xf>
    <xf numFmtId="0" fontId="109" fillId="0" borderId="0" xfId="3" applyFont="1" applyAlignment="1">
      <alignment horizontal="left" vertical="center" wrapText="1"/>
    </xf>
    <xf numFmtId="0" fontId="0" fillId="0" borderId="0" xfId="0" applyAlignment="1">
      <alignment vertical="center" wrapText="1"/>
    </xf>
    <xf numFmtId="17" fontId="110" fillId="33" borderId="10" xfId="3" applyNumberFormat="1" applyFont="1" applyFill="1" applyBorder="1" applyAlignment="1">
      <alignment horizontal="center" vertical="center" wrapText="1"/>
    </xf>
    <xf numFmtId="3" fontId="107" fillId="0" borderId="0" xfId="2" applyNumberFormat="1" applyFont="1" applyFill="1" applyBorder="1" applyAlignment="1">
      <alignment horizontal="right" vertical="center" wrapText="1"/>
    </xf>
    <xf numFmtId="3" fontId="243" fillId="0" borderId="0" xfId="2" applyNumberFormat="1" applyFont="1" applyFill="1" applyBorder="1" applyAlignment="1">
      <alignment horizontal="right" vertical="center" wrapText="1"/>
    </xf>
    <xf numFmtId="9" fontId="239" fillId="0" borderId="0" xfId="1" applyFont="1" applyFill="1" applyBorder="1" applyAlignment="1">
      <alignment horizontal="right" vertical="center" wrapText="1"/>
    </xf>
    <xf numFmtId="231" fontId="231" fillId="0" borderId="0" xfId="922" applyNumberFormat="1" applyFont="1" applyFill="1" applyBorder="1" applyAlignment="1">
      <alignment horizontal="right" vertical="center" wrapText="1"/>
    </xf>
    <xf numFmtId="17" fontId="110" fillId="33" borderId="10" xfId="3" applyNumberFormat="1" applyFont="1" applyFill="1" applyBorder="1" applyAlignment="1">
      <alignment horizontal="center" vertical="center" wrapText="1"/>
    </xf>
    <xf numFmtId="0" fontId="109" fillId="0" borderId="0" xfId="3" applyFont="1" applyAlignment="1">
      <alignment horizontal="left" vertical="center" wrapText="1"/>
    </xf>
    <xf numFmtId="17" fontId="110" fillId="33" borderId="10" xfId="3" applyNumberFormat="1" applyFont="1" applyFill="1" applyBorder="1" applyAlignment="1">
      <alignment horizontal="center" vertical="center" wrapText="1"/>
    </xf>
    <xf numFmtId="0" fontId="109" fillId="0" borderId="0" xfId="3" applyFont="1" applyAlignment="1">
      <alignment horizontal="left" vertical="center" wrapText="1"/>
    </xf>
    <xf numFmtId="49" fontId="245" fillId="33" borderId="0" xfId="3" applyNumberFormat="1" applyFont="1" applyFill="1" applyBorder="1" applyAlignment="1">
      <alignment horizontal="center" vertical="center" wrapText="1"/>
    </xf>
    <xf numFmtId="17" fontId="110" fillId="33" borderId="10" xfId="3" applyNumberFormat="1" applyFont="1" applyFill="1" applyBorder="1" applyAlignment="1">
      <alignment horizontal="center" vertical="center" wrapText="1"/>
    </xf>
    <xf numFmtId="0" fontId="109" fillId="0" borderId="0" xfId="3" applyFont="1" applyAlignment="1">
      <alignment horizontal="left" vertical="center" wrapText="1"/>
    </xf>
    <xf numFmtId="17" fontId="110" fillId="33" borderId="10" xfId="3" applyNumberFormat="1" applyFont="1" applyFill="1" applyBorder="1" applyAlignment="1">
      <alignment horizontal="center" vertical="center" wrapText="1"/>
    </xf>
    <xf numFmtId="0" fontId="109" fillId="0" borderId="0" xfId="3" applyFont="1" applyAlignment="1">
      <alignment horizontal="left" vertical="center" wrapText="1"/>
    </xf>
    <xf numFmtId="0" fontId="109" fillId="0" borderId="0" xfId="3" applyFont="1" applyBorder="1" applyAlignment="1">
      <alignment horizontal="left" vertical="center" wrapText="1"/>
    </xf>
    <xf numFmtId="17" fontId="110" fillId="33" borderId="10" xfId="3" applyNumberFormat="1" applyFont="1" applyFill="1" applyBorder="1" applyAlignment="1">
      <alignment horizontal="center" vertical="center" wrapText="1"/>
    </xf>
    <xf numFmtId="231" fontId="109" fillId="0" borderId="0" xfId="3" applyNumberFormat="1" applyFont="1" applyAlignment="1">
      <alignment horizontal="left" vertical="center" wrapText="1"/>
    </xf>
    <xf numFmtId="0" fontId="109" fillId="0" borderId="0" xfId="3" applyFont="1" applyAlignment="1">
      <alignment horizontal="left" vertical="center" wrapText="1"/>
    </xf>
    <xf numFmtId="17" fontId="110" fillId="33" borderId="10" xfId="3" applyNumberFormat="1" applyFont="1" applyFill="1" applyBorder="1" applyAlignment="1">
      <alignment horizontal="center" vertical="center" wrapText="1"/>
    </xf>
    <xf numFmtId="37" fontId="107" fillId="0" borderId="0" xfId="2" applyNumberFormat="1" applyFont="1" applyAlignment="1">
      <alignment vertical="center" wrapText="1"/>
    </xf>
    <xf numFmtId="231" fontId="109" fillId="97" borderId="0" xfId="543" applyNumberFormat="1" applyFont="1" applyFill="1" applyBorder="1" applyAlignment="1">
      <alignment horizontal="right" vertical="center" wrapText="1"/>
    </xf>
    <xf numFmtId="0" fontId="109" fillId="0" borderId="0" xfId="3" applyAlignment="1">
      <alignment horizontal="right" vertical="center" wrapText="1"/>
    </xf>
    <xf numFmtId="0" fontId="108" fillId="0" borderId="0" xfId="3" applyFont="1" applyAlignment="1" applyProtection="1">
      <alignment horizontal="left" vertical="center" wrapText="1"/>
      <protection locked="0"/>
    </xf>
    <xf numFmtId="3" fontId="109" fillId="0" borderId="0" xfId="3" applyNumberFormat="1" applyAlignment="1">
      <alignment horizontal="right" vertical="center" wrapText="1"/>
    </xf>
    <xf numFmtId="3" fontId="109" fillId="0" borderId="0" xfId="3" applyNumberFormat="1" applyAlignment="1">
      <alignment horizontal="left" vertical="center" wrapText="1"/>
    </xf>
    <xf numFmtId="0" fontId="108" fillId="0" borderId="0" xfId="3" applyFont="1" applyAlignment="1" applyProtection="1">
      <alignment horizontal="left"/>
      <protection locked="0"/>
    </xf>
    <xf numFmtId="0" fontId="241" fillId="0" borderId="0" xfId="592" applyFont="1"/>
    <xf numFmtId="0" fontId="242" fillId="0" borderId="0" xfId="592" applyFont="1"/>
    <xf numFmtId="17" fontId="110" fillId="0" borderId="0" xfId="3" applyNumberFormat="1" applyFont="1" applyAlignment="1">
      <alignment horizontal="center" vertical="center" wrapText="1"/>
    </xf>
    <xf numFmtId="37" fontId="109" fillId="0" borderId="0" xfId="2" applyNumberFormat="1" applyFont="1" applyAlignment="1">
      <alignment vertical="center" wrapText="1"/>
    </xf>
    <xf numFmtId="230" fontId="111" fillId="0" borderId="0" xfId="924" applyNumberFormat="1" applyFont="1" applyAlignment="1">
      <alignment vertical="center" wrapText="1"/>
    </xf>
    <xf numFmtId="0" fontId="110" fillId="0" borderId="0" xfId="3" applyFont="1" applyAlignment="1">
      <alignment horizontal="left" vertical="center" wrapText="1"/>
    </xf>
    <xf numFmtId="3" fontId="110" fillId="0" borderId="0" xfId="3" applyNumberFormat="1" applyFont="1" applyAlignment="1">
      <alignment horizontal="right" vertical="center" wrapText="1"/>
    </xf>
    <xf numFmtId="17" fontId="110" fillId="33" borderId="10" xfId="3" applyNumberFormat="1" applyFont="1" applyFill="1" applyBorder="1" applyAlignment="1">
      <alignment horizontal="center" vertical="center" wrapText="1"/>
    </xf>
    <xf numFmtId="17" fontId="110" fillId="33" borderId="10" xfId="3" applyNumberFormat="1" applyFont="1" applyFill="1" applyBorder="1" applyAlignment="1">
      <alignment horizontal="center" vertical="center" wrapText="1"/>
    </xf>
    <xf numFmtId="17" fontId="110" fillId="33" borderId="10" xfId="3" applyNumberFormat="1" applyFont="1" applyFill="1" applyBorder="1" applyAlignment="1">
      <alignment horizontal="center" vertical="center" wrapText="1"/>
    </xf>
    <xf numFmtId="49" fontId="245" fillId="33" borderId="0" xfId="3" applyNumberFormat="1" applyFont="1" applyFill="1" applyBorder="1" applyAlignment="1">
      <alignment horizontal="center" vertical="center" wrapText="1"/>
    </xf>
    <xf numFmtId="17" fontId="110" fillId="33" borderId="10" xfId="3" applyNumberFormat="1" applyFont="1" applyFill="1" applyBorder="1" applyAlignment="1">
      <alignment horizontal="center" vertical="center" wrapText="1"/>
    </xf>
    <xf numFmtId="49" fontId="245" fillId="33" borderId="0" xfId="3" applyNumberFormat="1" applyFont="1" applyFill="1" applyBorder="1" applyAlignment="1">
      <alignment horizontal="center" vertical="center" wrapText="1"/>
    </xf>
    <xf numFmtId="17" fontId="110" fillId="33" borderId="10" xfId="3" quotePrefix="1" applyNumberFormat="1" applyFont="1" applyFill="1" applyBorder="1" applyAlignment="1">
      <alignment horizontal="center" vertical="center" wrapText="1"/>
    </xf>
    <xf numFmtId="17" fontId="110" fillId="33" borderId="10" xfId="3" applyNumberFormat="1" applyFont="1" applyFill="1" applyBorder="1" applyAlignment="1">
      <alignment horizontal="center" vertical="center" wrapText="1"/>
    </xf>
    <xf numFmtId="17" fontId="110" fillId="33" borderId="11" xfId="3" applyNumberFormat="1" applyFont="1" applyFill="1" applyBorder="1" applyAlignment="1">
      <alignment horizontal="center" vertical="center" wrapText="1"/>
    </xf>
    <xf numFmtId="0" fontId="109" fillId="0" borderId="0" xfId="3" applyAlignment="1">
      <alignment horizontal="left" vertical="center" wrapText="1"/>
    </xf>
    <xf numFmtId="0" fontId="109" fillId="0" borderId="0" xfId="3" applyAlignment="1">
      <alignment horizontal="center" vertical="center" wrapText="1"/>
    </xf>
    <xf numFmtId="0" fontId="262" fillId="0" borderId="0" xfId="0" applyFont="1" applyFill="1" applyAlignment="1">
      <alignment horizontal="left" vertical="center" wrapText="1"/>
    </xf>
    <xf numFmtId="0" fontId="262" fillId="0" borderId="0" xfId="0" applyFont="1" applyFill="1" applyAlignment="1">
      <alignment vertical="center" wrapText="1"/>
    </xf>
    <xf numFmtId="41" fontId="108" fillId="0" borderId="0" xfId="1260" applyFont="1" applyAlignment="1">
      <alignment vertical="center" wrapText="1"/>
    </xf>
    <xf numFmtId="41" fontId="108" fillId="0" borderId="0" xfId="2" applyNumberFormat="1" applyFont="1" applyAlignment="1">
      <alignment vertical="center" wrapText="1"/>
    </xf>
    <xf numFmtId="49" fontId="245" fillId="0" borderId="0" xfId="3" applyNumberFormat="1" applyFont="1" applyAlignment="1">
      <alignment horizontal="center" vertical="center" wrapText="1"/>
    </xf>
    <xf numFmtId="0" fontId="108" fillId="93" borderId="0" xfId="3" applyFont="1" applyFill="1" applyAlignment="1" applyProtection="1">
      <alignment horizontal="left" vertical="center" wrapText="1"/>
      <protection locked="0"/>
    </xf>
    <xf numFmtId="0" fontId="174" fillId="0" borderId="0" xfId="3" applyFont="1" applyAlignment="1">
      <alignment horizontal="left" vertical="center" wrapText="1"/>
    </xf>
    <xf numFmtId="3" fontId="174" fillId="0" borderId="0" xfId="3" applyNumberFormat="1" applyFont="1" applyAlignment="1">
      <alignment horizontal="right" vertical="center" wrapText="1"/>
    </xf>
    <xf numFmtId="0" fontId="174" fillId="92" borderId="0" xfId="3" applyFont="1" applyFill="1" applyAlignment="1">
      <alignment horizontal="left" vertical="center" wrapText="1"/>
    </xf>
    <xf numFmtId="3" fontId="174" fillId="92" borderId="0" xfId="3" applyNumberFormat="1" applyFont="1" applyFill="1" applyAlignment="1">
      <alignment horizontal="right" vertical="center" wrapText="1"/>
    </xf>
    <xf numFmtId="0" fontId="243" fillId="92" borderId="0" xfId="3" applyFont="1" applyFill="1" applyAlignment="1">
      <alignment horizontal="left" vertical="center" wrapText="1"/>
    </xf>
    <xf numFmtId="3" fontId="243" fillId="92" borderId="0" xfId="3" applyNumberFormat="1" applyFont="1" applyFill="1" applyAlignment="1">
      <alignment horizontal="right" vertical="center" wrapText="1"/>
    </xf>
    <xf numFmtId="0" fontId="243" fillId="0" borderId="0" xfId="3" applyFont="1" applyAlignment="1">
      <alignment horizontal="left" vertical="center" wrapText="1"/>
    </xf>
    <xf numFmtId="3" fontId="109" fillId="97" borderId="0" xfId="3" applyNumberFormat="1" applyFill="1" applyAlignment="1">
      <alignment horizontal="right" vertical="center" wrapText="1"/>
    </xf>
    <xf numFmtId="3" fontId="109" fillId="93" borderId="0" xfId="3" applyNumberFormat="1" applyFill="1" applyAlignment="1">
      <alignment horizontal="right" vertical="center" wrapText="1"/>
    </xf>
    <xf numFmtId="0" fontId="109" fillId="93" borderId="0" xfId="3" applyFill="1" applyAlignment="1">
      <alignment horizontal="left" vertical="center" wrapText="1"/>
    </xf>
    <xf numFmtId="0" fontId="108" fillId="93" borderId="0" xfId="3" applyFont="1" applyFill="1" applyAlignment="1" applyProtection="1">
      <alignment horizontal="left"/>
      <protection locked="0"/>
    </xf>
    <xf numFmtId="37" fontId="109" fillId="0" borderId="0" xfId="3" applyNumberFormat="1" applyAlignment="1">
      <alignment horizontal="right" vertical="center" wrapText="1"/>
    </xf>
    <xf numFmtId="0" fontId="109" fillId="0" borderId="0" xfId="592" applyProtection="1">
      <protection locked="0"/>
    </xf>
    <xf numFmtId="37" fontId="107" fillId="91" borderId="0" xfId="2" applyNumberFormat="1" applyFont="1" applyFill="1" applyAlignment="1">
      <alignment vertical="center" wrapText="1"/>
    </xf>
    <xf numFmtId="0" fontId="108" fillId="91" borderId="0" xfId="2" applyFont="1" applyFill="1" applyAlignment="1">
      <alignment vertical="center" wrapText="1"/>
    </xf>
    <xf numFmtId="0" fontId="111" fillId="91" borderId="0" xfId="924" applyFont="1" applyFill="1" applyAlignment="1">
      <alignment vertical="center" wrapText="1"/>
    </xf>
    <xf numFmtId="230" fontId="111" fillId="91" borderId="0" xfId="924" applyNumberFormat="1" applyFont="1" applyFill="1" applyAlignment="1">
      <alignment vertical="center" wrapText="1"/>
    </xf>
    <xf numFmtId="0" fontId="174" fillId="91" borderId="0" xfId="592" applyFont="1" applyFill="1" applyAlignment="1" applyProtection="1">
      <alignment vertical="center"/>
      <protection locked="0"/>
    </xf>
    <xf numFmtId="0" fontId="174" fillId="0" borderId="0" xfId="592" applyFont="1" applyAlignment="1" applyProtection="1">
      <alignment vertical="center"/>
      <protection locked="0"/>
    </xf>
    <xf numFmtId="0" fontId="108" fillId="0" borderId="0" xfId="2" applyFont="1" applyAlignment="1">
      <alignment horizontal="left" vertical="center" wrapText="1" indent="1"/>
    </xf>
    <xf numFmtId="0" fontId="109" fillId="0" borderId="0" xfId="2" applyFont="1" applyAlignment="1">
      <alignment horizontal="left" vertical="center" wrapText="1" indent="1"/>
    </xf>
    <xf numFmtId="0" fontId="111" fillId="0" borderId="0" xfId="924" applyFont="1" applyAlignment="1">
      <alignment vertical="center" wrapText="1"/>
    </xf>
    <xf numFmtId="0" fontId="109" fillId="0" borderId="0" xfId="592" applyAlignment="1" applyProtection="1">
      <alignment vertical="center"/>
      <protection locked="0"/>
    </xf>
    <xf numFmtId="0" fontId="107" fillId="91" borderId="0" xfId="2" applyFont="1" applyFill="1" applyAlignment="1">
      <alignment horizontal="left" vertical="center" wrapText="1"/>
    </xf>
    <xf numFmtId="0" fontId="111" fillId="91" borderId="0" xfId="924" applyFont="1" applyFill="1" applyAlignment="1">
      <alignment horizontal="left" vertical="center" wrapText="1"/>
    </xf>
    <xf numFmtId="0" fontId="109" fillId="91" borderId="0" xfId="592" applyFill="1" applyAlignment="1" applyProtection="1">
      <alignment vertical="center"/>
      <protection locked="0"/>
    </xf>
    <xf numFmtId="0" fontId="108" fillId="91" borderId="0" xfId="2" applyFont="1" applyFill="1" applyAlignment="1">
      <alignment horizontal="left" vertical="center" wrapText="1" indent="1"/>
    </xf>
    <xf numFmtId="0" fontId="109" fillId="34" borderId="0" xfId="4" applyFill="1" applyAlignment="1">
      <alignment horizontal="left" vertical="center" indent="1"/>
    </xf>
    <xf numFmtId="0" fontId="109" fillId="0" borderId="0" xfId="592" applyAlignment="1" applyProtection="1">
      <alignment horizontal="left"/>
      <protection locked="0"/>
    </xf>
    <xf numFmtId="0" fontId="107" fillId="91" borderId="0" xfId="2" applyFont="1" applyFill="1" applyAlignment="1">
      <alignment horizontal="left" vertical="center" wrapText="1" indent="1"/>
    </xf>
    <xf numFmtId="0" fontId="111" fillId="91" borderId="0" xfId="924" applyFont="1" applyFill="1" applyAlignment="1">
      <alignment horizontal="left" vertical="center" wrapText="1" indent="1"/>
    </xf>
    <xf numFmtId="0" fontId="112" fillId="91" borderId="0" xfId="2" applyFont="1" applyFill="1" applyAlignment="1">
      <alignment vertical="center" wrapText="1"/>
    </xf>
    <xf numFmtId="17" fontId="110" fillId="33" borderId="0" xfId="3" applyNumberFormat="1" applyFont="1" applyFill="1" applyAlignment="1">
      <alignment horizontal="center" vertical="center" wrapText="1"/>
    </xf>
    <xf numFmtId="0" fontId="107" fillId="0" borderId="0" xfId="2" applyFont="1" applyAlignment="1">
      <alignment horizontal="left" vertical="center" wrapText="1" indent="1"/>
    </xf>
    <xf numFmtId="17" fontId="110" fillId="33" borderId="10" xfId="3" applyNumberFormat="1" applyFont="1" applyFill="1" applyBorder="1" applyAlignment="1">
      <alignment horizontal="center" vertical="center" wrapText="1"/>
    </xf>
    <xf numFmtId="41" fontId="108" fillId="0" borderId="0" xfId="1260" applyFont="1" applyFill="1" applyBorder="1" applyAlignment="1">
      <alignment vertical="center" wrapText="1"/>
    </xf>
    <xf numFmtId="41" fontId="108" fillId="0" borderId="0" xfId="1260" applyFont="1" applyFill="1" applyBorder="1" applyAlignment="1">
      <alignment horizontal="right" vertical="center" wrapText="1"/>
    </xf>
    <xf numFmtId="41" fontId="108" fillId="0" borderId="0" xfId="1260" applyFont="1" applyFill="1" applyAlignment="1">
      <alignment vertical="center" wrapText="1"/>
    </xf>
    <xf numFmtId="231" fontId="108" fillId="0" borderId="0" xfId="2" applyNumberFormat="1" applyFont="1" applyBorder="1" applyAlignment="1">
      <alignment vertical="center" wrapText="1"/>
    </xf>
    <xf numFmtId="0" fontId="109" fillId="0" borderId="0" xfId="3" applyAlignment="1">
      <alignment horizontal="left" vertical="center" wrapText="1"/>
    </xf>
    <xf numFmtId="0" fontId="109" fillId="0" borderId="0" xfId="3" applyAlignment="1">
      <alignment horizontal="center" vertical="center" wrapText="1"/>
    </xf>
    <xf numFmtId="0" fontId="108" fillId="0" borderId="0" xfId="2" applyFont="1" applyAlignment="1">
      <alignment horizontal="center" vertical="center" wrapText="1"/>
    </xf>
    <xf numFmtId="0" fontId="107" fillId="0" borderId="0" xfId="2" applyFont="1" applyAlignment="1">
      <alignment horizontal="center" vertical="center" wrapText="1"/>
    </xf>
    <xf numFmtId="17" fontId="110" fillId="33" borderId="10" xfId="3" applyNumberFormat="1" applyFont="1" applyFill="1" applyBorder="1" applyAlignment="1">
      <alignment horizontal="center" vertical="center" wrapText="1"/>
    </xf>
    <xf numFmtId="17" fontId="110" fillId="33" borderId="11" xfId="3" applyNumberFormat="1" applyFont="1" applyFill="1" applyBorder="1" applyAlignment="1">
      <alignment horizontal="center" vertical="center" wrapText="1"/>
    </xf>
    <xf numFmtId="0" fontId="11" fillId="0" borderId="0" xfId="1318"/>
    <xf numFmtId="231" fontId="109" fillId="0" borderId="0" xfId="543" applyNumberFormat="1" applyFont="1" applyFill="1" applyBorder="1" applyAlignment="1">
      <alignment vertical="center" wrapText="1"/>
    </xf>
    <xf numFmtId="0" fontId="109" fillId="0" borderId="0" xfId="2" applyFont="1" applyAlignment="1">
      <alignment vertical="center" wrapText="1"/>
    </xf>
    <xf numFmtId="231" fontId="109" fillId="0" borderId="0" xfId="543" applyNumberFormat="1" applyFont="1" applyFill="1" applyAlignment="1">
      <alignment vertical="center" wrapText="1"/>
    </xf>
    <xf numFmtId="0" fontId="109" fillId="0" borderId="0" xfId="3" applyAlignment="1">
      <alignment horizontal="left" vertical="center" wrapText="1"/>
    </xf>
    <xf numFmtId="17" fontId="110" fillId="33" borderId="10" xfId="3" applyNumberFormat="1" applyFont="1" applyFill="1" applyBorder="1" applyAlignment="1">
      <alignment horizontal="center" vertical="center" wrapText="1"/>
    </xf>
    <xf numFmtId="3" fontId="109" fillId="0" borderId="0" xfId="3" applyNumberFormat="1" applyFill="1" applyAlignment="1">
      <alignment horizontal="right" vertical="center" wrapText="1"/>
    </xf>
    <xf numFmtId="231" fontId="174" fillId="91" borderId="0" xfId="543" applyNumberFormat="1" applyFont="1" applyFill="1" applyBorder="1" applyAlignment="1">
      <alignment horizontal="right" vertical="center" wrapText="1"/>
    </xf>
    <xf numFmtId="231" fontId="243" fillId="91" borderId="0" xfId="543" applyNumberFormat="1" applyFont="1" applyFill="1" applyBorder="1" applyAlignment="1">
      <alignment horizontal="right" vertical="center" wrapText="1"/>
    </xf>
    <xf numFmtId="3" fontId="109" fillId="0" borderId="0" xfId="2" applyNumberFormat="1" applyFont="1" applyAlignment="1">
      <alignment horizontal="right" vertical="center" wrapText="1"/>
    </xf>
    <xf numFmtId="231" fontId="174" fillId="0" borderId="0" xfId="543" applyNumberFormat="1" applyFont="1" applyFill="1" applyBorder="1" applyAlignment="1">
      <alignment horizontal="right" vertical="center" wrapText="1"/>
    </xf>
    <xf numFmtId="37" fontId="174" fillId="0" borderId="0" xfId="2" applyNumberFormat="1" applyFont="1" applyAlignment="1">
      <alignment horizontal="right" vertical="center" wrapText="1"/>
    </xf>
    <xf numFmtId="231" fontId="107" fillId="0" borderId="0" xfId="543" applyNumberFormat="1" applyFont="1" applyFill="1" applyBorder="1" applyAlignment="1">
      <alignment horizontal="right" vertical="center" wrapText="1"/>
    </xf>
    <xf numFmtId="231" fontId="109" fillId="0" borderId="0" xfId="543" applyNumberFormat="1" applyFont="1" applyFill="1" applyBorder="1" applyAlignment="1">
      <alignment horizontal="right" vertical="center"/>
    </xf>
    <xf numFmtId="3" fontId="238" fillId="0" borderId="0" xfId="2" applyNumberFormat="1" applyFont="1" applyAlignment="1">
      <alignment horizontal="right" vertical="center" wrapText="1"/>
    </xf>
    <xf numFmtId="37" fontId="107" fillId="0" borderId="0" xfId="2" applyNumberFormat="1" applyFont="1" applyAlignment="1">
      <alignment horizontal="right" vertical="center" wrapText="1"/>
    </xf>
    <xf numFmtId="37" fontId="243" fillId="0" borderId="0" xfId="2" applyNumberFormat="1" applyFont="1" applyAlignment="1">
      <alignment horizontal="right" vertical="center" wrapText="1"/>
    </xf>
    <xf numFmtId="3" fontId="107" fillId="91" borderId="0" xfId="2" applyNumberFormat="1" applyFont="1" applyFill="1" applyAlignment="1">
      <alignment horizontal="right" vertical="center" wrapText="1"/>
    </xf>
    <xf numFmtId="3" fontId="243" fillId="91" borderId="0" xfId="2" applyNumberFormat="1" applyFont="1" applyFill="1" applyAlignment="1">
      <alignment horizontal="right" vertical="center" wrapText="1"/>
    </xf>
    <xf numFmtId="0" fontId="109" fillId="0" borderId="0" xfId="2" applyFont="1" applyAlignment="1">
      <alignment horizontal="right" vertical="center"/>
    </xf>
    <xf numFmtId="231" fontId="243" fillId="0" borderId="0" xfId="543" applyNumberFormat="1" applyFont="1" applyFill="1" applyBorder="1" applyAlignment="1">
      <alignment horizontal="right" vertical="center" wrapText="1"/>
    </xf>
    <xf numFmtId="37" fontId="236" fillId="0" borderId="0" xfId="2" applyNumberFormat="1" applyFont="1" applyAlignment="1">
      <alignment horizontal="right" vertical="center" wrapText="1"/>
    </xf>
    <xf numFmtId="231" fontId="231" fillId="91" borderId="0" xfId="543" applyNumberFormat="1" applyFont="1" applyFill="1" applyBorder="1" applyAlignment="1">
      <alignment horizontal="right" vertical="center" wrapText="1"/>
    </xf>
    <xf numFmtId="41" fontId="108" fillId="0" borderId="0" xfId="1244" applyFont="1" applyAlignment="1">
      <alignment vertical="center" wrapText="1"/>
    </xf>
    <xf numFmtId="0" fontId="109" fillId="0" borderId="0" xfId="3" applyAlignment="1">
      <alignment horizontal="left" vertical="center" wrapText="1"/>
    </xf>
    <xf numFmtId="17" fontId="110" fillId="33" borderId="10" xfId="3" applyNumberFormat="1" applyFont="1" applyFill="1" applyBorder="1" applyAlignment="1">
      <alignment horizontal="center" vertical="center" wrapText="1"/>
    </xf>
    <xf numFmtId="0" fontId="6" fillId="0" borderId="0" xfId="1334"/>
    <xf numFmtId="0" fontId="109" fillId="0" borderId="0" xfId="3" applyFont="1" applyBorder="1" applyAlignment="1">
      <alignment horizontal="center" vertical="center" wrapText="1"/>
    </xf>
    <xf numFmtId="0" fontId="109" fillId="0" borderId="0" xfId="3" applyAlignment="1">
      <alignment horizontal="left" vertical="center" wrapText="1"/>
    </xf>
    <xf numFmtId="231" fontId="109" fillId="0" borderId="0" xfId="3" applyNumberFormat="1" applyAlignment="1">
      <alignment horizontal="left" vertical="center" wrapText="1"/>
    </xf>
    <xf numFmtId="3" fontId="243" fillId="0" borderId="0" xfId="3" applyNumberFormat="1" applyFont="1" applyAlignment="1">
      <alignment horizontal="right" vertical="center" wrapText="1"/>
    </xf>
    <xf numFmtId="167" fontId="109" fillId="0" borderId="0" xfId="543" applyFont="1" applyFill="1" applyAlignment="1">
      <alignment horizontal="left" vertical="center" wrapText="1"/>
    </xf>
    <xf numFmtId="0" fontId="264" fillId="0" borderId="0" xfId="1341" applyFont="1"/>
    <xf numFmtId="0" fontId="266" fillId="0" borderId="0" xfId="1337" applyFont="1"/>
    <xf numFmtId="0" fontId="267" fillId="0" borderId="0" xfId="1337" applyFont="1"/>
    <xf numFmtId="0" fontId="268" fillId="0" borderId="0" xfId="1337" applyFont="1"/>
    <xf numFmtId="0" fontId="270" fillId="88" borderId="0" xfId="1335" applyFont="1" applyFill="1"/>
    <xf numFmtId="41" fontId="270" fillId="88" borderId="0" xfId="1336" applyFont="1" applyFill="1"/>
    <xf numFmtId="0" fontId="269" fillId="88" borderId="0" xfId="1335" applyFont="1" applyFill="1" applyAlignment="1">
      <alignment vertical="center"/>
    </xf>
    <xf numFmtId="0" fontId="174" fillId="0" borderId="0" xfId="3" applyFont="1" applyAlignment="1">
      <alignment vertical="center" wrapText="1"/>
    </xf>
    <xf numFmtId="0" fontId="109" fillId="0" borderId="0" xfId="3" applyAlignment="1">
      <alignment vertical="center" wrapText="1"/>
    </xf>
    <xf numFmtId="0" fontId="109" fillId="0" borderId="0" xfId="3" applyFont="1" applyBorder="1" applyAlignment="1">
      <alignment vertical="center" wrapText="1"/>
    </xf>
    <xf numFmtId="0" fontId="174" fillId="0" borderId="0" xfId="3" applyFont="1" applyBorder="1" applyAlignment="1">
      <alignment vertical="center" wrapText="1"/>
    </xf>
    <xf numFmtId="0" fontId="108" fillId="0" borderId="0" xfId="3" applyFont="1" applyFill="1" applyAlignment="1" applyProtection="1">
      <alignment horizontal="left" vertical="center" wrapText="1"/>
      <protection locked="0"/>
    </xf>
    <xf numFmtId="0" fontId="109" fillId="0" borderId="0" xfId="3" applyAlignment="1">
      <alignment horizontal="left" vertical="center" wrapText="1"/>
    </xf>
    <xf numFmtId="49" fontId="245" fillId="33" borderId="58" xfId="3" applyNumberFormat="1" applyFont="1" applyFill="1" applyBorder="1" applyAlignment="1">
      <alignment horizontal="center" vertical="center" wrapText="1"/>
    </xf>
    <xf numFmtId="0" fontId="109" fillId="0" borderId="0" xfId="3" applyAlignment="1">
      <alignment horizontal="left" vertical="center" wrapText="1"/>
    </xf>
    <xf numFmtId="17" fontId="110" fillId="33" borderId="10" xfId="3" applyNumberFormat="1" applyFont="1" applyFill="1" applyBorder="1" applyAlignment="1">
      <alignment horizontal="center" vertical="center" wrapText="1"/>
    </xf>
    <xf numFmtId="0" fontId="2" fillId="0" borderId="0" xfId="1349"/>
    <xf numFmtId="49" fontId="245" fillId="33" borderId="58" xfId="3" applyNumberFormat="1" applyFont="1" applyFill="1" applyBorder="1" applyAlignment="1">
      <alignment horizontal="center" vertical="center" wrapText="1"/>
    </xf>
    <xf numFmtId="49" fontId="245" fillId="33" borderId="0" xfId="3" applyNumberFormat="1" applyFont="1" applyFill="1" applyBorder="1" applyAlignment="1">
      <alignment horizontal="center" vertical="center" wrapText="1"/>
    </xf>
    <xf numFmtId="17" fontId="245" fillId="33" borderId="58" xfId="3" applyNumberFormat="1" applyFont="1" applyFill="1" applyBorder="1" applyAlignment="1">
      <alignment horizontal="center" vertical="center" wrapText="1"/>
    </xf>
    <xf numFmtId="17" fontId="245" fillId="33" borderId="0" xfId="3" applyNumberFormat="1" applyFont="1" applyFill="1" applyBorder="1" applyAlignment="1">
      <alignment horizontal="center" vertical="center" wrapText="1"/>
    </xf>
    <xf numFmtId="0" fontId="262" fillId="0" borderId="0" xfId="0" applyFont="1" applyFill="1" applyAlignment="1">
      <alignment horizontal="center" vertical="center" wrapText="1"/>
    </xf>
    <xf numFmtId="17" fontId="110" fillId="33" borderId="58" xfId="3" quotePrefix="1" applyNumberFormat="1" applyFont="1" applyFill="1" applyBorder="1" applyAlignment="1">
      <alignment horizontal="center" vertical="center" wrapText="1"/>
    </xf>
    <xf numFmtId="17" fontId="110" fillId="33" borderId="0" xfId="3" quotePrefix="1" applyNumberFormat="1" applyFont="1" applyFill="1" applyBorder="1" applyAlignment="1">
      <alignment horizontal="center" vertical="center" wrapText="1"/>
    </xf>
    <xf numFmtId="0" fontId="262" fillId="0" borderId="0" xfId="0" applyFont="1" applyFill="1" applyAlignment="1">
      <alignment horizontal="left" vertical="center" wrapText="1"/>
    </xf>
    <xf numFmtId="17" fontId="110" fillId="33" borderId="58" xfId="3" applyNumberFormat="1" applyFont="1" applyFill="1" applyBorder="1" applyAlignment="1">
      <alignment horizontal="center" vertical="center" wrapText="1"/>
    </xf>
    <xf numFmtId="17" fontId="110" fillId="33" borderId="0" xfId="3" applyNumberFormat="1" applyFont="1" applyFill="1" applyBorder="1" applyAlignment="1">
      <alignment horizontal="center" vertical="center" wrapText="1"/>
    </xf>
    <xf numFmtId="49" fontId="245" fillId="33" borderId="10" xfId="3" applyNumberFormat="1" applyFont="1" applyFill="1" applyBorder="1" applyAlignment="1">
      <alignment horizontal="center" vertical="center" wrapText="1"/>
    </xf>
    <xf numFmtId="49" fontId="245" fillId="33" borderId="11" xfId="3" applyNumberFormat="1" applyFont="1" applyFill="1" applyBorder="1" applyAlignment="1">
      <alignment horizontal="center" vertical="center" wrapText="1"/>
    </xf>
    <xf numFmtId="49" fontId="245" fillId="33" borderId="12" xfId="3" applyNumberFormat="1" applyFont="1" applyFill="1" applyBorder="1" applyAlignment="1">
      <alignment horizontal="center" vertical="center" wrapText="1"/>
    </xf>
    <xf numFmtId="0" fontId="109" fillId="0" borderId="0" xfId="3" applyAlignment="1">
      <alignment horizontal="left" vertical="center" wrapText="1"/>
    </xf>
    <xf numFmtId="0" fontId="174" fillId="0" borderId="0" xfId="3" applyFont="1" applyAlignment="1">
      <alignment horizontal="center" vertical="center" wrapText="1"/>
    </xf>
    <xf numFmtId="0" fontId="109" fillId="0" borderId="0" xfId="3" applyAlignment="1">
      <alignment horizontal="center" vertical="center" wrapText="1"/>
    </xf>
    <xf numFmtId="17" fontId="245" fillId="33" borderId="10" xfId="3" applyNumberFormat="1" applyFont="1" applyFill="1" applyBorder="1" applyAlignment="1">
      <alignment horizontal="center" vertical="center" wrapText="1"/>
    </xf>
    <xf numFmtId="17" fontId="245" fillId="33" borderId="11" xfId="3" applyNumberFormat="1" applyFont="1" applyFill="1" applyBorder="1" applyAlignment="1">
      <alignment horizontal="center" vertical="center" wrapText="1"/>
    </xf>
    <xf numFmtId="17" fontId="245" fillId="33" borderId="12" xfId="3" applyNumberFormat="1" applyFont="1" applyFill="1" applyBorder="1" applyAlignment="1">
      <alignment horizontal="center" vertical="center" wrapText="1"/>
    </xf>
    <xf numFmtId="17" fontId="245" fillId="33" borderId="10" xfId="3" quotePrefix="1" applyNumberFormat="1" applyFont="1" applyFill="1" applyBorder="1" applyAlignment="1">
      <alignment horizontal="center" vertical="center" wrapText="1"/>
    </xf>
    <xf numFmtId="17" fontId="245" fillId="33" borderId="11" xfId="3" quotePrefix="1" applyNumberFormat="1" applyFont="1" applyFill="1" applyBorder="1" applyAlignment="1">
      <alignment horizontal="center" vertical="center" wrapText="1"/>
    </xf>
    <xf numFmtId="17" fontId="245" fillId="33" borderId="12" xfId="3" quotePrefix="1" applyNumberFormat="1" applyFont="1" applyFill="1" applyBorder="1" applyAlignment="1">
      <alignment horizontal="center" vertical="center" wrapText="1"/>
    </xf>
    <xf numFmtId="0" fontId="108" fillId="0" borderId="0" xfId="2" applyFont="1" applyAlignment="1">
      <alignment horizontal="center" vertical="center" wrapText="1"/>
    </xf>
    <xf numFmtId="0" fontId="107" fillId="0" borderId="0" xfId="2" applyFont="1" applyAlignment="1">
      <alignment horizontal="center" vertical="center" wrapText="1"/>
    </xf>
    <xf numFmtId="17" fontId="110" fillId="33" borderId="10" xfId="3" quotePrefix="1" applyNumberFormat="1" applyFont="1" applyFill="1" applyBorder="1" applyAlignment="1">
      <alignment horizontal="center" vertical="center" wrapText="1"/>
    </xf>
    <xf numFmtId="17" fontId="110" fillId="33" borderId="11" xfId="3" quotePrefix="1" applyNumberFormat="1" applyFont="1" applyFill="1" applyBorder="1" applyAlignment="1">
      <alignment horizontal="center" vertical="center" wrapText="1"/>
    </xf>
    <xf numFmtId="17" fontId="110" fillId="33" borderId="12" xfId="3" quotePrefix="1" applyNumberFormat="1" applyFont="1" applyFill="1" applyBorder="1" applyAlignment="1">
      <alignment horizontal="center" vertical="center" wrapText="1"/>
    </xf>
    <xf numFmtId="17" fontId="110" fillId="33" borderId="10" xfId="3" applyNumberFormat="1" applyFont="1" applyFill="1" applyBorder="1" applyAlignment="1">
      <alignment horizontal="center" vertical="center" wrapText="1"/>
    </xf>
    <xf numFmtId="17" fontId="110" fillId="33" borderId="11" xfId="3" applyNumberFormat="1" applyFont="1" applyFill="1" applyBorder="1" applyAlignment="1">
      <alignment horizontal="center" vertical="center" wrapText="1"/>
    </xf>
    <xf numFmtId="17" fontId="110" fillId="33" borderId="12" xfId="3" applyNumberFormat="1" applyFont="1" applyFill="1" applyBorder="1" applyAlignment="1">
      <alignment horizontal="center" vertical="center" wrapText="1"/>
    </xf>
    <xf numFmtId="248" fontId="109" fillId="0" borderId="0" xfId="3" applyNumberFormat="1" applyFont="1" applyAlignment="1">
      <alignment horizontal="left" vertical="center" wrapText="1"/>
    </xf>
    <xf numFmtId="49" fontId="245" fillId="33" borderId="0" xfId="3" applyNumberFormat="1" applyFont="1" applyFill="1" applyAlignment="1">
      <alignment horizontal="center" vertical="center" wrapText="1"/>
    </xf>
    <xf numFmtId="252" fontId="109" fillId="0" borderId="0" xfId="3" applyNumberFormat="1" applyFont="1" applyAlignment="1">
      <alignment horizontal="left" vertical="center" wrapText="1"/>
    </xf>
    <xf numFmtId="0" fontId="278" fillId="0" borderId="31" xfId="1352" applyFont="1" applyBorder="1" applyAlignment="1">
      <alignment horizontal="center" vertical="center" wrapText="1"/>
    </xf>
    <xf numFmtId="0" fontId="280" fillId="0" borderId="60" xfId="1352" applyFont="1" applyBorder="1" applyAlignment="1">
      <alignment vertical="center"/>
    </xf>
    <xf numFmtId="0" fontId="281" fillId="0" borderId="60" xfId="1352" applyFont="1" applyBorder="1" applyAlignment="1">
      <alignment vertical="center" wrapText="1"/>
    </xf>
    <xf numFmtId="244" fontId="281" fillId="91" borderId="60" xfId="1353" applyNumberFormat="1" applyFont="1" applyFill="1" applyBorder="1" applyAlignment="1">
      <alignment vertical="center"/>
    </xf>
    <xf numFmtId="244" fontId="281" fillId="0" borderId="60" xfId="1353" applyNumberFormat="1" applyFont="1" applyFill="1" applyBorder="1" applyAlignment="1">
      <alignment vertical="center" wrapText="1"/>
    </xf>
    <xf numFmtId="0" fontId="280" fillId="0" borderId="68" xfId="1352" applyFont="1" applyBorder="1" applyAlignment="1">
      <alignment vertical="center"/>
    </xf>
    <xf numFmtId="0" fontId="282" fillId="0" borderId="68" xfId="1352" applyFont="1" applyBorder="1" applyAlignment="1">
      <alignment horizontal="right" vertical="center" wrapText="1"/>
    </xf>
    <xf numFmtId="244" fontId="282" fillId="91" borderId="68" xfId="1353" applyNumberFormat="1" applyFont="1" applyFill="1" applyBorder="1" applyAlignment="1">
      <alignment horizontal="right" vertical="center" wrapText="1"/>
    </xf>
    <xf numFmtId="244" fontId="282" fillId="0" borderId="68" xfId="1353" applyNumberFormat="1" applyFont="1" applyFill="1" applyBorder="1" applyAlignment="1">
      <alignment horizontal="right" vertical="center" wrapText="1"/>
    </xf>
    <xf numFmtId="0" fontId="274" fillId="0" borderId="71" xfId="1352" applyFont="1" applyBorder="1" applyAlignment="1">
      <alignment vertical="center"/>
    </xf>
    <xf numFmtId="0" fontId="271" fillId="0" borderId="71" xfId="1352" applyFont="1" applyBorder="1" applyAlignment="1">
      <alignment horizontal="right" vertical="center" wrapText="1"/>
    </xf>
    <xf numFmtId="244" fontId="271" fillId="91" borderId="71" xfId="1353" applyNumberFormat="1" applyFont="1" applyFill="1" applyBorder="1" applyAlignment="1">
      <alignment horizontal="right" vertical="center" wrapText="1"/>
    </xf>
    <xf numFmtId="244" fontId="271" fillId="0" borderId="71" xfId="1353" applyNumberFormat="1" applyFont="1" applyFill="1" applyBorder="1" applyAlignment="1">
      <alignment horizontal="right" vertical="center" wrapText="1"/>
    </xf>
    <xf numFmtId="0" fontId="274" fillId="0" borderId="72" xfId="1352" applyFont="1" applyBorder="1" applyAlignment="1">
      <alignment vertical="center"/>
    </xf>
    <xf numFmtId="0" fontId="271" fillId="0" borderId="72" xfId="1352" applyFont="1" applyBorder="1" applyAlignment="1">
      <alignment horizontal="center" vertical="center" wrapText="1"/>
    </xf>
    <xf numFmtId="244" fontId="271" fillId="91" borderId="72" xfId="1353" applyNumberFormat="1" applyFont="1" applyFill="1" applyBorder="1" applyAlignment="1">
      <alignment horizontal="right" vertical="center" wrapText="1"/>
    </xf>
    <xf numFmtId="244" fontId="271" fillId="0" borderId="72" xfId="1353" applyNumberFormat="1" applyFont="1" applyFill="1" applyBorder="1" applyAlignment="1">
      <alignment horizontal="right" vertical="center" wrapText="1"/>
    </xf>
    <xf numFmtId="0" fontId="274" fillId="0" borderId="61" xfId="1352" applyFont="1" applyBorder="1" applyAlignment="1">
      <alignment vertical="center"/>
    </xf>
    <xf numFmtId="0" fontId="271" fillId="0" borderId="61" xfId="1352" applyFont="1" applyBorder="1" applyAlignment="1">
      <alignment horizontal="center" vertical="center" wrapText="1"/>
    </xf>
    <xf numFmtId="244" fontId="271" fillId="91" borderId="61" xfId="1353" applyNumberFormat="1" applyFont="1" applyFill="1" applyBorder="1" applyAlignment="1">
      <alignment horizontal="right" vertical="center" wrapText="1"/>
    </xf>
    <xf numFmtId="244" fontId="271" fillId="0" borderId="61" xfId="1353" applyNumberFormat="1" applyFont="1" applyFill="1" applyBorder="1" applyAlignment="1">
      <alignment horizontal="right" vertical="center" wrapText="1"/>
    </xf>
    <xf numFmtId="0" fontId="271" fillId="0" borderId="61" xfId="1352" applyFont="1" applyBorder="1" applyAlignment="1">
      <alignment horizontal="right" vertical="center" wrapText="1"/>
    </xf>
    <xf numFmtId="0" fontId="274" fillId="0" borderId="61" xfId="1352" applyFont="1" applyBorder="1" applyAlignment="1">
      <alignment vertical="center" wrapText="1"/>
    </xf>
    <xf numFmtId="0" fontId="1" fillId="0" borderId="68" xfId="1352" applyBorder="1"/>
    <xf numFmtId="0" fontId="283" fillId="0" borderId="68" xfId="1352" applyFont="1" applyBorder="1" applyAlignment="1">
      <alignment horizontal="right" vertical="center" wrapText="1"/>
    </xf>
    <xf numFmtId="244" fontId="283" fillId="91" borderId="68" xfId="1353" applyNumberFormat="1" applyFont="1" applyFill="1" applyBorder="1" applyAlignment="1">
      <alignment horizontal="right" vertical="center" wrapText="1"/>
    </xf>
    <xf numFmtId="244" fontId="283" fillId="0" borderId="68" xfId="1353" applyNumberFormat="1" applyFont="1" applyFill="1" applyBorder="1" applyAlignment="1">
      <alignment horizontal="right" vertical="center" wrapText="1"/>
    </xf>
    <xf numFmtId="0" fontId="282" fillId="0" borderId="60" xfId="1352" applyFont="1" applyBorder="1" applyAlignment="1">
      <alignment horizontal="right" vertical="center" wrapText="1"/>
    </xf>
    <xf numFmtId="244" fontId="282" fillId="91" borderId="60" xfId="1353" applyNumberFormat="1" applyFont="1" applyFill="1" applyBorder="1" applyAlignment="1">
      <alignment horizontal="right" vertical="center" wrapText="1"/>
    </xf>
    <xf numFmtId="244" fontId="282" fillId="0" borderId="60" xfId="1353" applyNumberFormat="1" applyFont="1" applyFill="1" applyBorder="1" applyAlignment="1">
      <alignment horizontal="right" vertical="center" wrapText="1"/>
    </xf>
    <xf numFmtId="0" fontId="284" fillId="0" borderId="68" xfId="1352" applyFont="1" applyBorder="1" applyAlignment="1">
      <alignment vertical="center"/>
    </xf>
    <xf numFmtId="0" fontId="1" fillId="0" borderId="0" xfId="1352"/>
    <xf numFmtId="244" fontId="0" fillId="91" borderId="0" xfId="1353" applyNumberFormat="1" applyFont="1" applyFill="1"/>
    <xf numFmtId="244" fontId="0" fillId="0" borderId="0" xfId="1353" applyNumberFormat="1" applyFont="1" applyFill="1"/>
    <xf numFmtId="0" fontId="274" fillId="0" borderId="60" xfId="1352" applyFont="1" applyBorder="1" applyAlignment="1">
      <alignment vertical="center"/>
    </xf>
    <xf numFmtId="0" fontId="271" fillId="0" borderId="60" xfId="1352" applyFont="1" applyBorder="1" applyAlignment="1">
      <alignment horizontal="right" vertical="center" wrapText="1"/>
    </xf>
    <xf numFmtId="244" fontId="271" fillId="91" borderId="60" xfId="1353" applyNumberFormat="1" applyFont="1" applyFill="1" applyBorder="1" applyAlignment="1">
      <alignment horizontal="right" vertical="center" wrapText="1"/>
    </xf>
    <xf numFmtId="244" fontId="271" fillId="0" borderId="60" xfId="1353" applyNumberFormat="1" applyFont="1" applyFill="1" applyBorder="1" applyAlignment="1">
      <alignment horizontal="right" vertical="center" wrapText="1"/>
    </xf>
    <xf numFmtId="0" fontId="284" fillId="0" borderId="68" xfId="1352" applyFont="1" applyBorder="1" applyAlignment="1">
      <alignment vertical="center" wrapText="1"/>
    </xf>
    <xf numFmtId="0" fontId="274" fillId="0" borderId="61" xfId="1352" applyFont="1" applyBorder="1" applyAlignment="1">
      <alignment horizontal="right" vertical="center" wrapText="1"/>
    </xf>
    <xf numFmtId="244" fontId="274" fillId="0" borderId="61" xfId="1353" applyNumberFormat="1" applyFont="1" applyFill="1" applyBorder="1" applyAlignment="1">
      <alignment horizontal="right" vertical="center" wrapText="1"/>
    </xf>
    <xf numFmtId="0" fontId="282" fillId="0" borderId="68" xfId="1352" applyFont="1" applyBorder="1" applyAlignment="1">
      <alignment horizontal="center" vertical="center" wrapText="1"/>
    </xf>
    <xf numFmtId="244" fontId="0" fillId="0" borderId="0" xfId="1353" applyNumberFormat="1" applyFont="1"/>
    <xf numFmtId="17" fontId="279" fillId="95" borderId="31" xfId="1350" applyNumberFormat="1" applyFont="1" applyFill="1" applyBorder="1" applyAlignment="1">
      <alignment horizontal="center" vertical="center"/>
    </xf>
    <xf numFmtId="0" fontId="264" fillId="0" borderId="0" xfId="1354" applyFont="1"/>
    <xf numFmtId="0" fontId="275" fillId="0" borderId="0" xfId="1354" applyFont="1"/>
    <xf numFmtId="0" fontId="271" fillId="0" borderId="60" xfId="1354" applyFont="1" applyBorder="1" applyAlignment="1">
      <alignment vertical="center" wrapText="1"/>
    </xf>
    <xf numFmtId="0" fontId="285" fillId="0" borderId="60" xfId="1354" applyFont="1" applyBorder="1" applyAlignment="1">
      <alignment horizontal="center" vertical="center" wrapText="1"/>
    </xf>
    <xf numFmtId="0" fontId="272" fillId="95" borderId="62" xfId="1354" applyFont="1" applyFill="1" applyBorder="1" applyAlignment="1">
      <alignment horizontal="center" vertical="center" wrapText="1"/>
    </xf>
    <xf numFmtId="0" fontId="272" fillId="0" borderId="62" xfId="1354" applyFont="1" applyBorder="1" applyAlignment="1">
      <alignment horizontal="center" vertical="center" wrapText="1"/>
    </xf>
    <xf numFmtId="0" fontId="273" fillId="0" borderId="63" xfId="1354" applyFont="1" applyBorder="1" applyAlignment="1">
      <alignment vertical="center" wrapText="1"/>
    </xf>
    <xf numFmtId="0" fontId="273" fillId="95" borderId="63" xfId="1354" applyFont="1" applyFill="1" applyBorder="1" applyAlignment="1">
      <alignment horizontal="right" vertical="center" wrapText="1"/>
    </xf>
    <xf numFmtId="0" fontId="273" fillId="0" borderId="63" xfId="1354" applyFont="1" applyBorder="1" applyAlignment="1">
      <alignment horizontal="right" vertical="center" wrapText="1"/>
    </xf>
    <xf numFmtId="0" fontId="273" fillId="0" borderId="61" xfId="1354" applyFont="1" applyBorder="1" applyAlignment="1">
      <alignment vertical="center" wrapText="1"/>
    </xf>
    <xf numFmtId="231" fontId="273" fillId="96" borderId="61" xfId="1355" applyNumberFormat="1" applyFont="1" applyFill="1" applyBorder="1" applyAlignment="1">
      <alignment vertical="center" wrapText="1"/>
    </xf>
    <xf numFmtId="231" fontId="273" fillId="0" borderId="61" xfId="1355" applyNumberFormat="1" applyFont="1" applyFill="1" applyBorder="1" applyAlignment="1">
      <alignment vertical="center" wrapText="1"/>
    </xf>
    <xf numFmtId="0" fontId="271" fillId="0" borderId="61" xfId="1354" applyFont="1" applyBorder="1" applyAlignment="1">
      <alignment vertical="center" wrapText="1"/>
    </xf>
    <xf numFmtId="231" fontId="271" fillId="95" borderId="61" xfId="1355" applyNumberFormat="1" applyFont="1" applyFill="1" applyBorder="1" applyAlignment="1">
      <alignment horizontal="right" vertical="center" wrapText="1"/>
    </xf>
    <xf numFmtId="231" fontId="271" fillId="0" borderId="61" xfId="1355" applyNumberFormat="1" applyFont="1" applyBorder="1" applyAlignment="1">
      <alignment horizontal="right" vertical="center" wrapText="1"/>
    </xf>
    <xf numFmtId="231" fontId="271" fillId="96" borderId="61" xfId="1355" applyNumberFormat="1" applyFont="1" applyFill="1" applyBorder="1" applyAlignment="1">
      <alignment vertical="center" wrapText="1"/>
    </xf>
    <xf numFmtId="231" fontId="271" fillId="0" borderId="61" xfId="1355" applyNumberFormat="1" applyFont="1" applyFill="1" applyBorder="1" applyAlignment="1">
      <alignment vertical="center" wrapText="1"/>
    </xf>
    <xf numFmtId="0" fontId="274" fillId="0" borderId="61" xfId="1354" applyFont="1" applyBorder="1" applyAlignment="1">
      <alignment vertical="center" wrapText="1"/>
    </xf>
    <xf numFmtId="0" fontId="273" fillId="0" borderId="60" xfId="1354" applyFont="1" applyBorder="1" applyAlignment="1">
      <alignment vertical="center" wrapText="1"/>
    </xf>
    <xf numFmtId="231" fontId="273" fillId="96" borderId="67" xfId="1355" applyNumberFormat="1" applyFont="1" applyFill="1" applyBorder="1" applyAlignment="1">
      <alignment vertical="center" wrapText="1"/>
    </xf>
    <xf numFmtId="231" fontId="273" fillId="0" borderId="67" xfId="1355" applyNumberFormat="1" applyFont="1" applyFill="1" applyBorder="1" applyAlignment="1">
      <alignment vertical="center" wrapText="1"/>
    </xf>
    <xf numFmtId="0" fontId="273" fillId="0" borderId="62" xfId="1354" applyFont="1" applyBorder="1" applyAlignment="1">
      <alignment vertical="center" wrapText="1"/>
    </xf>
    <xf numFmtId="0" fontId="275" fillId="95" borderId="0" xfId="1354" applyFont="1" applyFill="1"/>
    <xf numFmtId="0" fontId="273" fillId="0" borderId="64" xfId="1354" applyFont="1" applyBorder="1" applyAlignment="1">
      <alignment vertical="center" wrapText="1"/>
    </xf>
    <xf numFmtId="0" fontId="273" fillId="95" borderId="64" xfId="1354" applyFont="1" applyFill="1" applyBorder="1" applyAlignment="1">
      <alignment vertical="center" wrapText="1"/>
    </xf>
    <xf numFmtId="0" fontId="274" fillId="0" borderId="65" xfId="1354" applyFont="1" applyBorder="1" applyAlignment="1">
      <alignment vertical="center" wrapText="1"/>
    </xf>
    <xf numFmtId="0" fontId="274" fillId="0" borderId="66" xfId="1354" applyFont="1" applyBorder="1" applyAlignment="1">
      <alignment vertical="center" wrapText="1"/>
    </xf>
    <xf numFmtId="0" fontId="273" fillId="0" borderId="67" xfId="1354" applyFont="1" applyBorder="1" applyAlignment="1">
      <alignment horizontal="left" vertical="center" wrapText="1"/>
    </xf>
    <xf numFmtId="0" fontId="273" fillId="0" borderId="0" xfId="1354" applyFont="1" applyAlignment="1">
      <alignment horizontal="left" vertical="center" wrapText="1"/>
    </xf>
    <xf numFmtId="231" fontId="275" fillId="95" borderId="0" xfId="1355" applyNumberFormat="1" applyFont="1" applyFill="1" applyBorder="1"/>
    <xf numFmtId="231" fontId="275" fillId="0" borderId="0" xfId="1355" applyNumberFormat="1" applyFont="1" applyBorder="1"/>
    <xf numFmtId="0" fontId="273" fillId="0" borderId="63" xfId="1354" applyFont="1" applyBorder="1" applyAlignment="1">
      <alignment horizontal="left" vertical="center" wrapText="1"/>
    </xf>
    <xf numFmtId="231" fontId="273" fillId="95" borderId="63" xfId="1355" applyNumberFormat="1" applyFont="1" applyFill="1" applyBorder="1" applyAlignment="1">
      <alignment vertical="center" wrapText="1"/>
    </xf>
    <xf numFmtId="231" fontId="273" fillId="0" borderId="63" xfId="1355" applyNumberFormat="1" applyFont="1" applyBorder="1" applyAlignment="1">
      <alignment vertical="center" wrapText="1"/>
    </xf>
    <xf numFmtId="231" fontId="276" fillId="96" borderId="69" xfId="1355" applyNumberFormat="1" applyFont="1" applyFill="1" applyBorder="1" applyAlignment="1">
      <alignment vertical="center" wrapText="1"/>
    </xf>
    <xf numFmtId="231" fontId="276" fillId="0" borderId="69" xfId="1355" applyNumberFormat="1" applyFont="1" applyFill="1" applyBorder="1" applyAlignment="1">
      <alignment vertical="center" wrapText="1"/>
    </xf>
    <xf numFmtId="0" fontId="273" fillId="0" borderId="68" xfId="1354" applyFont="1" applyBorder="1" applyAlignment="1">
      <alignment vertical="center" wrapText="1"/>
    </xf>
    <xf numFmtId="231" fontId="276" fillId="96" borderId="70" xfId="1355" applyNumberFormat="1" applyFont="1" applyFill="1" applyBorder="1" applyAlignment="1">
      <alignment vertical="center" wrapText="1"/>
    </xf>
    <xf numFmtId="231" fontId="276" fillId="0" borderId="70" xfId="1355" applyNumberFormat="1" applyFont="1" applyFill="1" applyBorder="1" applyAlignment="1">
      <alignment vertical="center" wrapText="1"/>
    </xf>
    <xf numFmtId="231" fontId="271" fillId="95" borderId="61" xfId="1354" applyNumberFormat="1" applyFont="1" applyFill="1" applyBorder="1" applyAlignment="1">
      <alignment horizontal="right" vertical="center" wrapText="1"/>
    </xf>
    <xf numFmtId="231" fontId="271" fillId="0" borderId="61" xfId="1354" applyNumberFormat="1" applyFont="1" applyBorder="1" applyAlignment="1">
      <alignment horizontal="right" vertical="center" wrapText="1"/>
    </xf>
    <xf numFmtId="0" fontId="277" fillId="0" borderId="68" xfId="1354" applyFont="1" applyBorder="1" applyAlignment="1">
      <alignment vertical="center" wrapText="1"/>
    </xf>
    <xf numFmtId="231" fontId="276" fillId="95" borderId="68" xfId="1354" applyNumberFormat="1" applyFont="1" applyFill="1" applyBorder="1" applyAlignment="1">
      <alignment horizontal="right" vertical="center" wrapText="1"/>
    </xf>
    <xf numFmtId="231" fontId="276" fillId="0" borderId="68" xfId="1354" applyNumberFormat="1" applyFont="1" applyBorder="1" applyAlignment="1">
      <alignment horizontal="right" vertical="center" wrapText="1"/>
    </xf>
  </cellXfs>
  <cellStyles count="1356">
    <cellStyle name="******************************************" xfId="5" xr:uid="{00000000-0005-0000-0000-000000000000}"/>
    <cellStyle name="1o.nível" xfId="6" xr:uid="{00000000-0005-0000-0000-000001000000}"/>
    <cellStyle name="20% - Accent1" xfId="7" xr:uid="{00000000-0005-0000-0000-000002000000}"/>
    <cellStyle name="20% - Accent1 2" xfId="8" xr:uid="{00000000-0005-0000-0000-000003000000}"/>
    <cellStyle name="20% - Accent1 3" xfId="9" xr:uid="{00000000-0005-0000-0000-000004000000}"/>
    <cellStyle name="20% - Accent1_PYG CemArgos consolidado" xfId="10" xr:uid="{00000000-0005-0000-0000-000005000000}"/>
    <cellStyle name="20% - Accent2" xfId="11" xr:uid="{00000000-0005-0000-0000-000006000000}"/>
    <cellStyle name="20% - Accent2 2" xfId="12" xr:uid="{00000000-0005-0000-0000-000007000000}"/>
    <cellStyle name="20% - Accent2 3" xfId="13" xr:uid="{00000000-0005-0000-0000-000008000000}"/>
    <cellStyle name="20% - Accent2_PYG CemArgos consolidado" xfId="14" xr:uid="{00000000-0005-0000-0000-000009000000}"/>
    <cellStyle name="20% - Accent3" xfId="15" xr:uid="{00000000-0005-0000-0000-00000A000000}"/>
    <cellStyle name="20% - Accent3 2" xfId="16" xr:uid="{00000000-0005-0000-0000-00000B000000}"/>
    <cellStyle name="20% - Accent3 3" xfId="17" xr:uid="{00000000-0005-0000-0000-00000C000000}"/>
    <cellStyle name="20% - Accent3_PYG CemArgos consolidado" xfId="18" xr:uid="{00000000-0005-0000-0000-00000D000000}"/>
    <cellStyle name="20% - Accent4" xfId="19" xr:uid="{00000000-0005-0000-0000-00000E000000}"/>
    <cellStyle name="20% - Accent4 2" xfId="20" xr:uid="{00000000-0005-0000-0000-00000F000000}"/>
    <cellStyle name="20% - Accent4 3" xfId="21" xr:uid="{00000000-0005-0000-0000-000010000000}"/>
    <cellStyle name="20% - Accent4_PYG CemArgos consolidado" xfId="22" xr:uid="{00000000-0005-0000-0000-000011000000}"/>
    <cellStyle name="20% - Accent5" xfId="23" xr:uid="{00000000-0005-0000-0000-000012000000}"/>
    <cellStyle name="20% - Accent5 2" xfId="24" xr:uid="{00000000-0005-0000-0000-000013000000}"/>
    <cellStyle name="20% - Accent5 3" xfId="25" xr:uid="{00000000-0005-0000-0000-000014000000}"/>
    <cellStyle name="20% - Accent5_PYG CemArgos consolidado" xfId="26" xr:uid="{00000000-0005-0000-0000-000015000000}"/>
    <cellStyle name="20% - Accent6" xfId="27" xr:uid="{00000000-0005-0000-0000-000016000000}"/>
    <cellStyle name="20% - Accent6 2" xfId="28" xr:uid="{00000000-0005-0000-0000-000017000000}"/>
    <cellStyle name="20% - Accent6 3" xfId="29" xr:uid="{00000000-0005-0000-0000-000018000000}"/>
    <cellStyle name="20% - Accent6_PYG CemArgos consolidado" xfId="30" xr:uid="{00000000-0005-0000-0000-000019000000}"/>
    <cellStyle name="20% - Énfasis1 2" xfId="31" xr:uid="{00000000-0005-0000-0000-00001A000000}"/>
    <cellStyle name="20% - Énfasis1 2 2" xfId="32" xr:uid="{00000000-0005-0000-0000-00001B000000}"/>
    <cellStyle name="20% - Énfasis1 2 2 2" xfId="33" xr:uid="{00000000-0005-0000-0000-00001C000000}"/>
    <cellStyle name="20% - Énfasis1 2 3" xfId="34" xr:uid="{00000000-0005-0000-0000-00001D000000}"/>
    <cellStyle name="20% - Énfasis1 3" xfId="35" xr:uid="{00000000-0005-0000-0000-00001E000000}"/>
    <cellStyle name="20% - Énfasis1 4" xfId="36" xr:uid="{00000000-0005-0000-0000-00001F000000}"/>
    <cellStyle name="20% - Énfasis2 2" xfId="37" xr:uid="{00000000-0005-0000-0000-000020000000}"/>
    <cellStyle name="20% - Énfasis2 2 2" xfId="38" xr:uid="{00000000-0005-0000-0000-000021000000}"/>
    <cellStyle name="20% - Énfasis2 2 2 2" xfId="39" xr:uid="{00000000-0005-0000-0000-000022000000}"/>
    <cellStyle name="20% - Énfasis2 2 3" xfId="40" xr:uid="{00000000-0005-0000-0000-000023000000}"/>
    <cellStyle name="20% - Énfasis2 3" xfId="41" xr:uid="{00000000-0005-0000-0000-000024000000}"/>
    <cellStyle name="20% - Énfasis2 4" xfId="42" xr:uid="{00000000-0005-0000-0000-000025000000}"/>
    <cellStyle name="20% - Énfasis3 2" xfId="43" xr:uid="{00000000-0005-0000-0000-000026000000}"/>
    <cellStyle name="20% - Énfasis3 2 2" xfId="44" xr:uid="{00000000-0005-0000-0000-000027000000}"/>
    <cellStyle name="20% - Énfasis3 2 2 2" xfId="45" xr:uid="{00000000-0005-0000-0000-000028000000}"/>
    <cellStyle name="20% - Énfasis3 2 3" xfId="46" xr:uid="{00000000-0005-0000-0000-000029000000}"/>
    <cellStyle name="20% - Énfasis3 3" xfId="47" xr:uid="{00000000-0005-0000-0000-00002A000000}"/>
    <cellStyle name="20% - Énfasis3 4" xfId="48" xr:uid="{00000000-0005-0000-0000-00002B000000}"/>
    <cellStyle name="20% - Énfasis4 2" xfId="49" xr:uid="{00000000-0005-0000-0000-00002C000000}"/>
    <cellStyle name="20% - Énfasis4 2 2" xfId="50" xr:uid="{00000000-0005-0000-0000-00002D000000}"/>
    <cellStyle name="20% - Énfasis4 2 2 2" xfId="51" xr:uid="{00000000-0005-0000-0000-00002E000000}"/>
    <cellStyle name="20% - Énfasis4 2 3" xfId="52" xr:uid="{00000000-0005-0000-0000-00002F000000}"/>
    <cellStyle name="20% - Énfasis4 3" xfId="53" xr:uid="{00000000-0005-0000-0000-000030000000}"/>
    <cellStyle name="20% - Énfasis4 4" xfId="54" xr:uid="{00000000-0005-0000-0000-000031000000}"/>
    <cellStyle name="20% - Énfasis5 2" xfId="55" xr:uid="{00000000-0005-0000-0000-000032000000}"/>
    <cellStyle name="20% - Énfasis5 2 2" xfId="56" xr:uid="{00000000-0005-0000-0000-000033000000}"/>
    <cellStyle name="20% - Énfasis5 2 2 2" xfId="57" xr:uid="{00000000-0005-0000-0000-000034000000}"/>
    <cellStyle name="20% - Énfasis5 2 3" xfId="58" xr:uid="{00000000-0005-0000-0000-000035000000}"/>
    <cellStyle name="20% - Énfasis5 3" xfId="59" xr:uid="{00000000-0005-0000-0000-000036000000}"/>
    <cellStyle name="20% - Énfasis5 4" xfId="60" xr:uid="{00000000-0005-0000-0000-000037000000}"/>
    <cellStyle name="20% - Énfasis6 2" xfId="61" xr:uid="{00000000-0005-0000-0000-000038000000}"/>
    <cellStyle name="20% - Énfasis6 2 2" xfId="62" xr:uid="{00000000-0005-0000-0000-000039000000}"/>
    <cellStyle name="20% - Énfasis6 2 2 2" xfId="63" xr:uid="{00000000-0005-0000-0000-00003A000000}"/>
    <cellStyle name="20% - Énfasis6 2 3" xfId="64" xr:uid="{00000000-0005-0000-0000-00003B000000}"/>
    <cellStyle name="20% - Énfasis6 3" xfId="65" xr:uid="{00000000-0005-0000-0000-00003C000000}"/>
    <cellStyle name="20% - Énfasis6 4" xfId="66" xr:uid="{00000000-0005-0000-0000-00003D000000}"/>
    <cellStyle name="2o.nível" xfId="67" xr:uid="{00000000-0005-0000-0000-00003E000000}"/>
    <cellStyle name="40% - Accent1" xfId="68" xr:uid="{00000000-0005-0000-0000-00003F000000}"/>
    <cellStyle name="40% - Accent1 2" xfId="69" xr:uid="{00000000-0005-0000-0000-000040000000}"/>
    <cellStyle name="40% - Accent1 3" xfId="70" xr:uid="{00000000-0005-0000-0000-000041000000}"/>
    <cellStyle name="40% - Accent1_PYG CemArgos consolidado" xfId="71" xr:uid="{00000000-0005-0000-0000-000042000000}"/>
    <cellStyle name="40% - Accent2" xfId="72" xr:uid="{00000000-0005-0000-0000-000043000000}"/>
    <cellStyle name="40% - Accent2 2" xfId="73" xr:uid="{00000000-0005-0000-0000-000044000000}"/>
    <cellStyle name="40% - Accent2 3" xfId="74" xr:uid="{00000000-0005-0000-0000-000045000000}"/>
    <cellStyle name="40% - Accent2_PYG CemArgos consolidado" xfId="75" xr:uid="{00000000-0005-0000-0000-000046000000}"/>
    <cellStyle name="40% - Accent3" xfId="76" xr:uid="{00000000-0005-0000-0000-000047000000}"/>
    <cellStyle name="40% - Accent3 2" xfId="77" xr:uid="{00000000-0005-0000-0000-000048000000}"/>
    <cellStyle name="40% - Accent3 3" xfId="78" xr:uid="{00000000-0005-0000-0000-000049000000}"/>
    <cellStyle name="40% - Accent3_PYG CemArgos consolidado" xfId="79" xr:uid="{00000000-0005-0000-0000-00004A000000}"/>
    <cellStyle name="40% - Accent4" xfId="80" xr:uid="{00000000-0005-0000-0000-00004B000000}"/>
    <cellStyle name="40% - Accent4 2" xfId="81" xr:uid="{00000000-0005-0000-0000-00004C000000}"/>
    <cellStyle name="40% - Accent4 3" xfId="82" xr:uid="{00000000-0005-0000-0000-00004D000000}"/>
    <cellStyle name="40% - Accent4_PYG CemArgos consolidado" xfId="83" xr:uid="{00000000-0005-0000-0000-00004E000000}"/>
    <cellStyle name="40% - Accent5" xfId="84" xr:uid="{00000000-0005-0000-0000-00004F000000}"/>
    <cellStyle name="40% - Accent5 2" xfId="85" xr:uid="{00000000-0005-0000-0000-000050000000}"/>
    <cellStyle name="40% - Accent5 3" xfId="86" xr:uid="{00000000-0005-0000-0000-000051000000}"/>
    <cellStyle name="40% - Accent5_PYG CemArgos consolidado" xfId="87" xr:uid="{00000000-0005-0000-0000-000052000000}"/>
    <cellStyle name="40% - Accent6" xfId="88" xr:uid="{00000000-0005-0000-0000-000053000000}"/>
    <cellStyle name="40% - Accent6 2" xfId="89" xr:uid="{00000000-0005-0000-0000-000054000000}"/>
    <cellStyle name="40% - Accent6 3" xfId="90" xr:uid="{00000000-0005-0000-0000-000055000000}"/>
    <cellStyle name="40% - Accent6_PYG CemArgos consolidado" xfId="91" xr:uid="{00000000-0005-0000-0000-000056000000}"/>
    <cellStyle name="40% - Énfasis1 2" xfId="92" xr:uid="{00000000-0005-0000-0000-000057000000}"/>
    <cellStyle name="40% - Énfasis1 2 2" xfId="93" xr:uid="{00000000-0005-0000-0000-000058000000}"/>
    <cellStyle name="40% - Énfasis1 2 2 2" xfId="94" xr:uid="{00000000-0005-0000-0000-000059000000}"/>
    <cellStyle name="40% - Énfasis1 2 3" xfId="95" xr:uid="{00000000-0005-0000-0000-00005A000000}"/>
    <cellStyle name="40% - Énfasis1 3" xfId="96" xr:uid="{00000000-0005-0000-0000-00005B000000}"/>
    <cellStyle name="40% - Énfasis1 4" xfId="97" xr:uid="{00000000-0005-0000-0000-00005C000000}"/>
    <cellStyle name="40% - Énfasis2 2" xfId="98" xr:uid="{00000000-0005-0000-0000-00005D000000}"/>
    <cellStyle name="40% - Énfasis2 2 2" xfId="99" xr:uid="{00000000-0005-0000-0000-00005E000000}"/>
    <cellStyle name="40% - Énfasis2 2 2 2" xfId="100" xr:uid="{00000000-0005-0000-0000-00005F000000}"/>
    <cellStyle name="40% - Énfasis2 2 3" xfId="101" xr:uid="{00000000-0005-0000-0000-000060000000}"/>
    <cellStyle name="40% - Énfasis2 3" xfId="102" xr:uid="{00000000-0005-0000-0000-000061000000}"/>
    <cellStyle name="40% - Énfasis2 4" xfId="103" xr:uid="{00000000-0005-0000-0000-000062000000}"/>
    <cellStyle name="40% - Énfasis3 2" xfId="104" xr:uid="{00000000-0005-0000-0000-000063000000}"/>
    <cellStyle name="40% - Énfasis3 2 2" xfId="105" xr:uid="{00000000-0005-0000-0000-000064000000}"/>
    <cellStyle name="40% - Énfasis3 2 2 2" xfId="106" xr:uid="{00000000-0005-0000-0000-000065000000}"/>
    <cellStyle name="40% - Énfasis3 2 3" xfId="107" xr:uid="{00000000-0005-0000-0000-000066000000}"/>
    <cellStyle name="40% - Énfasis3 3" xfId="108" xr:uid="{00000000-0005-0000-0000-000067000000}"/>
    <cellStyle name="40% - Énfasis3 4" xfId="109" xr:uid="{00000000-0005-0000-0000-000068000000}"/>
    <cellStyle name="40% - Énfasis4 2" xfId="110" xr:uid="{00000000-0005-0000-0000-000069000000}"/>
    <cellStyle name="40% - Énfasis4 2 2" xfId="111" xr:uid="{00000000-0005-0000-0000-00006A000000}"/>
    <cellStyle name="40% - Énfasis4 2 2 2" xfId="112" xr:uid="{00000000-0005-0000-0000-00006B000000}"/>
    <cellStyle name="40% - Énfasis4 2 3" xfId="113" xr:uid="{00000000-0005-0000-0000-00006C000000}"/>
    <cellStyle name="40% - Énfasis4 3" xfId="114" xr:uid="{00000000-0005-0000-0000-00006D000000}"/>
    <cellStyle name="40% - Énfasis4 4" xfId="115" xr:uid="{00000000-0005-0000-0000-00006E000000}"/>
    <cellStyle name="40% - Énfasis5 2" xfId="116" xr:uid="{00000000-0005-0000-0000-00006F000000}"/>
    <cellStyle name="40% - Énfasis5 2 2" xfId="117" xr:uid="{00000000-0005-0000-0000-000070000000}"/>
    <cellStyle name="40% - Énfasis5 2 2 2" xfId="118" xr:uid="{00000000-0005-0000-0000-000071000000}"/>
    <cellStyle name="40% - Énfasis5 2 3" xfId="119" xr:uid="{00000000-0005-0000-0000-000072000000}"/>
    <cellStyle name="40% - Énfasis5 3" xfId="120" xr:uid="{00000000-0005-0000-0000-000073000000}"/>
    <cellStyle name="40% - Énfasis5 4" xfId="121" xr:uid="{00000000-0005-0000-0000-000074000000}"/>
    <cellStyle name="40% - Énfasis6 2" xfId="122" xr:uid="{00000000-0005-0000-0000-000075000000}"/>
    <cellStyle name="40% - Énfasis6 2 2" xfId="123" xr:uid="{00000000-0005-0000-0000-000076000000}"/>
    <cellStyle name="40% - Énfasis6 2 2 2" xfId="124" xr:uid="{00000000-0005-0000-0000-000077000000}"/>
    <cellStyle name="40% - Énfasis6 2 3" xfId="125" xr:uid="{00000000-0005-0000-0000-000078000000}"/>
    <cellStyle name="40% - Énfasis6 3" xfId="126" xr:uid="{00000000-0005-0000-0000-000079000000}"/>
    <cellStyle name="40% - Énfasis6 4" xfId="127" xr:uid="{00000000-0005-0000-0000-00007A000000}"/>
    <cellStyle name="60% - Accent1" xfId="128" xr:uid="{00000000-0005-0000-0000-00007B000000}"/>
    <cellStyle name="60% - Accent1 2" xfId="129" xr:uid="{00000000-0005-0000-0000-00007C000000}"/>
    <cellStyle name="60% - Accent1_PYG CemArgos consolidado" xfId="130" xr:uid="{00000000-0005-0000-0000-00007D000000}"/>
    <cellStyle name="60% - Accent2" xfId="131" xr:uid="{00000000-0005-0000-0000-00007E000000}"/>
    <cellStyle name="60% - Accent2 2" xfId="132" xr:uid="{00000000-0005-0000-0000-00007F000000}"/>
    <cellStyle name="60% - Accent2_PYG CemArgos consolidado" xfId="133" xr:uid="{00000000-0005-0000-0000-000080000000}"/>
    <cellStyle name="60% - Accent3" xfId="134" xr:uid="{00000000-0005-0000-0000-000081000000}"/>
    <cellStyle name="60% - Accent3 2" xfId="135" xr:uid="{00000000-0005-0000-0000-000082000000}"/>
    <cellStyle name="60% - Accent3_PYG CemArgos consolidado" xfId="136" xr:uid="{00000000-0005-0000-0000-000083000000}"/>
    <cellStyle name="60% - Accent4" xfId="137" xr:uid="{00000000-0005-0000-0000-000084000000}"/>
    <cellStyle name="60% - Accent4 2" xfId="138" xr:uid="{00000000-0005-0000-0000-000085000000}"/>
    <cellStyle name="60% - Accent4_PYG CemArgos consolidado" xfId="139" xr:uid="{00000000-0005-0000-0000-000086000000}"/>
    <cellStyle name="60% - Accent5" xfId="140" xr:uid="{00000000-0005-0000-0000-000087000000}"/>
    <cellStyle name="60% - Accent5 2" xfId="141" xr:uid="{00000000-0005-0000-0000-000088000000}"/>
    <cellStyle name="60% - Accent5_PYG CemArgos consolidado" xfId="142" xr:uid="{00000000-0005-0000-0000-000089000000}"/>
    <cellStyle name="60% - Accent6" xfId="143" xr:uid="{00000000-0005-0000-0000-00008A000000}"/>
    <cellStyle name="60% - Accent6 2" xfId="144" xr:uid="{00000000-0005-0000-0000-00008B000000}"/>
    <cellStyle name="60% - Accent6_PYG CemArgos consolidado" xfId="145" xr:uid="{00000000-0005-0000-0000-00008C000000}"/>
    <cellStyle name="60% - Énfasis1 2" xfId="146" xr:uid="{00000000-0005-0000-0000-00008D000000}"/>
    <cellStyle name="60% - Énfasis1 3" xfId="147" xr:uid="{00000000-0005-0000-0000-00008E000000}"/>
    <cellStyle name="60% - Énfasis1 4" xfId="148" xr:uid="{00000000-0005-0000-0000-00008F000000}"/>
    <cellStyle name="60% - Énfasis2 2" xfId="149" xr:uid="{00000000-0005-0000-0000-000090000000}"/>
    <cellStyle name="60% - Énfasis2 3" xfId="150" xr:uid="{00000000-0005-0000-0000-000091000000}"/>
    <cellStyle name="60% - Énfasis2 4" xfId="151" xr:uid="{00000000-0005-0000-0000-000092000000}"/>
    <cellStyle name="60% - Énfasis3 2" xfId="152" xr:uid="{00000000-0005-0000-0000-000093000000}"/>
    <cellStyle name="60% - Énfasis3 3" xfId="153" xr:uid="{00000000-0005-0000-0000-000094000000}"/>
    <cellStyle name="60% - Énfasis3 4" xfId="154" xr:uid="{00000000-0005-0000-0000-000095000000}"/>
    <cellStyle name="60% - Énfasis4 2" xfId="155" xr:uid="{00000000-0005-0000-0000-000096000000}"/>
    <cellStyle name="60% - Énfasis4 3" xfId="156" xr:uid="{00000000-0005-0000-0000-000097000000}"/>
    <cellStyle name="60% - Énfasis4 4" xfId="157" xr:uid="{00000000-0005-0000-0000-000098000000}"/>
    <cellStyle name="60% - Énfasis5 2" xfId="158" xr:uid="{00000000-0005-0000-0000-000099000000}"/>
    <cellStyle name="60% - Énfasis5 3" xfId="159" xr:uid="{00000000-0005-0000-0000-00009A000000}"/>
    <cellStyle name="60% - Énfasis5 4" xfId="160" xr:uid="{00000000-0005-0000-0000-00009B000000}"/>
    <cellStyle name="60% - Énfasis6 2" xfId="161" xr:uid="{00000000-0005-0000-0000-00009C000000}"/>
    <cellStyle name="60% - Énfasis6 3" xfId="162" xr:uid="{00000000-0005-0000-0000-00009D000000}"/>
    <cellStyle name="60% - Énfasis6 4" xfId="163" xr:uid="{00000000-0005-0000-0000-00009E000000}"/>
    <cellStyle name="a_Divisão" xfId="164" xr:uid="{00000000-0005-0000-0000-00009F000000}"/>
    <cellStyle name="a_normal" xfId="165" xr:uid="{00000000-0005-0000-0000-0000A0000000}"/>
    <cellStyle name="a_normal 2" xfId="166" xr:uid="{00000000-0005-0000-0000-0000A1000000}"/>
    <cellStyle name="a_normal_PYG CemArgos consolidado" xfId="167" xr:uid="{00000000-0005-0000-0000-0000A2000000}"/>
    <cellStyle name="a_quebra_1" xfId="168" xr:uid="{00000000-0005-0000-0000-0000A3000000}"/>
    <cellStyle name="a_quebra_2" xfId="169" xr:uid="{00000000-0005-0000-0000-0000A4000000}"/>
    <cellStyle name="Accent1" xfId="170" xr:uid="{00000000-0005-0000-0000-0000A5000000}"/>
    <cellStyle name="Accent1 2" xfId="171" xr:uid="{00000000-0005-0000-0000-0000A6000000}"/>
    <cellStyle name="Accent1_PYG CemArgos consolidado" xfId="172" xr:uid="{00000000-0005-0000-0000-0000A7000000}"/>
    <cellStyle name="Accent2" xfId="173" xr:uid="{00000000-0005-0000-0000-0000A8000000}"/>
    <cellStyle name="Accent2 2" xfId="174" xr:uid="{00000000-0005-0000-0000-0000A9000000}"/>
    <cellStyle name="Accent2_PYG CemArgos consolidado" xfId="175" xr:uid="{00000000-0005-0000-0000-0000AA000000}"/>
    <cellStyle name="Accent3" xfId="176" xr:uid="{00000000-0005-0000-0000-0000AB000000}"/>
    <cellStyle name="Accent3 2" xfId="177" xr:uid="{00000000-0005-0000-0000-0000AC000000}"/>
    <cellStyle name="Accent3_PYG CemArgos consolidado" xfId="178" xr:uid="{00000000-0005-0000-0000-0000AD000000}"/>
    <cellStyle name="Accent4" xfId="179" xr:uid="{00000000-0005-0000-0000-0000AE000000}"/>
    <cellStyle name="Accent4 2" xfId="180" xr:uid="{00000000-0005-0000-0000-0000AF000000}"/>
    <cellStyle name="Accent4_PYG CemArgos consolidado" xfId="181" xr:uid="{00000000-0005-0000-0000-0000B0000000}"/>
    <cellStyle name="Accent5" xfId="182" xr:uid="{00000000-0005-0000-0000-0000B1000000}"/>
    <cellStyle name="Accent5 2" xfId="183" xr:uid="{00000000-0005-0000-0000-0000B2000000}"/>
    <cellStyle name="Accent5_PYG CemArgos consolidado" xfId="184" xr:uid="{00000000-0005-0000-0000-0000B3000000}"/>
    <cellStyle name="Accent6" xfId="185" xr:uid="{00000000-0005-0000-0000-0000B4000000}"/>
    <cellStyle name="Accent6 2" xfId="186" xr:uid="{00000000-0005-0000-0000-0000B5000000}"/>
    <cellStyle name="Accent6_PYG CemArgos consolidado" xfId="187" xr:uid="{00000000-0005-0000-0000-0000B6000000}"/>
    <cellStyle name="Account" xfId="188" xr:uid="{00000000-0005-0000-0000-0000B7000000}"/>
    <cellStyle name="Account 2" xfId="189" xr:uid="{00000000-0005-0000-0000-0000B8000000}"/>
    <cellStyle name="Acctg" xfId="190" xr:uid="{00000000-0005-0000-0000-0000B9000000}"/>
    <cellStyle name="Acctg$" xfId="191" xr:uid="{00000000-0005-0000-0000-0000BA000000}"/>
    <cellStyle name="Acctg_comps" xfId="192" xr:uid="{00000000-0005-0000-0000-0000BB000000}"/>
    <cellStyle name="Acquisition" xfId="193" xr:uid="{00000000-0005-0000-0000-0000BC000000}"/>
    <cellStyle name="Acquisition 2" xfId="194" xr:uid="{00000000-0005-0000-0000-0000BD000000}"/>
    <cellStyle name="ANCLAS,REZONES Y SUS PARTES,DE FUNDICION,DE HIERRO O DE ACERO" xfId="195" xr:uid="{00000000-0005-0000-0000-0000BE000000}"/>
    <cellStyle name="anos" xfId="196" xr:uid="{00000000-0005-0000-0000-0000BF000000}"/>
    <cellStyle name="axlcolour" xfId="197" xr:uid="{00000000-0005-0000-0000-0000C0000000}"/>
    <cellStyle name="Bad" xfId="198" xr:uid="{00000000-0005-0000-0000-0000C1000000}"/>
    <cellStyle name="Bad 2" xfId="199" xr:uid="{00000000-0005-0000-0000-0000C2000000}"/>
    <cellStyle name="Bad_PYG CemArgos consolidado" xfId="200" xr:uid="{00000000-0005-0000-0000-0000C3000000}"/>
    <cellStyle name="Blue" xfId="201" xr:uid="{00000000-0005-0000-0000-0000C4000000}"/>
    <cellStyle name="blue font" xfId="202" xr:uid="{00000000-0005-0000-0000-0000C5000000}"/>
    <cellStyle name="Border" xfId="203" xr:uid="{00000000-0005-0000-0000-0000C6000000}"/>
    <cellStyle name="Bottom Edge" xfId="204" xr:uid="{00000000-0005-0000-0000-0000C7000000}"/>
    <cellStyle name="Buena 2" xfId="205" xr:uid="{00000000-0005-0000-0000-0000C8000000}"/>
    <cellStyle name="Buena 3" xfId="206" xr:uid="{00000000-0005-0000-0000-0000C9000000}"/>
    <cellStyle name="Buena 4" xfId="207" xr:uid="{00000000-0005-0000-0000-0000CA000000}"/>
    <cellStyle name="Calc Currency (0)" xfId="208" xr:uid="{00000000-0005-0000-0000-0000CB000000}"/>
    <cellStyle name="Calculation" xfId="209" xr:uid="{00000000-0005-0000-0000-0000CC000000}"/>
    <cellStyle name="Calculation 2" xfId="210" xr:uid="{00000000-0005-0000-0000-0000CD000000}"/>
    <cellStyle name="Calculation 2 2" xfId="211" xr:uid="{00000000-0005-0000-0000-0000CE000000}"/>
    <cellStyle name="Calculation_PYG CemArgos consolidado" xfId="212" xr:uid="{00000000-0005-0000-0000-0000CF000000}"/>
    <cellStyle name="Cálculo 2" xfId="213" xr:uid="{00000000-0005-0000-0000-0000D0000000}"/>
    <cellStyle name="Cálculo 3" xfId="214" xr:uid="{00000000-0005-0000-0000-0000D1000000}"/>
    <cellStyle name="Cálculo 4" xfId="215" xr:uid="{00000000-0005-0000-0000-0000D2000000}"/>
    <cellStyle name="Cancel" xfId="216" xr:uid="{00000000-0005-0000-0000-0000D3000000}"/>
    <cellStyle name="cárky [0]_BAU" xfId="217" xr:uid="{00000000-0005-0000-0000-0000D4000000}"/>
    <cellStyle name="cárky_BAU" xfId="218" xr:uid="{00000000-0005-0000-0000-0000D5000000}"/>
    <cellStyle name="Celda de comprobación 2" xfId="219" xr:uid="{00000000-0005-0000-0000-0000D6000000}"/>
    <cellStyle name="Celda de comprobación 3" xfId="220" xr:uid="{00000000-0005-0000-0000-0000D7000000}"/>
    <cellStyle name="Celda de comprobación 4" xfId="221" xr:uid="{00000000-0005-0000-0000-0000D8000000}"/>
    <cellStyle name="Celda vinculada 2" xfId="222" xr:uid="{00000000-0005-0000-0000-0000D9000000}"/>
    <cellStyle name="Celda vinculada 3" xfId="223" xr:uid="{00000000-0005-0000-0000-0000DA000000}"/>
    <cellStyle name="Celda vinculada 4" xfId="224" xr:uid="{00000000-0005-0000-0000-0000DB000000}"/>
    <cellStyle name="Cents" xfId="225" xr:uid="{00000000-0005-0000-0000-0000DC000000}"/>
    <cellStyle name="Check Cell" xfId="226" xr:uid="{00000000-0005-0000-0000-0000DD000000}"/>
    <cellStyle name="Check Cell 2" xfId="227" xr:uid="{00000000-0005-0000-0000-0000DE000000}"/>
    <cellStyle name="Check Cell_PYG CemArgos consolidado" xfId="228" xr:uid="{00000000-0005-0000-0000-0000DF000000}"/>
    <cellStyle name="clsAltData" xfId="229" xr:uid="{00000000-0005-0000-0000-0000E0000000}"/>
    <cellStyle name="Comma [0]_PROCTER295-Renta 2001" xfId="928" xr:uid="{00000000-0005-0000-0000-0000E1000000}"/>
    <cellStyle name="Comma Cents" xfId="230" xr:uid="{00000000-0005-0000-0000-0000E2000000}"/>
    <cellStyle name="Comma_activosfijos2001" xfId="929" xr:uid="{00000000-0005-0000-0000-0000E3000000}"/>
    <cellStyle name="Comma0" xfId="231" xr:uid="{00000000-0005-0000-0000-0000E4000000}"/>
    <cellStyle name="Company Name_Worksheet in J: MARKETING Templates D&amp;T Templates Noviembre 2002 Informe Modelo" xfId="232" xr:uid="{00000000-0005-0000-0000-0000E5000000}"/>
    <cellStyle name="computed cell" xfId="233" xr:uid="{00000000-0005-0000-0000-0000E6000000}"/>
    <cellStyle name="computed cell 2" xfId="234" xr:uid="{00000000-0005-0000-0000-0000E7000000}"/>
    <cellStyle name="Currency--" xfId="235" xr:uid="{00000000-0005-0000-0000-0000E8000000}"/>
    <cellStyle name="Currency [1]" xfId="236" xr:uid="{00000000-0005-0000-0000-0000E9000000}"/>
    <cellStyle name="Currency [1] 2" xfId="237" xr:uid="{00000000-0005-0000-0000-0000EA000000}"/>
    <cellStyle name="Currency [2]" xfId="238" xr:uid="{00000000-0005-0000-0000-0000EB000000}"/>
    <cellStyle name="Currency_Balance Pago de Impuestos Año 2005  CI RJ" xfId="930" xr:uid="{00000000-0005-0000-0000-0000EC000000}"/>
    <cellStyle name="Currency0" xfId="239" xr:uid="{00000000-0005-0000-0000-0000ED000000}"/>
    <cellStyle name="Date" xfId="240" xr:uid="{00000000-0005-0000-0000-0000EE000000}"/>
    <cellStyle name="Date &amp; Time" xfId="241" xr:uid="{00000000-0005-0000-0000-0000EF000000}"/>
    <cellStyle name="Date [d-mmm-yy]" xfId="242" xr:uid="{00000000-0005-0000-0000-0000F0000000}"/>
    <cellStyle name="Date [mm-d-yy]" xfId="243" xr:uid="{00000000-0005-0000-0000-0000F1000000}"/>
    <cellStyle name="Date [mm-d-yyyy]" xfId="244" xr:uid="{00000000-0005-0000-0000-0000F2000000}"/>
    <cellStyle name="Date [mmm-d-yyyy]" xfId="245" xr:uid="{00000000-0005-0000-0000-0000F3000000}"/>
    <cellStyle name="Date [mmm-yy]" xfId="246" xr:uid="{00000000-0005-0000-0000-0000F4000000}"/>
    <cellStyle name="Date [mmm-yyyy]" xfId="247" xr:uid="{00000000-0005-0000-0000-0000F5000000}"/>
    <cellStyle name="Date_campo_grande5" xfId="248" xr:uid="{00000000-0005-0000-0000-0000F6000000}"/>
    <cellStyle name="Date2" xfId="249" xr:uid="{00000000-0005-0000-0000-0000F7000000}"/>
    <cellStyle name="Date2h" xfId="250" xr:uid="{00000000-0005-0000-0000-0000F8000000}"/>
    <cellStyle name="Dezimal [0]_2CEMENT" xfId="251" xr:uid="{00000000-0005-0000-0000-0000F9000000}"/>
    <cellStyle name="Dezimal[0]" xfId="252" xr:uid="{00000000-0005-0000-0000-0000FA000000}"/>
    <cellStyle name="Dezimal_2CEMENT" xfId="253" xr:uid="{00000000-0005-0000-0000-0000FB000000}"/>
    <cellStyle name="dollars" xfId="254" xr:uid="{00000000-0005-0000-0000-0000FC000000}"/>
    <cellStyle name="dollars 2" xfId="255" xr:uid="{00000000-0005-0000-0000-0000FD000000}"/>
    <cellStyle name="Encabezado 4 2" xfId="256" xr:uid="{00000000-0005-0000-0000-0000FE000000}"/>
    <cellStyle name="Encabezado 4 3" xfId="257" xr:uid="{00000000-0005-0000-0000-0000FF000000}"/>
    <cellStyle name="Encabezado 4 4" xfId="258" xr:uid="{00000000-0005-0000-0000-000000010000}"/>
    <cellStyle name="Énfasis1 2" xfId="259" xr:uid="{00000000-0005-0000-0000-000001010000}"/>
    <cellStyle name="Énfasis1 3" xfId="260" xr:uid="{00000000-0005-0000-0000-000002010000}"/>
    <cellStyle name="Énfasis1 4" xfId="261" xr:uid="{00000000-0005-0000-0000-000003010000}"/>
    <cellStyle name="Énfasis2 2" xfId="262" xr:uid="{00000000-0005-0000-0000-000004010000}"/>
    <cellStyle name="Énfasis2 3" xfId="263" xr:uid="{00000000-0005-0000-0000-000005010000}"/>
    <cellStyle name="Énfasis2 4" xfId="264" xr:uid="{00000000-0005-0000-0000-000006010000}"/>
    <cellStyle name="Énfasis3 2" xfId="265" xr:uid="{00000000-0005-0000-0000-000007010000}"/>
    <cellStyle name="Énfasis3 3" xfId="266" xr:uid="{00000000-0005-0000-0000-000008010000}"/>
    <cellStyle name="Énfasis3 4" xfId="267" xr:uid="{00000000-0005-0000-0000-000009010000}"/>
    <cellStyle name="Énfasis4 2" xfId="268" xr:uid="{00000000-0005-0000-0000-00000A010000}"/>
    <cellStyle name="Énfasis4 3" xfId="269" xr:uid="{00000000-0005-0000-0000-00000B010000}"/>
    <cellStyle name="Énfasis4 4" xfId="270" xr:uid="{00000000-0005-0000-0000-00000C010000}"/>
    <cellStyle name="Énfasis5 2" xfId="271" xr:uid="{00000000-0005-0000-0000-00000D010000}"/>
    <cellStyle name="Énfasis5 3" xfId="272" xr:uid="{00000000-0005-0000-0000-00000E010000}"/>
    <cellStyle name="Énfasis5 4" xfId="273" xr:uid="{00000000-0005-0000-0000-00000F010000}"/>
    <cellStyle name="Énfasis6 2" xfId="274" xr:uid="{00000000-0005-0000-0000-000010010000}"/>
    <cellStyle name="Énfasis6 3" xfId="275" xr:uid="{00000000-0005-0000-0000-000011010000}"/>
    <cellStyle name="Énfasis6 4" xfId="276" xr:uid="{00000000-0005-0000-0000-000012010000}"/>
    <cellStyle name="En-tête 1" xfId="277" xr:uid="{00000000-0005-0000-0000-000013010000}"/>
    <cellStyle name="En-tête 2" xfId="278" xr:uid="{00000000-0005-0000-0000-000014010000}"/>
    <cellStyle name="Entrada 2" xfId="279" xr:uid="{00000000-0005-0000-0000-000015010000}"/>
    <cellStyle name="Entrada 3" xfId="280" xr:uid="{00000000-0005-0000-0000-000016010000}"/>
    <cellStyle name="Entrada 4" xfId="281" xr:uid="{00000000-0005-0000-0000-000017010000}"/>
    <cellStyle name="EPMLargeKeyFigure" xfId="919" xr:uid="{00000000-0005-0000-0000-000018010000}"/>
    <cellStyle name="Estilo 1" xfId="931" xr:uid="{00000000-0005-0000-0000-000019010000}"/>
    <cellStyle name="Estilo 2" xfId="932" xr:uid="{00000000-0005-0000-0000-00001A010000}"/>
    <cellStyle name="Estilo 3" xfId="933" xr:uid="{00000000-0005-0000-0000-00001B010000}"/>
    <cellStyle name="Estilo 4" xfId="934" xr:uid="{00000000-0005-0000-0000-00001C010000}"/>
    <cellStyle name="Euro" xfId="282" xr:uid="{00000000-0005-0000-0000-00001D010000}"/>
    <cellStyle name="Euro 2" xfId="283" xr:uid="{00000000-0005-0000-0000-00001E010000}"/>
    <cellStyle name="Explanatory Text" xfId="284" xr:uid="{00000000-0005-0000-0000-00001F010000}"/>
    <cellStyle name="Explanatory Text 2" xfId="285" xr:uid="{00000000-0005-0000-0000-000020010000}"/>
    <cellStyle name="Explanatory Text_PYG CemArgos consolidado" xfId="286" xr:uid="{00000000-0005-0000-0000-000021010000}"/>
    <cellStyle name="Ezres [0]_Inhalt " xfId="287" xr:uid="{00000000-0005-0000-0000-000022010000}"/>
    <cellStyle name="Ezres_Inhalt " xfId="288" xr:uid="{00000000-0005-0000-0000-000023010000}"/>
    <cellStyle name="F2" xfId="289" xr:uid="{00000000-0005-0000-0000-000024010000}"/>
    <cellStyle name="F3" xfId="290" xr:uid="{00000000-0005-0000-0000-000025010000}"/>
    <cellStyle name="F4" xfId="291" xr:uid="{00000000-0005-0000-0000-000026010000}"/>
    <cellStyle name="F5" xfId="292" xr:uid="{00000000-0005-0000-0000-000027010000}"/>
    <cellStyle name="F6" xfId="293" xr:uid="{00000000-0005-0000-0000-000028010000}"/>
    <cellStyle name="F7" xfId="294" xr:uid="{00000000-0005-0000-0000-000029010000}"/>
    <cellStyle name="F8" xfId="295" xr:uid="{00000000-0005-0000-0000-00002A010000}"/>
    <cellStyle name="fecha" xfId="935" xr:uid="{00000000-0005-0000-0000-00002B010000}"/>
    <cellStyle name="Financier0" xfId="296" xr:uid="{00000000-0005-0000-0000-00002C010000}"/>
    <cellStyle name="Fixed" xfId="297" xr:uid="{00000000-0005-0000-0000-00002D010000}"/>
    <cellStyle name="Fixed [0]" xfId="298" xr:uid="{00000000-0005-0000-0000-00002E010000}"/>
    <cellStyle name="Followed Hyperlink" xfId="299" xr:uid="{00000000-0005-0000-0000-00002F010000}"/>
    <cellStyle name="GMRRatio" xfId="300" xr:uid="{00000000-0005-0000-0000-000030010000}"/>
    <cellStyle name="GMRRatio 2" xfId="301" xr:uid="{00000000-0005-0000-0000-000031010000}"/>
    <cellStyle name="GMRRepCur" xfId="302" xr:uid="{00000000-0005-0000-0000-000032010000}"/>
    <cellStyle name="GMRRepCur 2" xfId="303" xr:uid="{00000000-0005-0000-0000-000033010000}"/>
    <cellStyle name="Good" xfId="304" xr:uid="{00000000-0005-0000-0000-000034010000}"/>
    <cellStyle name="Good 2" xfId="305" xr:uid="{00000000-0005-0000-0000-000035010000}"/>
    <cellStyle name="Good_PYG CemArgos consolidado" xfId="306" xr:uid="{00000000-0005-0000-0000-000036010000}"/>
    <cellStyle name="Grey" xfId="307" xr:uid="{00000000-0005-0000-0000-000037010000}"/>
    <cellStyle name="Grey 2" xfId="308" xr:uid="{00000000-0005-0000-0000-000038010000}"/>
    <cellStyle name="Header1" xfId="309" xr:uid="{00000000-0005-0000-0000-000039010000}"/>
    <cellStyle name="Header-1-1" xfId="310" xr:uid="{00000000-0005-0000-0000-00003A010000}"/>
    <cellStyle name="Header2" xfId="311" xr:uid="{00000000-0005-0000-0000-00003B010000}"/>
    <cellStyle name="Header-2" xfId="312" xr:uid="{00000000-0005-0000-0000-00003C010000}"/>
    <cellStyle name="Header2_gráfico Ingresos por regiones  V2 Real - Jun_10" xfId="313" xr:uid="{00000000-0005-0000-0000-00003D010000}"/>
    <cellStyle name="Header-3" xfId="314" xr:uid="{00000000-0005-0000-0000-00003E010000}"/>
    <cellStyle name="Heading" xfId="315" xr:uid="{00000000-0005-0000-0000-00003F010000}"/>
    <cellStyle name="Heading 1" xfId="316" xr:uid="{00000000-0005-0000-0000-000040010000}"/>
    <cellStyle name="Heading 1 2" xfId="317" xr:uid="{00000000-0005-0000-0000-000041010000}"/>
    <cellStyle name="Heading 1_PYG CemArgos consolidado" xfId="318" xr:uid="{00000000-0005-0000-0000-000042010000}"/>
    <cellStyle name="Heading 2" xfId="319" xr:uid="{00000000-0005-0000-0000-000043010000}"/>
    <cellStyle name="Heading 2 2" xfId="320" xr:uid="{00000000-0005-0000-0000-000044010000}"/>
    <cellStyle name="Heading 2_PYG CemArgos consolidado" xfId="321" xr:uid="{00000000-0005-0000-0000-000045010000}"/>
    <cellStyle name="Heading 3" xfId="322" xr:uid="{00000000-0005-0000-0000-000046010000}"/>
    <cellStyle name="Heading 3 2" xfId="323" xr:uid="{00000000-0005-0000-0000-000047010000}"/>
    <cellStyle name="Heading 3_PYG CemArgos consolidado" xfId="324" xr:uid="{00000000-0005-0000-0000-000048010000}"/>
    <cellStyle name="Heading 4" xfId="325" xr:uid="{00000000-0005-0000-0000-000049010000}"/>
    <cellStyle name="Heading 4 2" xfId="326" xr:uid="{00000000-0005-0000-0000-00004A010000}"/>
    <cellStyle name="Heading 4_PYG CemArgos consolidado" xfId="327" xr:uid="{00000000-0005-0000-0000-00004B010000}"/>
    <cellStyle name="Heading No Underline_Worksheet in J: MARKETING Templates D&amp;T Templates Noviembre 2002 Informe Modelo" xfId="328" xr:uid="{00000000-0005-0000-0000-00004C010000}"/>
    <cellStyle name="Heading With Underline_Worksheet in J: MARKETING Templates D&amp;T Templates Noviembre 2002 Informe Modelo" xfId="329" xr:uid="{00000000-0005-0000-0000-00004D010000}"/>
    <cellStyle name="hidden" xfId="330" xr:uid="{00000000-0005-0000-0000-00004E010000}"/>
    <cellStyle name="hidden 2" xfId="331" xr:uid="{00000000-0005-0000-0000-00004F010000}"/>
    <cellStyle name="Historical" xfId="332" xr:uid="{00000000-0005-0000-0000-000050010000}"/>
    <cellStyle name="HMRCalculated" xfId="333" xr:uid="{00000000-0005-0000-0000-000051010000}"/>
    <cellStyle name="HMRInput" xfId="334" xr:uid="{00000000-0005-0000-0000-000052010000}"/>
    <cellStyle name="Hyperlink" xfId="335" xr:uid="{00000000-0005-0000-0000-000053010000}"/>
    <cellStyle name="Incorrecto 2" xfId="336" xr:uid="{00000000-0005-0000-0000-000054010000}"/>
    <cellStyle name="Incorrecto 3" xfId="337" xr:uid="{00000000-0005-0000-0000-000055010000}"/>
    <cellStyle name="Incorrecto 4" xfId="338" xr:uid="{00000000-0005-0000-0000-000056010000}"/>
    <cellStyle name="Info Cell" xfId="339" xr:uid="{00000000-0005-0000-0000-000057010000}"/>
    <cellStyle name="Information" xfId="340" xr:uid="{00000000-0005-0000-0000-000058010000}"/>
    <cellStyle name="Input" xfId="341" xr:uid="{00000000-0005-0000-0000-000059010000}"/>
    <cellStyle name="Input [yellow]" xfId="342" xr:uid="{00000000-0005-0000-0000-00005A010000}"/>
    <cellStyle name="Input [yellow] 2" xfId="343" xr:uid="{00000000-0005-0000-0000-00005B010000}"/>
    <cellStyle name="Input 2" xfId="344" xr:uid="{00000000-0005-0000-0000-00005C010000}"/>
    <cellStyle name="Input Currency" xfId="345" xr:uid="{00000000-0005-0000-0000-00005D010000}"/>
    <cellStyle name="Input Currency 2" xfId="346" xr:uid="{00000000-0005-0000-0000-00005E010000}"/>
    <cellStyle name="Input Date" xfId="347" xr:uid="{00000000-0005-0000-0000-00005F010000}"/>
    <cellStyle name="Input Fixed [0]" xfId="348" xr:uid="{00000000-0005-0000-0000-000060010000}"/>
    <cellStyle name="Input Normal" xfId="349" xr:uid="{00000000-0005-0000-0000-000061010000}"/>
    <cellStyle name="input override" xfId="350" xr:uid="{00000000-0005-0000-0000-000062010000}"/>
    <cellStyle name="Input Percent" xfId="351" xr:uid="{00000000-0005-0000-0000-000063010000}"/>
    <cellStyle name="Input Percent [2]" xfId="352" xr:uid="{00000000-0005-0000-0000-000064010000}"/>
    <cellStyle name="Input Percent [2] 2" xfId="353" xr:uid="{00000000-0005-0000-0000-000065010000}"/>
    <cellStyle name="Input Percent_~2144771" xfId="354" xr:uid="{00000000-0005-0000-0000-000066010000}"/>
    <cellStyle name="Input Titles" xfId="355" xr:uid="{00000000-0005-0000-0000-000067010000}"/>
    <cellStyle name="input_Balance Sheet" xfId="356" xr:uid="{00000000-0005-0000-0000-000068010000}"/>
    <cellStyle name="InputCell" xfId="357" xr:uid="{00000000-0005-0000-0000-000069010000}"/>
    <cellStyle name="Input-Number-1" xfId="358" xr:uid="{00000000-0005-0000-0000-00006A010000}"/>
    <cellStyle name="Input-Percent-1" xfId="359" xr:uid="{00000000-0005-0000-0000-00006B010000}"/>
    <cellStyle name="Latest Estimate" xfId="360" xr:uid="{00000000-0005-0000-0000-00006C010000}"/>
    <cellStyle name="Lien hypertexte" xfId="361" xr:uid="{00000000-0005-0000-0000-00006D010000}"/>
    <cellStyle name="Lien hypertexte visité" xfId="362" xr:uid="{00000000-0005-0000-0000-00006E010000}"/>
    <cellStyle name="Lien hypertexte_GRAFICAS CONSOLIDADAS" xfId="923" xr:uid="{00000000-0005-0000-0000-00006F010000}"/>
    <cellStyle name="Line" xfId="363" xr:uid="{00000000-0005-0000-0000-000070010000}"/>
    <cellStyle name="Line-Item-1" xfId="364" xr:uid="{00000000-0005-0000-0000-000071010000}"/>
    <cellStyle name="Line-Item-1 2" xfId="365" xr:uid="{00000000-0005-0000-0000-000072010000}"/>
    <cellStyle name="Line-Item-2" xfId="366" xr:uid="{00000000-0005-0000-0000-000073010000}"/>
    <cellStyle name="Line-Item-2 2" xfId="367" xr:uid="{00000000-0005-0000-0000-000074010000}"/>
    <cellStyle name="Line-Item-Blank" xfId="368" xr:uid="{00000000-0005-0000-0000-000075010000}"/>
    <cellStyle name="Line-Item-Blank 2" xfId="369" xr:uid="{00000000-0005-0000-0000-000076010000}"/>
    <cellStyle name="Linked Cell" xfId="370" xr:uid="{00000000-0005-0000-0000-000077010000}"/>
    <cellStyle name="Linked Cell 2" xfId="371" xr:uid="{00000000-0005-0000-0000-000078010000}"/>
    <cellStyle name="Linked Cell_PYG CemArgos consolidado" xfId="372" xr:uid="{00000000-0005-0000-0000-000079010000}"/>
    <cellStyle name="locked" xfId="373" xr:uid="{00000000-0005-0000-0000-00007A010000}"/>
    <cellStyle name="locked 2" xfId="374" xr:uid="{00000000-0005-0000-0000-00007B010000}"/>
    <cellStyle name="m/d/yy" xfId="375" xr:uid="{00000000-0005-0000-0000-00007C010000}"/>
    <cellStyle name="macroname" xfId="936" xr:uid="{00000000-0005-0000-0000-00007D010000}"/>
    <cellStyle name="meny_BAU" xfId="376" xr:uid="{00000000-0005-0000-0000-00007E010000}"/>
    <cellStyle name="Migliaia (0)_1320 NX" xfId="377" xr:uid="{00000000-0005-0000-0000-00007F010000}"/>
    <cellStyle name="Migliaia_1320 NX" xfId="378" xr:uid="{00000000-0005-0000-0000-000080010000}"/>
    <cellStyle name="Millares" xfId="922" builtinId="3"/>
    <cellStyle name="Millares [0]" xfId="1260" builtinId="6"/>
    <cellStyle name="Millares [0] 10" xfId="1279" xr:uid="{B59D2DEA-AC8E-4A88-9DEB-1B2AC63F9C7A}"/>
    <cellStyle name="Millares [0] 11" xfId="1303" xr:uid="{40B1A15E-FFA9-4A45-A88A-63DF4F759306}"/>
    <cellStyle name="Millares [0] 12" xfId="1308" xr:uid="{C2DBF58A-464A-4AB4-A46E-DC3E59A0EA65}"/>
    <cellStyle name="Millares [0] 13" xfId="1328" xr:uid="{D3408C7E-5E55-4CD8-A0F5-8AF47ED015B1}"/>
    <cellStyle name="Millares [0] 14" xfId="1264" xr:uid="{C59AB2E5-F875-4647-8B29-87486ED1C607}"/>
    <cellStyle name="Millares [0] 16" xfId="1336" xr:uid="{21AABB06-0F26-4AFB-907C-289C0A7EA29D}"/>
    <cellStyle name="Millares [0] 17" xfId="1340" xr:uid="{B1035359-05C6-40B1-ABBD-BCC2CF35A4C8}"/>
    <cellStyle name="Millares [0] 19" xfId="1343" xr:uid="{5B37BC9D-E89A-4521-8B20-CE567D5700B8}"/>
    <cellStyle name="Millares [0] 2" xfId="379" xr:uid="{00000000-0005-0000-0000-000082010000}"/>
    <cellStyle name="Millares [0] 20" xfId="1294" xr:uid="{EE36F4C1-BAC5-4183-82EA-FD1E02C713AD}"/>
    <cellStyle name="Millares [0] 25" xfId="1322" xr:uid="{77A2932A-2354-4CD4-887F-CF30FEACA4C3}"/>
    <cellStyle name="Millares [0] 26" xfId="1346" xr:uid="{F850C148-E304-4C05-B72E-0EBD7C7ED5BA}"/>
    <cellStyle name="Millares [0] 3" xfId="380" xr:uid="{00000000-0005-0000-0000-000083010000}"/>
    <cellStyle name="Millares [0] 4" xfId="1148" xr:uid="{00000000-0005-0000-0000-000084010000}"/>
    <cellStyle name="Millares [0] 5" xfId="1166" xr:uid="{00000000-0005-0000-0000-000085010000}"/>
    <cellStyle name="Millares [0] 5 2" xfId="1244" xr:uid="{00000000-0005-0000-0000-000086010000}"/>
    <cellStyle name="Millares [0] 6" xfId="1181" xr:uid="{00000000-0005-0000-0000-000087010000}"/>
    <cellStyle name="Millares [0] 7" xfId="1195" xr:uid="{00000000-0005-0000-0000-000088010000}"/>
    <cellStyle name="Millares [0] 8" xfId="1200" xr:uid="{00000000-0005-0000-0000-000089010000}"/>
    <cellStyle name="Millares [0] 8 2" xfId="1246" xr:uid="{00000000-0005-0000-0000-00008A010000}"/>
    <cellStyle name="Millares [0] 9" xfId="1229" xr:uid="{00000000-0005-0000-0000-00008B010000}"/>
    <cellStyle name="Millares 10" xfId="381" xr:uid="{00000000-0005-0000-0000-00008C010000}"/>
    <cellStyle name="Millares 10 2" xfId="382" xr:uid="{00000000-0005-0000-0000-00008D010000}"/>
    <cellStyle name="Millares 10 2 2" xfId="383" xr:uid="{00000000-0005-0000-0000-00008E010000}"/>
    <cellStyle name="Millares 10 2 3" xfId="1143" xr:uid="{00000000-0005-0000-0000-00008F010000}"/>
    <cellStyle name="Millares 10 3" xfId="384" xr:uid="{00000000-0005-0000-0000-000090010000}"/>
    <cellStyle name="Millares 100" xfId="1345" xr:uid="{423B65CC-DCB2-4CE6-907D-8655F390A211}"/>
    <cellStyle name="Millares 103" xfId="1348" xr:uid="{EEE9AB32-D09E-414E-9DC1-C2E48A4E47F2}"/>
    <cellStyle name="Millares 108" xfId="1351" xr:uid="{EF5ACB3E-B1F0-42F1-BE5E-5E95768369B3}"/>
    <cellStyle name="Millares 109" xfId="1353" xr:uid="{E4A90E59-06D5-4560-8258-A0E6B5DA87C6}"/>
    <cellStyle name="Millares 11" xfId="385" xr:uid="{00000000-0005-0000-0000-000091010000}"/>
    <cellStyle name="Millares 11 2" xfId="386" xr:uid="{00000000-0005-0000-0000-000092010000}"/>
    <cellStyle name="Millares 11 2 2" xfId="387" xr:uid="{00000000-0005-0000-0000-000093010000}"/>
    <cellStyle name="Millares 11 3" xfId="388" xr:uid="{00000000-0005-0000-0000-000094010000}"/>
    <cellStyle name="Millares 11 3 2" xfId="389" xr:uid="{00000000-0005-0000-0000-000095010000}"/>
    <cellStyle name="Millares 11 4" xfId="390" xr:uid="{00000000-0005-0000-0000-000096010000}"/>
    <cellStyle name="Millares 110" xfId="1355" xr:uid="{7357D03E-3B2B-4FD9-9FA9-7CA172810B60}"/>
    <cellStyle name="Millares 12" xfId="391" xr:uid="{00000000-0005-0000-0000-000097010000}"/>
    <cellStyle name="Millares 12 2" xfId="392" xr:uid="{00000000-0005-0000-0000-000098010000}"/>
    <cellStyle name="Millares 12 2 2" xfId="393" xr:uid="{00000000-0005-0000-0000-000099010000}"/>
    <cellStyle name="Millares 12 3" xfId="394" xr:uid="{00000000-0005-0000-0000-00009A010000}"/>
    <cellStyle name="Millares 13" xfId="395" xr:uid="{00000000-0005-0000-0000-00009B010000}"/>
    <cellStyle name="Millares 13 2" xfId="396" xr:uid="{00000000-0005-0000-0000-00009C010000}"/>
    <cellStyle name="Millares 13 2 2" xfId="397" xr:uid="{00000000-0005-0000-0000-00009D010000}"/>
    <cellStyle name="Millares 13 3" xfId="398" xr:uid="{00000000-0005-0000-0000-00009E010000}"/>
    <cellStyle name="Millares 14" xfId="399" xr:uid="{00000000-0005-0000-0000-00009F010000}"/>
    <cellStyle name="Millares 14 2" xfId="400" xr:uid="{00000000-0005-0000-0000-0000A0010000}"/>
    <cellStyle name="Millares 14 2 2" xfId="401" xr:uid="{00000000-0005-0000-0000-0000A1010000}"/>
    <cellStyle name="Millares 14 3" xfId="402" xr:uid="{00000000-0005-0000-0000-0000A2010000}"/>
    <cellStyle name="Millares 15" xfId="403" xr:uid="{00000000-0005-0000-0000-0000A3010000}"/>
    <cellStyle name="Millares 15 2" xfId="404" xr:uid="{00000000-0005-0000-0000-0000A4010000}"/>
    <cellStyle name="Millares 15 2 2" xfId="405" xr:uid="{00000000-0005-0000-0000-0000A5010000}"/>
    <cellStyle name="Millares 15 3" xfId="406" xr:uid="{00000000-0005-0000-0000-0000A6010000}"/>
    <cellStyle name="Millares 16" xfId="407" xr:uid="{00000000-0005-0000-0000-0000A7010000}"/>
    <cellStyle name="Millares 16 2" xfId="408" xr:uid="{00000000-0005-0000-0000-0000A8010000}"/>
    <cellStyle name="Millares 16 2 2" xfId="409" xr:uid="{00000000-0005-0000-0000-0000A9010000}"/>
    <cellStyle name="Millares 16 2 2 2" xfId="410" xr:uid="{00000000-0005-0000-0000-0000AA010000}"/>
    <cellStyle name="Millares 16 2 3" xfId="411" xr:uid="{00000000-0005-0000-0000-0000AB010000}"/>
    <cellStyle name="Millares 16 2 3 2" xfId="412" xr:uid="{00000000-0005-0000-0000-0000AC010000}"/>
    <cellStyle name="Millares 16 2 4" xfId="413" xr:uid="{00000000-0005-0000-0000-0000AD010000}"/>
    <cellStyle name="Millares 16 3" xfId="414" xr:uid="{00000000-0005-0000-0000-0000AE010000}"/>
    <cellStyle name="Millares 16 3 2" xfId="415" xr:uid="{00000000-0005-0000-0000-0000AF010000}"/>
    <cellStyle name="Millares 16 4" xfId="416" xr:uid="{00000000-0005-0000-0000-0000B0010000}"/>
    <cellStyle name="Millares 17" xfId="417" xr:uid="{00000000-0005-0000-0000-0000B1010000}"/>
    <cellStyle name="Millares 17 2" xfId="418" xr:uid="{00000000-0005-0000-0000-0000B2010000}"/>
    <cellStyle name="Millares 17 2 2" xfId="419" xr:uid="{00000000-0005-0000-0000-0000B3010000}"/>
    <cellStyle name="Millares 17 3" xfId="420" xr:uid="{00000000-0005-0000-0000-0000B4010000}"/>
    <cellStyle name="Millares 17 3 2" xfId="421" xr:uid="{00000000-0005-0000-0000-0000B5010000}"/>
    <cellStyle name="Millares 17 4" xfId="422" xr:uid="{00000000-0005-0000-0000-0000B6010000}"/>
    <cellStyle name="Millares 18" xfId="423" xr:uid="{00000000-0005-0000-0000-0000B7010000}"/>
    <cellStyle name="Millares 18 2" xfId="424" xr:uid="{00000000-0005-0000-0000-0000B8010000}"/>
    <cellStyle name="Millares 18 2 2" xfId="425" xr:uid="{00000000-0005-0000-0000-0000B9010000}"/>
    <cellStyle name="Millares 18 2 3" xfId="426" xr:uid="{00000000-0005-0000-0000-0000BA010000}"/>
    <cellStyle name="Millares 19" xfId="427" xr:uid="{00000000-0005-0000-0000-0000BB010000}"/>
    <cellStyle name="Millares 19 2" xfId="428" xr:uid="{00000000-0005-0000-0000-0000BC010000}"/>
    <cellStyle name="Millares 19 3" xfId="429" xr:uid="{00000000-0005-0000-0000-0000BD010000}"/>
    <cellStyle name="Millares 2" xfId="430" xr:uid="{00000000-0005-0000-0000-0000BE010000}"/>
    <cellStyle name="Millares 2 2" xfId="431" xr:uid="{00000000-0005-0000-0000-0000BF010000}"/>
    <cellStyle name="Millares 2 2 2" xfId="981" xr:uid="{00000000-0005-0000-0000-0000C0010000}"/>
    <cellStyle name="Millares 2 2 3" xfId="1002" xr:uid="{00000000-0005-0000-0000-0000C1010000}"/>
    <cellStyle name="Millares 2 2 4" xfId="1019" xr:uid="{00000000-0005-0000-0000-0000C2010000}"/>
    <cellStyle name="Millares 2 3" xfId="920" xr:uid="{00000000-0005-0000-0000-0000C3010000}"/>
    <cellStyle name="Millares 2 4" xfId="965" xr:uid="{00000000-0005-0000-0000-0000C4010000}"/>
    <cellStyle name="Millares 2 5" xfId="975" xr:uid="{00000000-0005-0000-0000-0000C5010000}"/>
    <cellStyle name="Millares 2 6" xfId="996" xr:uid="{00000000-0005-0000-0000-0000C6010000}"/>
    <cellStyle name="Millares 2 7" xfId="1010" xr:uid="{00000000-0005-0000-0000-0000C7010000}"/>
    <cellStyle name="Millares 2 8" xfId="1014" xr:uid="{00000000-0005-0000-0000-0000C8010000}"/>
    <cellStyle name="Millares 2_Libro6 (9)" xfId="432" xr:uid="{00000000-0005-0000-0000-0000C9010000}"/>
    <cellStyle name="Millares 20" xfId="433" xr:uid="{00000000-0005-0000-0000-0000CA010000}"/>
    <cellStyle name="Millares 20 2" xfId="434" xr:uid="{00000000-0005-0000-0000-0000CB010000}"/>
    <cellStyle name="Millares 21" xfId="435" xr:uid="{00000000-0005-0000-0000-0000CC010000}"/>
    <cellStyle name="Millares 21 2" xfId="436" xr:uid="{00000000-0005-0000-0000-0000CD010000}"/>
    <cellStyle name="Millares 22" xfId="437" xr:uid="{00000000-0005-0000-0000-0000CE010000}"/>
    <cellStyle name="Millares 22 2" xfId="438" xr:uid="{00000000-0005-0000-0000-0000CF010000}"/>
    <cellStyle name="Millares 23" xfId="439" xr:uid="{00000000-0005-0000-0000-0000D0010000}"/>
    <cellStyle name="Millares 23 2" xfId="440" xr:uid="{00000000-0005-0000-0000-0000D1010000}"/>
    <cellStyle name="Millares 24" xfId="441" xr:uid="{00000000-0005-0000-0000-0000D2010000}"/>
    <cellStyle name="Millares 24 2" xfId="442" xr:uid="{00000000-0005-0000-0000-0000D3010000}"/>
    <cellStyle name="Millares 24 2 2" xfId="443" xr:uid="{00000000-0005-0000-0000-0000D4010000}"/>
    <cellStyle name="Millares 24 3" xfId="444" xr:uid="{00000000-0005-0000-0000-0000D5010000}"/>
    <cellStyle name="Millares 25" xfId="445" xr:uid="{00000000-0005-0000-0000-0000D6010000}"/>
    <cellStyle name="Millares 25 2" xfId="446" xr:uid="{00000000-0005-0000-0000-0000D7010000}"/>
    <cellStyle name="Millares 26" xfId="447" xr:uid="{00000000-0005-0000-0000-0000D8010000}"/>
    <cellStyle name="Millares 26 2" xfId="448" xr:uid="{00000000-0005-0000-0000-0000D9010000}"/>
    <cellStyle name="Millares 27" xfId="449" xr:uid="{00000000-0005-0000-0000-0000DA010000}"/>
    <cellStyle name="Millares 27 2" xfId="450" xr:uid="{00000000-0005-0000-0000-0000DB010000}"/>
    <cellStyle name="Millares 28" xfId="451" xr:uid="{00000000-0005-0000-0000-0000DC010000}"/>
    <cellStyle name="Millares 28 2" xfId="452" xr:uid="{00000000-0005-0000-0000-0000DD010000}"/>
    <cellStyle name="Millares 29" xfId="453" xr:uid="{00000000-0005-0000-0000-0000DE010000}"/>
    <cellStyle name="Millares 29 2" xfId="454" xr:uid="{00000000-0005-0000-0000-0000DF010000}"/>
    <cellStyle name="Millares 3" xfId="455" xr:uid="{00000000-0005-0000-0000-0000E0010000}"/>
    <cellStyle name="Millares 3 10" xfId="1012" xr:uid="{00000000-0005-0000-0000-0000E1010000}"/>
    <cellStyle name="Millares 3 11" xfId="1051" xr:uid="{00000000-0005-0000-0000-0000E2010000}"/>
    <cellStyle name="Millares 3 12" xfId="1065" xr:uid="{00000000-0005-0000-0000-0000E3010000}"/>
    <cellStyle name="Millares 3 13" xfId="1087" xr:uid="{00000000-0005-0000-0000-0000E4010000}"/>
    <cellStyle name="Millares 3 14" xfId="1091" xr:uid="{00000000-0005-0000-0000-0000E5010000}"/>
    <cellStyle name="Millares 3 15" xfId="1095" xr:uid="{00000000-0005-0000-0000-0000E6010000}"/>
    <cellStyle name="Millares 3 16" xfId="967" xr:uid="{00000000-0005-0000-0000-0000E7010000}"/>
    <cellStyle name="Millares 3 16 10" xfId="1111" xr:uid="{00000000-0005-0000-0000-0000E8010000}"/>
    <cellStyle name="Millares 3 16 11" xfId="1117" xr:uid="{00000000-0005-0000-0000-0000E9010000}"/>
    <cellStyle name="Millares 3 16 12" xfId="1122" xr:uid="{00000000-0005-0000-0000-0000EA010000}"/>
    <cellStyle name="Millares 3 16 13" xfId="1125" xr:uid="{00000000-0005-0000-0000-0000EB010000}"/>
    <cellStyle name="Millares 3 16 14" xfId="1129" xr:uid="{00000000-0005-0000-0000-0000EC010000}"/>
    <cellStyle name="Millares 3 16 15" xfId="1146" xr:uid="{00000000-0005-0000-0000-0000ED010000}"/>
    <cellStyle name="Millares 3 16 16" xfId="1164" xr:uid="{00000000-0005-0000-0000-0000EE010000}"/>
    <cellStyle name="Millares 3 16 17" xfId="1179" xr:uid="{00000000-0005-0000-0000-0000EF010000}"/>
    <cellStyle name="Millares 3 16 18" xfId="1193" xr:uid="{00000000-0005-0000-0000-0000F0010000}"/>
    <cellStyle name="Millares 3 16 19" xfId="1198" xr:uid="{00000000-0005-0000-0000-0000F1010000}"/>
    <cellStyle name="Millares 3 16 2" xfId="979" xr:uid="{00000000-0005-0000-0000-0000F2010000}"/>
    <cellStyle name="Millares 3 16 20" xfId="1214" xr:uid="{00000000-0005-0000-0000-0000F3010000}"/>
    <cellStyle name="Millares 3 16 21" xfId="1227" xr:uid="{00000000-0005-0000-0000-0000F4010000}"/>
    <cellStyle name="Millares 3 16 22" xfId="1250" xr:uid="{00000000-0005-0000-0000-0000F5010000}"/>
    <cellStyle name="Millares 3 16 23" xfId="1277" xr:uid="{BADA6843-F0E1-4813-ABD5-7DBD6E4677DD}"/>
    <cellStyle name="Millares 3 16 24" xfId="1285" xr:uid="{7A866864-CAD6-4599-A344-1C1BAB8825AE}"/>
    <cellStyle name="Millares 3 16 25" xfId="1298" xr:uid="{639588B8-68B9-49A3-A291-C6A4D61089F2}"/>
    <cellStyle name="Millares 3 16 26" xfId="1306" xr:uid="{BFED7666-1E2E-4A13-99CE-2EB1A34185E7}"/>
    <cellStyle name="Millares 3 16 27" xfId="1326" xr:uid="{0080756B-5578-4BF9-BA11-3C85A08B4035}"/>
    <cellStyle name="Millares 3 16 3" xfId="1000" xr:uid="{00000000-0005-0000-0000-0000F6010000}"/>
    <cellStyle name="Millares 3 16 4" xfId="1017" xr:uid="{00000000-0005-0000-0000-0000F7010000}"/>
    <cellStyle name="Millares 3 16 5" xfId="1026" xr:uid="{00000000-0005-0000-0000-0000F8010000}"/>
    <cellStyle name="Millares 3 16 6" xfId="1034" xr:uid="{00000000-0005-0000-0000-0000F9010000}"/>
    <cellStyle name="Millares 3 16 7" xfId="1049" xr:uid="{00000000-0005-0000-0000-0000FA010000}"/>
    <cellStyle name="Millares 3 16 8" xfId="1063" xr:uid="{00000000-0005-0000-0000-0000FB010000}"/>
    <cellStyle name="Millares 3 16 9" xfId="1089" xr:uid="{00000000-0005-0000-0000-0000FC010000}"/>
    <cellStyle name="Millares 3 17" xfId="1097" xr:uid="{00000000-0005-0000-0000-0000FD010000}"/>
    <cellStyle name="Millares 3 2" xfId="456" xr:uid="{00000000-0005-0000-0000-0000FE010000}"/>
    <cellStyle name="Millares 3 2 2" xfId="978" xr:uid="{00000000-0005-0000-0000-0000FF010000}"/>
    <cellStyle name="Millares 3 2 3" xfId="999" xr:uid="{00000000-0005-0000-0000-000000020000}"/>
    <cellStyle name="Millares 3 2 4" xfId="1016" xr:uid="{00000000-0005-0000-0000-000001020000}"/>
    <cellStyle name="Millares 3 3" xfId="457" xr:uid="{00000000-0005-0000-0000-000002020000}"/>
    <cellStyle name="Millares 3 3 2" xfId="947" xr:uid="{00000000-0005-0000-0000-000003020000}"/>
    <cellStyle name="Millares 3 4" xfId="458" xr:uid="{00000000-0005-0000-0000-000004020000}"/>
    <cellStyle name="Millares 3 5" xfId="927" xr:uid="{00000000-0005-0000-0000-000005020000}"/>
    <cellStyle name="Millares 3 6" xfId="964" xr:uid="{00000000-0005-0000-0000-000006020000}"/>
    <cellStyle name="Millares 3 7" xfId="974" xr:uid="{00000000-0005-0000-0000-000007020000}"/>
    <cellStyle name="Millares 3 8" xfId="995" xr:uid="{00000000-0005-0000-0000-000008020000}"/>
    <cellStyle name="Millares 3 9" xfId="1009" xr:uid="{00000000-0005-0000-0000-000009020000}"/>
    <cellStyle name="Millares 30" xfId="459" xr:uid="{00000000-0005-0000-0000-00000A020000}"/>
    <cellStyle name="Millares 30 2" xfId="460" xr:uid="{00000000-0005-0000-0000-00000B020000}"/>
    <cellStyle name="Millares 31" xfId="461" xr:uid="{00000000-0005-0000-0000-00000C020000}"/>
    <cellStyle name="Millares 31 2" xfId="462" xr:uid="{00000000-0005-0000-0000-00000D020000}"/>
    <cellStyle name="Millares 32" xfId="463" xr:uid="{00000000-0005-0000-0000-00000E020000}"/>
    <cellStyle name="Millares 32 2" xfId="464" xr:uid="{00000000-0005-0000-0000-00000F020000}"/>
    <cellStyle name="Millares 33" xfId="465" xr:uid="{00000000-0005-0000-0000-000010020000}"/>
    <cellStyle name="Millares 33 2" xfId="466" xr:uid="{00000000-0005-0000-0000-000011020000}"/>
    <cellStyle name="Millares 34" xfId="467" xr:uid="{00000000-0005-0000-0000-000012020000}"/>
    <cellStyle name="Millares 34 2" xfId="468" xr:uid="{00000000-0005-0000-0000-000013020000}"/>
    <cellStyle name="Millares 35" xfId="469" xr:uid="{00000000-0005-0000-0000-000014020000}"/>
    <cellStyle name="Millares 35 2" xfId="470" xr:uid="{00000000-0005-0000-0000-000015020000}"/>
    <cellStyle name="Millares 36" xfId="471" xr:uid="{00000000-0005-0000-0000-000016020000}"/>
    <cellStyle name="Millares 36 2" xfId="472" xr:uid="{00000000-0005-0000-0000-000017020000}"/>
    <cellStyle name="Millares 37" xfId="473" xr:uid="{00000000-0005-0000-0000-000018020000}"/>
    <cellStyle name="Millares 37 2" xfId="474" xr:uid="{00000000-0005-0000-0000-000019020000}"/>
    <cellStyle name="Millares 38" xfId="475" xr:uid="{00000000-0005-0000-0000-00001A020000}"/>
    <cellStyle name="Millares 38 2" xfId="476" xr:uid="{00000000-0005-0000-0000-00001B020000}"/>
    <cellStyle name="Millares 39" xfId="477" xr:uid="{00000000-0005-0000-0000-00001C020000}"/>
    <cellStyle name="Millares 39 2" xfId="478" xr:uid="{00000000-0005-0000-0000-00001D020000}"/>
    <cellStyle name="Millares 4" xfId="479" xr:uid="{00000000-0005-0000-0000-00001E020000}"/>
    <cellStyle name="Millares 4 2" xfId="480" xr:uid="{00000000-0005-0000-0000-00001F020000}"/>
    <cellStyle name="Millares 4 3" xfId="481" xr:uid="{00000000-0005-0000-0000-000020020000}"/>
    <cellStyle name="Millares 4 4" xfId="482" xr:uid="{00000000-0005-0000-0000-000021020000}"/>
    <cellStyle name="Millares 40" xfId="483" xr:uid="{00000000-0005-0000-0000-000022020000}"/>
    <cellStyle name="Millares 40 2" xfId="484" xr:uid="{00000000-0005-0000-0000-000023020000}"/>
    <cellStyle name="Millares 41" xfId="485" xr:uid="{00000000-0005-0000-0000-000024020000}"/>
    <cellStyle name="Millares 42" xfId="486" xr:uid="{00000000-0005-0000-0000-000025020000}"/>
    <cellStyle name="Millares 43" xfId="917" xr:uid="{00000000-0005-0000-0000-000026020000}"/>
    <cellStyle name="Millares 44" xfId="939" xr:uid="{00000000-0005-0000-0000-000027020000}"/>
    <cellStyle name="Millares 45" xfId="941" xr:uid="{00000000-0005-0000-0000-000028020000}"/>
    <cellStyle name="Millares 45 2 2 3 2 3 4" xfId="1021" xr:uid="{00000000-0005-0000-0000-000029020000}"/>
    <cellStyle name="Millares 45 2 2 3 2 3 4 10" xfId="1186" xr:uid="{00000000-0005-0000-0000-00002A020000}"/>
    <cellStyle name="Millares 45 2 2 3 2 3 4 11" xfId="1207" xr:uid="{00000000-0005-0000-0000-00002B020000}"/>
    <cellStyle name="Millares 45 2 2 3 2 3 4 12" xfId="1220" xr:uid="{00000000-0005-0000-0000-00002C020000}"/>
    <cellStyle name="Millares 45 2 2 3 2 3 4 13" xfId="1238" xr:uid="{00000000-0005-0000-0000-00002D020000}"/>
    <cellStyle name="Millares 45 2 2 3 2 3 4 14" xfId="1271" xr:uid="{4F3B00C8-9D2B-4E26-8F34-6812DD44F954}"/>
    <cellStyle name="Millares 45 2 2 3 2 3 4 15" xfId="1288" xr:uid="{F0ECAA36-697C-4E0A-B848-E979340A4401}"/>
    <cellStyle name="Millares 45 2 2 3 2 3 4 16" xfId="1315" xr:uid="{9C7178CF-28D2-4D1B-A0B8-68F7FF822C54}"/>
    <cellStyle name="Millares 45 2 2 3 2 3 4 2" xfId="1030" xr:uid="{00000000-0005-0000-0000-00002E020000}"/>
    <cellStyle name="Millares 45 2 2 3 2 3 4 3" xfId="1044" xr:uid="{00000000-0005-0000-0000-00002F020000}"/>
    <cellStyle name="Millares 45 2 2 3 2 3 4 4" xfId="1057" xr:uid="{00000000-0005-0000-0000-000030020000}"/>
    <cellStyle name="Millares 45 2 2 3 2 3 4 5" xfId="1075" xr:uid="{00000000-0005-0000-0000-000031020000}"/>
    <cellStyle name="Millares 45 2 2 3 2 3 4 6" xfId="1107" xr:uid="{00000000-0005-0000-0000-000032020000}"/>
    <cellStyle name="Millares 45 2 2 3 2 3 4 7" xfId="1137" xr:uid="{00000000-0005-0000-0000-000033020000}"/>
    <cellStyle name="Millares 45 2 2 3 2 3 4 8" xfId="1156" xr:uid="{00000000-0005-0000-0000-000034020000}"/>
    <cellStyle name="Millares 45 2 2 3 2 3 4 9" xfId="1172" xr:uid="{00000000-0005-0000-0000-000035020000}"/>
    <cellStyle name="Millares 46" xfId="949" xr:uid="{00000000-0005-0000-0000-000036020000}"/>
    <cellStyle name="Millares 47" xfId="953" xr:uid="{00000000-0005-0000-0000-000037020000}"/>
    <cellStyle name="Millares 47 2 2" xfId="954" xr:uid="{00000000-0005-0000-0000-000038020000}"/>
    <cellStyle name="Millares 47 2 2 2" xfId="955" xr:uid="{00000000-0005-0000-0000-000039020000}"/>
    <cellStyle name="Millares 47 2 2 2 2" xfId="969" xr:uid="{00000000-0005-0000-0000-00003A020000}"/>
    <cellStyle name="Millares 47 2 2 2 2 10" xfId="1083" xr:uid="{00000000-0005-0000-0000-00003B020000}"/>
    <cellStyle name="Millares 47 2 2 2 2 11" xfId="1100" xr:uid="{00000000-0005-0000-0000-00003C020000}"/>
    <cellStyle name="Millares 47 2 2 2 2 12" xfId="1101" xr:uid="{00000000-0005-0000-0000-00003D020000}"/>
    <cellStyle name="Millares 47 2 2 2 2 13" xfId="1133" xr:uid="{00000000-0005-0000-0000-00003E020000}"/>
    <cellStyle name="Millares 47 2 2 2 2 14" xfId="1152" xr:uid="{00000000-0005-0000-0000-00003F020000}"/>
    <cellStyle name="Millares 47 2 2 2 2 15" xfId="1169" xr:uid="{00000000-0005-0000-0000-000040020000}"/>
    <cellStyle name="Millares 47 2 2 2 2 16" xfId="1182" xr:uid="{00000000-0005-0000-0000-000041020000}"/>
    <cellStyle name="Millares 47 2 2 2 2 17" xfId="1203" xr:uid="{00000000-0005-0000-0000-000042020000}"/>
    <cellStyle name="Millares 47 2 2 2 2 18" xfId="1217" xr:uid="{00000000-0005-0000-0000-000043020000}"/>
    <cellStyle name="Millares 47 2 2 2 2 19" xfId="1232" xr:uid="{00000000-0005-0000-0000-000044020000}"/>
    <cellStyle name="Millares 47 2 2 2 2 2" xfId="983" xr:uid="{00000000-0005-0000-0000-000045020000}"/>
    <cellStyle name="Millares 47 2 2 2 2 20" xfId="1233" xr:uid="{00000000-0005-0000-0000-000046020000}"/>
    <cellStyle name="Millares 47 2 2 2 2 20 2" xfId="1267" xr:uid="{81B2AD5B-9229-492C-A8C5-FF0C886DA8C8}"/>
    <cellStyle name="Millares 47 2 2 2 2 21" xfId="1266" xr:uid="{E3059AA4-CDDB-4212-B5AE-679B4F72E188}"/>
    <cellStyle name="Millares 47 2 2 2 2 22" xfId="1286" xr:uid="{46195BE7-3F5D-4043-9B00-5718154EB25B}"/>
    <cellStyle name="Millares 47 2 2 2 2 23" xfId="1313" xr:uid="{C812641E-3576-4AA1-B5D5-563967261DBB}"/>
    <cellStyle name="Millares 47 2 2 2 2 3" xfId="991" xr:uid="{00000000-0005-0000-0000-000047020000}"/>
    <cellStyle name="Millares 47 2 2 2 2 4" xfId="1004" xr:uid="{00000000-0005-0000-0000-000048020000}"/>
    <cellStyle name="Millares 47 2 2 2 2 4 10" xfId="1188" xr:uid="{00000000-0005-0000-0000-000049020000}"/>
    <cellStyle name="Millares 47 2 2 2 2 4 11" xfId="1209" xr:uid="{00000000-0005-0000-0000-00004A020000}"/>
    <cellStyle name="Millares 47 2 2 2 2 4 12" xfId="1222" xr:uid="{00000000-0005-0000-0000-00004B020000}"/>
    <cellStyle name="Millares 47 2 2 2 2 4 13" xfId="1240" xr:uid="{00000000-0005-0000-0000-00004C020000}"/>
    <cellStyle name="Millares 47 2 2 2 2 4 14" xfId="1273" xr:uid="{B47BDF67-EEA5-438A-BC2D-78928D1DF92A}"/>
    <cellStyle name="Millares 47 2 2 2 2 4 15" xfId="1290" xr:uid="{BC86F55D-71E0-43D0-818D-18F8D895A0AB}"/>
    <cellStyle name="Millares 47 2 2 2 2 4 16" xfId="1317" xr:uid="{92216759-A210-440D-88B3-6CD56E1342BC}"/>
    <cellStyle name="Millares 47 2 2 2 2 4 2" xfId="1032" xr:uid="{00000000-0005-0000-0000-00004D020000}"/>
    <cellStyle name="Millares 47 2 2 2 2 4 3" xfId="1046" xr:uid="{00000000-0005-0000-0000-00004E020000}"/>
    <cellStyle name="Millares 47 2 2 2 2 4 4" xfId="1059" xr:uid="{00000000-0005-0000-0000-00004F020000}"/>
    <cellStyle name="Millares 47 2 2 2 2 4 5" xfId="1077" xr:uid="{00000000-0005-0000-0000-000050020000}"/>
    <cellStyle name="Millares 47 2 2 2 2 4 6" xfId="1109" xr:uid="{00000000-0005-0000-0000-000051020000}"/>
    <cellStyle name="Millares 47 2 2 2 2 4 7" xfId="1139" xr:uid="{00000000-0005-0000-0000-000052020000}"/>
    <cellStyle name="Millares 47 2 2 2 2 4 8" xfId="1158" xr:uid="{00000000-0005-0000-0000-000053020000}"/>
    <cellStyle name="Millares 47 2 2 2 2 4 9" xfId="1174" xr:uid="{00000000-0005-0000-0000-000054020000}"/>
    <cellStyle name="Millares 47 2 2 2 2 5" xfId="1020" xr:uid="{00000000-0005-0000-0000-000055020000}"/>
    <cellStyle name="Millares 47 2 2 2 2 6" xfId="1029" xr:uid="{00000000-0005-0000-0000-000056020000}"/>
    <cellStyle name="Millares 47 2 2 2 2 7" xfId="1039" xr:uid="{00000000-0005-0000-0000-000057020000}"/>
    <cellStyle name="Millares 47 2 2 2 2 8" xfId="1053" xr:uid="{00000000-0005-0000-0000-000058020000}"/>
    <cellStyle name="Millares 47 2 2 2 2 9" xfId="1071" xr:uid="{00000000-0005-0000-0000-000059020000}"/>
    <cellStyle name="Millares 47 2 2 3" xfId="961" xr:uid="{00000000-0005-0000-0000-00005A020000}"/>
    <cellStyle name="Millares 47 2 2 4" xfId="968" xr:uid="{00000000-0005-0000-0000-00005B020000}"/>
    <cellStyle name="Millares 48" xfId="972" xr:uid="{00000000-0005-0000-0000-00005C020000}"/>
    <cellStyle name="Millares 49" xfId="976" xr:uid="{00000000-0005-0000-0000-00005D020000}"/>
    <cellStyle name="Millares 5" xfId="487" xr:uid="{00000000-0005-0000-0000-00005E020000}"/>
    <cellStyle name="Millares 5 2" xfId="488" xr:uid="{00000000-0005-0000-0000-00005F020000}"/>
    <cellStyle name="Millares 5 2 2" xfId="489" xr:uid="{00000000-0005-0000-0000-000060020000}"/>
    <cellStyle name="Millares 5 3" xfId="490" xr:uid="{00000000-0005-0000-0000-000061020000}"/>
    <cellStyle name="Millares 5 3 2" xfId="491" xr:uid="{00000000-0005-0000-0000-000062020000}"/>
    <cellStyle name="Millares 5 4" xfId="492" xr:uid="{00000000-0005-0000-0000-000063020000}"/>
    <cellStyle name="Millares 50" xfId="1013" xr:uid="{00000000-0005-0000-0000-000064020000}"/>
    <cellStyle name="Millares 51" xfId="984" xr:uid="{00000000-0005-0000-0000-000065020000}"/>
    <cellStyle name="Millares 51 10" xfId="1153" xr:uid="{00000000-0005-0000-0000-000066020000}"/>
    <cellStyle name="Millares 51 11" xfId="1183" xr:uid="{00000000-0005-0000-0000-000067020000}"/>
    <cellStyle name="Millares 51 12" xfId="1204" xr:uid="{00000000-0005-0000-0000-000068020000}"/>
    <cellStyle name="Millares 51 13" xfId="1218" xr:uid="{00000000-0005-0000-0000-000069020000}"/>
    <cellStyle name="Millares 51 14" xfId="1234" xr:uid="{00000000-0005-0000-0000-00006A020000}"/>
    <cellStyle name="Millares 51 14 2" xfId="1268" xr:uid="{36FC4D12-E95E-4156-A9EF-65F4C8437323}"/>
    <cellStyle name="Millares 51 15" xfId="1287" xr:uid="{83DE0629-6125-483A-A0B1-C6C5BF063C97}"/>
    <cellStyle name="Millares 51 16" xfId="1314" xr:uid="{7BB84240-9BDE-482F-A60B-6B12E4A41FBB}"/>
    <cellStyle name="Millares 51 2" xfId="992" xr:uid="{00000000-0005-0000-0000-00006B020000}"/>
    <cellStyle name="Millares 51 2 2" xfId="1103" xr:uid="{00000000-0005-0000-0000-00006C020000}"/>
    <cellStyle name="Millares 51 2 2 2" xfId="1135" xr:uid="{00000000-0005-0000-0000-00006D020000}"/>
    <cellStyle name="Millares 51 2 2 3" xfId="1154" xr:uid="{00000000-0005-0000-0000-00006E020000}"/>
    <cellStyle name="Millares 51 2 2 4" xfId="1170" xr:uid="{00000000-0005-0000-0000-00006F020000}"/>
    <cellStyle name="Millares 51 2 2 5" xfId="1184" xr:uid="{00000000-0005-0000-0000-000070020000}"/>
    <cellStyle name="Millares 51 2 2 6" xfId="1205" xr:uid="{00000000-0005-0000-0000-000071020000}"/>
    <cellStyle name="Millares 51 2 2 7" xfId="1235" xr:uid="{00000000-0005-0000-0000-000072020000}"/>
    <cellStyle name="Millares 51 2 2 7 2" xfId="1269" xr:uid="{1B539220-9D50-4EE7-BFC4-02EA35E199CA}"/>
    <cellStyle name="Millares 51 3" xfId="1005" xr:uid="{00000000-0005-0000-0000-000073020000}"/>
    <cellStyle name="Millares 51 4" xfId="1043" xr:uid="{00000000-0005-0000-0000-000074020000}"/>
    <cellStyle name="Millares 51 5" xfId="1056" xr:uid="{00000000-0005-0000-0000-000075020000}"/>
    <cellStyle name="Millares 51 6" xfId="1072" xr:uid="{00000000-0005-0000-0000-000076020000}"/>
    <cellStyle name="Millares 51 7" xfId="1084" xr:uid="{00000000-0005-0000-0000-000077020000}"/>
    <cellStyle name="Millares 51 8" xfId="1102" xr:uid="{00000000-0005-0000-0000-000078020000}"/>
    <cellStyle name="Millares 51 9" xfId="1134" xr:uid="{00000000-0005-0000-0000-000079020000}"/>
    <cellStyle name="Millares 52" xfId="987" xr:uid="{00000000-0005-0000-0000-00007A020000}"/>
    <cellStyle name="Millares 53" xfId="985" xr:uid="{00000000-0005-0000-0000-00007B020000}"/>
    <cellStyle name="Millares 53 10" xfId="1155" xr:uid="{00000000-0005-0000-0000-00007C020000}"/>
    <cellStyle name="Millares 53 11" xfId="1171" xr:uid="{00000000-0005-0000-0000-00007D020000}"/>
    <cellStyle name="Millares 53 12" xfId="1185" xr:uid="{00000000-0005-0000-0000-00007E020000}"/>
    <cellStyle name="Millares 53 13" xfId="1206" xr:uid="{00000000-0005-0000-0000-00007F020000}"/>
    <cellStyle name="Millares 53 14" xfId="1219" xr:uid="{00000000-0005-0000-0000-000080020000}"/>
    <cellStyle name="Millares 53 15" xfId="1236" xr:uid="{00000000-0005-0000-0000-000081020000}"/>
    <cellStyle name="Millares 53 16" xfId="1270" xr:uid="{B4D473F4-CE40-4593-BD76-E335A567F0F6}"/>
    <cellStyle name="Millares 53 2" xfId="993" xr:uid="{00000000-0005-0000-0000-000082020000}"/>
    <cellStyle name="Millares 53 3" xfId="1006" xr:uid="{00000000-0005-0000-0000-000083020000}"/>
    <cellStyle name="Millares 53 4" xfId="1042" xr:uid="{00000000-0005-0000-0000-000084020000}"/>
    <cellStyle name="Millares 53 5" xfId="1055" xr:uid="{00000000-0005-0000-0000-000085020000}"/>
    <cellStyle name="Millares 53 6" xfId="1073" xr:uid="{00000000-0005-0000-0000-000086020000}"/>
    <cellStyle name="Millares 53 7" xfId="1085" xr:uid="{00000000-0005-0000-0000-000087020000}"/>
    <cellStyle name="Millares 53 8" xfId="1104" xr:uid="{00000000-0005-0000-0000-000088020000}"/>
    <cellStyle name="Millares 53 9" xfId="1136" xr:uid="{00000000-0005-0000-0000-000089020000}"/>
    <cellStyle name="Millares 54" xfId="1027" xr:uid="{00000000-0005-0000-0000-00008A020000}"/>
    <cellStyle name="Millares 55" xfId="1035" xr:uid="{00000000-0005-0000-0000-00008B020000}"/>
    <cellStyle name="Millares 55 2" xfId="1007" xr:uid="{00000000-0005-0000-0000-00008C020000}"/>
    <cellStyle name="Millares 55 2 11 4 2" xfId="1061" xr:uid="{00000000-0005-0000-0000-00008D020000}"/>
    <cellStyle name="Millares 55 2 11 4 4 3" xfId="1099" xr:uid="{00000000-0005-0000-0000-00008E020000}"/>
    <cellStyle name="Millares 55 2 11 4 4 3 19" xfId="1142" xr:uid="{00000000-0005-0000-0000-00008F020000}"/>
    <cellStyle name="Millares 55 2 11 4 4 3 2" xfId="1115" xr:uid="{00000000-0005-0000-0000-000090020000}"/>
    <cellStyle name="Millares 55 2 11 4 4 3 25" xfId="1160" xr:uid="{00000000-0005-0000-0000-000091020000}"/>
    <cellStyle name="Millares 55 2 11 4 4 3 25 11" xfId="1190" xr:uid="{00000000-0005-0000-0000-000092020000}"/>
    <cellStyle name="Millares 55 2 11 4 4 3 25 19" xfId="1230" xr:uid="{00000000-0005-0000-0000-000093020000}"/>
    <cellStyle name="Millares 55 2 11 4 4 3 25 19 10" xfId="1263" xr:uid="{0B043D30-CE88-4D9D-B3D4-2FC6234D7CE7}"/>
    <cellStyle name="Millares 55 2 11 4 4 3 25 19 15" xfId="1293" xr:uid="{5B3E29BD-860D-4155-81E5-4481A479FA0B}"/>
    <cellStyle name="Millares 55 2 11 4 4 3 25 19 2" xfId="1302" xr:uid="{E2B64BF8-1406-485B-A80E-6ECB95C69151}"/>
    <cellStyle name="Millares 55 2 11 4 4 3 25 19 20" xfId="1321" xr:uid="{CCECF18D-9A86-4A72-A2DC-0849A2C4EA49}"/>
    <cellStyle name="Millares 55 2 11 4 4 3 25 19 4" xfId="1245" xr:uid="{00000000-0005-0000-0000-000094020000}"/>
    <cellStyle name="Millares 55 2 11 4 4 3 25 2" xfId="1211" xr:uid="{00000000-0005-0000-0000-000095020000}"/>
    <cellStyle name="Millares 55 2 11 4 4 3 25 23" xfId="1241" xr:uid="{00000000-0005-0000-0000-000096020000}"/>
    <cellStyle name="Millares 55 2 11 4 4 3 25 29" xfId="1261" xr:uid="{85587172-945C-4B9B-9696-D768C2F57997}"/>
    <cellStyle name="Millares 55 2 11 4 4 3 25 3" xfId="1252" xr:uid="{00000000-0005-0000-0000-000097020000}"/>
    <cellStyle name="Millares 55 2 11 4 4 3 25 34" xfId="1291" xr:uid="{4740B6CF-EBF0-4CB3-A457-70553F077847}"/>
    <cellStyle name="Millares 55 2 11 4 4 3 25 39" xfId="1319" xr:uid="{8BA78DA4-11A3-4115-8EB7-164196F58B5C}"/>
    <cellStyle name="Millares 55 2 11 4 4 3 25 4" xfId="1300" xr:uid="{56E2F482-79F0-4378-AC5B-1044B8672511}"/>
    <cellStyle name="Millares 55 2 11 4 4 3 25 6" xfId="1175" xr:uid="{00000000-0005-0000-0000-000098020000}"/>
    <cellStyle name="Millares 55 2 11 4 4 3 4" xfId="1079" xr:uid="{00000000-0005-0000-0000-000099020000}"/>
    <cellStyle name="Millares 55 2 2" xfId="1023" xr:uid="{00000000-0005-0000-0000-00009A020000}"/>
    <cellStyle name="Millares 55 2 3" xfId="1038" xr:uid="{00000000-0005-0000-0000-00009B020000}"/>
    <cellStyle name="Millares 56" xfId="1066" xr:uid="{00000000-0005-0000-0000-00009C020000}"/>
    <cellStyle name="Millares 57" xfId="1022" xr:uid="{00000000-0005-0000-0000-00009D020000}"/>
    <cellStyle name="Millares 57 10" xfId="1187" xr:uid="{00000000-0005-0000-0000-00009E020000}"/>
    <cellStyle name="Millares 57 11" xfId="1208" xr:uid="{00000000-0005-0000-0000-00009F020000}"/>
    <cellStyle name="Millares 57 12" xfId="1221" xr:uid="{00000000-0005-0000-0000-0000A0020000}"/>
    <cellStyle name="Millares 57 13" xfId="1239" xr:uid="{00000000-0005-0000-0000-0000A1020000}"/>
    <cellStyle name="Millares 57 14" xfId="1272" xr:uid="{9A059EA9-F880-4AF5-98B1-0928AC851FFB}"/>
    <cellStyle name="Millares 57 15" xfId="1289" xr:uid="{3CC63404-8886-4A22-926E-3F5D72F4D52B}"/>
    <cellStyle name="Millares 57 16" xfId="1316" xr:uid="{8D4D18DF-2A03-4C78-B37C-7F81561C5A60}"/>
    <cellStyle name="Millares 57 2" xfId="1031" xr:uid="{00000000-0005-0000-0000-0000A2020000}"/>
    <cellStyle name="Millares 57 3" xfId="1045" xr:uid="{00000000-0005-0000-0000-0000A3020000}"/>
    <cellStyle name="Millares 57 4" xfId="1058" xr:uid="{00000000-0005-0000-0000-0000A4020000}"/>
    <cellStyle name="Millares 57 5" xfId="1076" xr:uid="{00000000-0005-0000-0000-0000A5020000}"/>
    <cellStyle name="Millares 57 6" xfId="1108" xr:uid="{00000000-0005-0000-0000-0000A6020000}"/>
    <cellStyle name="Millares 57 7" xfId="1138" xr:uid="{00000000-0005-0000-0000-0000A7020000}"/>
    <cellStyle name="Millares 57 8" xfId="1157" xr:uid="{00000000-0005-0000-0000-0000A8020000}"/>
    <cellStyle name="Millares 57 9" xfId="1173" xr:uid="{00000000-0005-0000-0000-0000A9020000}"/>
    <cellStyle name="Millares 58" xfId="1112" xr:uid="{00000000-0005-0000-0000-0000AA020000}"/>
    <cellStyle name="Millares 59" xfId="1118" xr:uid="{00000000-0005-0000-0000-0000AB020000}"/>
    <cellStyle name="Millares 6" xfId="493" xr:uid="{00000000-0005-0000-0000-0000AC020000}"/>
    <cellStyle name="Millares 6 2" xfId="494" xr:uid="{00000000-0005-0000-0000-0000AD020000}"/>
    <cellStyle name="Millares 6 2 2" xfId="495" xr:uid="{00000000-0005-0000-0000-0000AE020000}"/>
    <cellStyle name="Millares 6 3" xfId="496" xr:uid="{00000000-0005-0000-0000-0000AF020000}"/>
    <cellStyle name="Millares 6 3 2" xfId="497" xr:uid="{00000000-0005-0000-0000-0000B0020000}"/>
    <cellStyle name="Millares 60" xfId="1120" xr:uid="{00000000-0005-0000-0000-0000B1020000}"/>
    <cellStyle name="Millares 61" xfId="1123" xr:uid="{00000000-0005-0000-0000-0000B2020000}"/>
    <cellStyle name="Millares 62" xfId="1126" xr:uid="{00000000-0005-0000-0000-0000B3020000}"/>
    <cellStyle name="Millares 63" xfId="1130" xr:uid="{00000000-0005-0000-0000-0000B4020000}"/>
    <cellStyle name="Millares 64" xfId="1132" xr:uid="{00000000-0005-0000-0000-0000B5020000}"/>
    <cellStyle name="Millares 65" xfId="1041" xr:uid="{00000000-0005-0000-0000-0000B6020000}"/>
    <cellStyle name="Millares 65 2" xfId="1054" xr:uid="{00000000-0005-0000-0000-0000B7020000}"/>
    <cellStyle name="Millares 65 3" xfId="1074" xr:uid="{00000000-0005-0000-0000-0000B8020000}"/>
    <cellStyle name="Millares 65 4" xfId="1086" xr:uid="{00000000-0005-0000-0000-0000B9020000}"/>
    <cellStyle name="Millares 66" xfId="1060" xr:uid="{00000000-0005-0000-0000-0000BA020000}"/>
    <cellStyle name="Millares 67" xfId="1147" xr:uid="{00000000-0005-0000-0000-0000BB020000}"/>
    <cellStyle name="Millares 68" xfId="1149" xr:uid="{00000000-0005-0000-0000-0000BC020000}"/>
    <cellStyle name="Millares 68 3" xfId="1098" xr:uid="{00000000-0005-0000-0000-0000BD020000}"/>
    <cellStyle name="Millares 68 3 19" xfId="1141" xr:uid="{00000000-0005-0000-0000-0000BE020000}"/>
    <cellStyle name="Millares 68 3 2" xfId="1114" xr:uid="{00000000-0005-0000-0000-0000BF020000}"/>
    <cellStyle name="Millares 68 3 25" xfId="1161" xr:uid="{00000000-0005-0000-0000-0000C0020000}"/>
    <cellStyle name="Millares 68 3 25 11" xfId="1191" xr:uid="{00000000-0005-0000-0000-0000C1020000}"/>
    <cellStyle name="Millares 68 3 25 19" xfId="1231" xr:uid="{00000000-0005-0000-0000-0000C2020000}"/>
    <cellStyle name="Millares 68 3 25 2" xfId="1212" xr:uid="{00000000-0005-0000-0000-0000C3020000}"/>
    <cellStyle name="Millares 68 3 25 23" xfId="1242" xr:uid="{00000000-0005-0000-0000-0000C4020000}"/>
    <cellStyle name="Millares 68 3 25 29" xfId="1262" xr:uid="{FEF0EBA3-E324-4A66-920D-9CB9BDA64FBE}"/>
    <cellStyle name="Millares 68 3 25 3" xfId="1253" xr:uid="{00000000-0005-0000-0000-0000C5020000}"/>
    <cellStyle name="Millares 68 3 25 34" xfId="1292" xr:uid="{242EA23D-B005-49E1-84F9-E1085C6AAC7C}"/>
    <cellStyle name="Millares 68 3 25 39" xfId="1320" xr:uid="{CBFDD8F0-EE4A-4B2B-9B9D-3E3A98A26680}"/>
    <cellStyle name="Millares 68 3 25 4" xfId="1301" xr:uid="{5BE15B0D-6E26-45CF-8AFD-08A4612205E5}"/>
    <cellStyle name="Millares 68 3 25 6" xfId="1176" xr:uid="{00000000-0005-0000-0000-0000C6020000}"/>
    <cellStyle name="Millares 68 3 4" xfId="1078" xr:uid="{00000000-0005-0000-0000-0000C7020000}"/>
    <cellStyle name="Millares 69" xfId="1151" xr:uid="{00000000-0005-0000-0000-0000C8020000}"/>
    <cellStyle name="Millares 7" xfId="498" xr:uid="{00000000-0005-0000-0000-0000C9020000}"/>
    <cellStyle name="Millares 7 2" xfId="499" xr:uid="{00000000-0005-0000-0000-0000CA020000}"/>
    <cellStyle name="Millares 7 2 2" xfId="500" xr:uid="{00000000-0005-0000-0000-0000CB020000}"/>
    <cellStyle name="Millares 7 3" xfId="501" xr:uid="{00000000-0005-0000-0000-0000CC020000}"/>
    <cellStyle name="Millares 7 3 2" xfId="502" xr:uid="{00000000-0005-0000-0000-0000CD020000}"/>
    <cellStyle name="Millares 7 4" xfId="503" xr:uid="{00000000-0005-0000-0000-0000CE020000}"/>
    <cellStyle name="Millares 70" xfId="1165" xr:uid="{00000000-0005-0000-0000-0000CF020000}"/>
    <cellStyle name="Millares 71" xfId="1168" xr:uid="{00000000-0005-0000-0000-0000D0020000}"/>
    <cellStyle name="Millares 72" xfId="1180" xr:uid="{00000000-0005-0000-0000-0000D1020000}"/>
    <cellStyle name="Millares 73" xfId="1194" xr:uid="{00000000-0005-0000-0000-0000D2020000}"/>
    <cellStyle name="Millares 74" xfId="1199" xr:uid="{00000000-0005-0000-0000-0000D3020000}"/>
    <cellStyle name="Millares 75" xfId="1202" xr:uid="{00000000-0005-0000-0000-0000D4020000}"/>
    <cellStyle name="Millares 76" xfId="1215" xr:uid="{00000000-0005-0000-0000-0000D5020000}"/>
    <cellStyle name="Millares 77" xfId="1228" xr:uid="{00000000-0005-0000-0000-0000D6020000}"/>
    <cellStyle name="Millares 78" xfId="1251" xr:uid="{00000000-0005-0000-0000-0000D7020000}"/>
    <cellStyle name="Millares 79" xfId="1255" xr:uid="{00000000-0005-0000-0000-0000D8020000}"/>
    <cellStyle name="Millares 8" xfId="504" xr:uid="{00000000-0005-0000-0000-0000D9020000}"/>
    <cellStyle name="Millares 8 10" xfId="505" xr:uid="{00000000-0005-0000-0000-0000DA020000}"/>
    <cellStyle name="Millares 8 10 2" xfId="506" xr:uid="{00000000-0005-0000-0000-0000DB020000}"/>
    <cellStyle name="Millares 8 11" xfId="507" xr:uid="{00000000-0005-0000-0000-0000DC020000}"/>
    <cellStyle name="Millares 8 12" xfId="980" xr:uid="{00000000-0005-0000-0000-0000DD020000}"/>
    <cellStyle name="Millares 8 13" xfId="1001" xr:uid="{00000000-0005-0000-0000-0000DE020000}"/>
    <cellStyle name="Millares 8 14" xfId="1018" xr:uid="{00000000-0005-0000-0000-0000DF020000}"/>
    <cellStyle name="Millares 8 2" xfId="508" xr:uid="{00000000-0005-0000-0000-0000E0020000}"/>
    <cellStyle name="Millares 8 2 2" xfId="509" xr:uid="{00000000-0005-0000-0000-0000E1020000}"/>
    <cellStyle name="Millares 8 2 2 2" xfId="510" xr:uid="{00000000-0005-0000-0000-0000E2020000}"/>
    <cellStyle name="Millares 8 2 3" xfId="511" xr:uid="{00000000-0005-0000-0000-0000E3020000}"/>
    <cellStyle name="Millares 8 3" xfId="512" xr:uid="{00000000-0005-0000-0000-0000E4020000}"/>
    <cellStyle name="Millares 8 3 2" xfId="513" xr:uid="{00000000-0005-0000-0000-0000E5020000}"/>
    <cellStyle name="Millares 8 3 2 2" xfId="514" xr:uid="{00000000-0005-0000-0000-0000E6020000}"/>
    <cellStyle name="Millares 8 3 3" xfId="515" xr:uid="{00000000-0005-0000-0000-0000E7020000}"/>
    <cellStyle name="Millares 8 4" xfId="516" xr:uid="{00000000-0005-0000-0000-0000E8020000}"/>
    <cellStyle name="Millares 8 4 2" xfId="517" xr:uid="{00000000-0005-0000-0000-0000E9020000}"/>
    <cellStyle name="Millares 8 4 2 2" xfId="518" xr:uid="{00000000-0005-0000-0000-0000EA020000}"/>
    <cellStyle name="Millares 8 4 3" xfId="519" xr:uid="{00000000-0005-0000-0000-0000EB020000}"/>
    <cellStyle name="Millares 8 5" xfId="520" xr:uid="{00000000-0005-0000-0000-0000EC020000}"/>
    <cellStyle name="Millares 8 5 2" xfId="521" xr:uid="{00000000-0005-0000-0000-0000ED020000}"/>
    <cellStyle name="Millares 8 5 2 2" xfId="522" xr:uid="{00000000-0005-0000-0000-0000EE020000}"/>
    <cellStyle name="Millares 8 5 3" xfId="523" xr:uid="{00000000-0005-0000-0000-0000EF020000}"/>
    <cellStyle name="Millares 8 6" xfId="524" xr:uid="{00000000-0005-0000-0000-0000F0020000}"/>
    <cellStyle name="Millares 8 6 2" xfId="525" xr:uid="{00000000-0005-0000-0000-0000F1020000}"/>
    <cellStyle name="Millares 8 6 2 2" xfId="526" xr:uid="{00000000-0005-0000-0000-0000F2020000}"/>
    <cellStyle name="Millares 8 6 3" xfId="527" xr:uid="{00000000-0005-0000-0000-0000F3020000}"/>
    <cellStyle name="Millares 8 7" xfId="528" xr:uid="{00000000-0005-0000-0000-0000F4020000}"/>
    <cellStyle name="Millares 8 7 2" xfId="529" xr:uid="{00000000-0005-0000-0000-0000F5020000}"/>
    <cellStyle name="Millares 8 7 2 2" xfId="530" xr:uid="{00000000-0005-0000-0000-0000F6020000}"/>
    <cellStyle name="Millares 8 7 3" xfId="531" xr:uid="{00000000-0005-0000-0000-0000F7020000}"/>
    <cellStyle name="Millares 8 8" xfId="532" xr:uid="{00000000-0005-0000-0000-0000F8020000}"/>
    <cellStyle name="Millares 8 8 2" xfId="533" xr:uid="{00000000-0005-0000-0000-0000F9020000}"/>
    <cellStyle name="Millares 8 8 2 2" xfId="534" xr:uid="{00000000-0005-0000-0000-0000FA020000}"/>
    <cellStyle name="Millares 8 8 3" xfId="535" xr:uid="{00000000-0005-0000-0000-0000FB020000}"/>
    <cellStyle name="Millares 8 8 3 2" xfId="536" xr:uid="{00000000-0005-0000-0000-0000FC020000}"/>
    <cellStyle name="Millares 8 8 4" xfId="537" xr:uid="{00000000-0005-0000-0000-0000FD020000}"/>
    <cellStyle name="Millares 8 8 4 2" xfId="538" xr:uid="{00000000-0005-0000-0000-0000FE020000}"/>
    <cellStyle name="Millares 8 8 5" xfId="539" xr:uid="{00000000-0005-0000-0000-0000FF020000}"/>
    <cellStyle name="Millares 8 9" xfId="540" xr:uid="{00000000-0005-0000-0000-000000030000}"/>
    <cellStyle name="Millares 8 9 2" xfId="541" xr:uid="{00000000-0005-0000-0000-000001030000}"/>
    <cellStyle name="Millares 80" xfId="1257" xr:uid="{00000000-0005-0000-0000-000002030000}"/>
    <cellStyle name="Millares 81" xfId="1259" xr:uid="{00000000-0005-0000-0000-000003030000}"/>
    <cellStyle name="Millares 82" xfId="1278" xr:uid="{3A25D437-79A2-4DED-8AC0-82BDBB10D544}"/>
    <cellStyle name="Millares 83" xfId="1281" xr:uid="{6A848BAD-1801-4AEC-88E9-B7A1986A3C98}"/>
    <cellStyle name="Millares 84" xfId="1283" xr:uid="{B2F32D27-778C-4B12-B381-57695C1D4DF7}"/>
    <cellStyle name="Millares 85" xfId="1299" xr:uid="{CE3C274E-0E2E-4D51-BCBA-4A5CD9AAA0BA}"/>
    <cellStyle name="Millares 86" xfId="1307" xr:uid="{4440B2F2-236A-40C4-8738-0038D42472A2}"/>
    <cellStyle name="Millares 87" xfId="1310" xr:uid="{ACC57814-E9D2-424B-8903-DBFEC7EFA8F7}"/>
    <cellStyle name="Millares 88" xfId="1312" xr:uid="{45EAB48D-85AB-40FF-BAAA-6F2853596DA5}"/>
    <cellStyle name="Millares 89" xfId="1327" xr:uid="{403B00FF-2EEB-41A5-B7C7-317596F25BD9}"/>
    <cellStyle name="Millares 9" xfId="542" xr:uid="{00000000-0005-0000-0000-000004030000}"/>
    <cellStyle name="Millares 9 2" xfId="543" xr:uid="{00000000-0005-0000-0000-000005030000}"/>
    <cellStyle name="Millares 9 2 4" xfId="1224" xr:uid="{00000000-0005-0000-0000-000006030000}"/>
    <cellStyle name="Millares 9 3" xfId="544" xr:uid="{00000000-0005-0000-0000-000007030000}"/>
    <cellStyle name="Millares 90" xfId="1330" xr:uid="{C2EBA12D-C7F4-49EE-ACEF-BF4C8E6342C4}"/>
    <cellStyle name="Millares 91" xfId="1332" xr:uid="{3F332A53-19AD-46F8-B90C-F570A74AABB9}"/>
    <cellStyle name="Millares 94" xfId="1338" xr:uid="{E06C18B8-4D37-4788-80E0-DFB28C880160}"/>
    <cellStyle name="Millares 95" xfId="1342" xr:uid="{DA3861C4-BC13-4D94-82CF-75707AF9FA93}"/>
    <cellStyle name="Moeda [0]_DEPREC" xfId="545" xr:uid="{00000000-0005-0000-0000-000008030000}"/>
    <cellStyle name="Moeda_DEPREC" xfId="546" xr:uid="{00000000-0005-0000-0000-000009030000}"/>
    <cellStyle name="Moneda 2" xfId="547" xr:uid="{00000000-0005-0000-0000-00000A030000}"/>
    <cellStyle name="Moneda 2 2" xfId="548" xr:uid="{00000000-0005-0000-0000-00000B030000}"/>
    <cellStyle name="Moneda 2 3" xfId="549" xr:uid="{00000000-0005-0000-0000-00000C030000}"/>
    <cellStyle name="Moneda 3" xfId="550" xr:uid="{00000000-0005-0000-0000-00000D030000}"/>
    <cellStyle name="Moneda 3 2" xfId="551" xr:uid="{00000000-0005-0000-0000-00000E030000}"/>
    <cellStyle name="Moneda 4" xfId="552" xr:uid="{00000000-0005-0000-0000-00000F030000}"/>
    <cellStyle name="Moneda 4 2" xfId="553" xr:uid="{00000000-0005-0000-0000-000010030000}"/>
    <cellStyle name="Monétaire0" xfId="554" xr:uid="{00000000-0005-0000-0000-000011030000}"/>
    <cellStyle name="Morgan" xfId="555" xr:uid="{00000000-0005-0000-0000-000012030000}"/>
    <cellStyle name="Morgan 2" xfId="556" xr:uid="{00000000-0005-0000-0000-000013030000}"/>
    <cellStyle name="Morgan assump" xfId="557" xr:uid="{00000000-0005-0000-0000-000014030000}"/>
    <cellStyle name="Morgan pct assump" xfId="558" xr:uid="{00000000-0005-0000-0000-000015030000}"/>
    <cellStyle name="Morgan_CemArgos estados financieros consolidados oct.2010" xfId="559" xr:uid="{00000000-0005-0000-0000-000016030000}"/>
    <cellStyle name="movimentação" xfId="560" xr:uid="{00000000-0005-0000-0000-000017030000}"/>
    <cellStyle name="Muliple" xfId="561" xr:uid="{00000000-0005-0000-0000-000018030000}"/>
    <cellStyle name="Multiple" xfId="562" xr:uid="{00000000-0005-0000-0000-000019030000}"/>
    <cellStyle name="NA is zero" xfId="563" xr:uid="{00000000-0005-0000-0000-00001A030000}"/>
    <cellStyle name="Nedefinov n" xfId="564" xr:uid="{00000000-0005-0000-0000-00001B030000}"/>
    <cellStyle name="Nedefinov n 2" xfId="565" xr:uid="{00000000-0005-0000-0000-00001C030000}"/>
    <cellStyle name="Neutral 2" xfId="566" xr:uid="{00000000-0005-0000-0000-00001D030000}"/>
    <cellStyle name="Neutral 3" xfId="567" xr:uid="{00000000-0005-0000-0000-00001E030000}"/>
    <cellStyle name="Neutral 4" xfId="568" xr:uid="{00000000-0005-0000-0000-00001F030000}"/>
    <cellStyle name="NivelCol_1_PYG POR REGIONES REAL USD JUNIO 2010 V2" xfId="569" xr:uid="{00000000-0005-0000-0000-000020030000}"/>
    <cellStyle name="NivelFila_1_Flash Report Comparativo V_2010_con holdings_sc_consol_NV.1" xfId="570" xr:uid="{00000000-0005-0000-0000-000021030000}"/>
    <cellStyle name="no dec" xfId="937" xr:uid="{00000000-0005-0000-0000-000022030000}"/>
    <cellStyle name="No-definido" xfId="571" xr:uid="{00000000-0005-0000-0000-000023030000}"/>
    <cellStyle name="NoFill" xfId="572" xr:uid="{00000000-0005-0000-0000-000024030000}"/>
    <cellStyle name="NoFill 2" xfId="573" xr:uid="{00000000-0005-0000-0000-000025030000}"/>
    <cellStyle name="Normal" xfId="0" builtinId="0"/>
    <cellStyle name="Normal--" xfId="574" xr:uid="{00000000-0005-0000-0000-000027030000}"/>
    <cellStyle name="Normal - Style1" xfId="575" xr:uid="{00000000-0005-0000-0000-000028030000}"/>
    <cellStyle name="Normal [0]" xfId="576" xr:uid="{00000000-0005-0000-0000-000029030000}"/>
    <cellStyle name="Normal [0] 2" xfId="577" xr:uid="{00000000-0005-0000-0000-00002A030000}"/>
    <cellStyle name="Normal [1]" xfId="578" xr:uid="{00000000-0005-0000-0000-00002B030000}"/>
    <cellStyle name="Normal [1] 2" xfId="579" xr:uid="{00000000-0005-0000-0000-00002C030000}"/>
    <cellStyle name="Normal [2]" xfId="580" xr:uid="{00000000-0005-0000-0000-00002D030000}"/>
    <cellStyle name="Normal [3]" xfId="581" xr:uid="{00000000-0005-0000-0000-00002E030000}"/>
    <cellStyle name="Normal 10" xfId="582" xr:uid="{00000000-0005-0000-0000-00002F030000}"/>
    <cellStyle name="Normal 10 2" xfId="583" xr:uid="{00000000-0005-0000-0000-000030030000}"/>
    <cellStyle name="Normal 10 2 2" xfId="584" xr:uid="{00000000-0005-0000-0000-000031030000}"/>
    <cellStyle name="Normal 10 3" xfId="585" xr:uid="{00000000-0005-0000-0000-000032030000}"/>
    <cellStyle name="Normal 10 3 2" xfId="586" xr:uid="{00000000-0005-0000-0000-000033030000}"/>
    <cellStyle name="Normal 10 4" xfId="587" xr:uid="{00000000-0005-0000-0000-000034030000}"/>
    <cellStyle name="Normal 11" xfId="588" xr:uid="{00000000-0005-0000-0000-000035030000}"/>
    <cellStyle name="Normal 11 2" xfId="589" xr:uid="{00000000-0005-0000-0000-000036030000}"/>
    <cellStyle name="Normal 11_PYG CemArgos consolidado" xfId="590" xr:uid="{00000000-0005-0000-0000-000037030000}"/>
    <cellStyle name="Normal 12" xfId="591" xr:uid="{00000000-0005-0000-0000-000038030000}"/>
    <cellStyle name="Normal 12 2" xfId="950" xr:uid="{00000000-0005-0000-0000-000039030000}"/>
    <cellStyle name="Normal 13" xfId="592" xr:uid="{00000000-0005-0000-0000-00003A030000}"/>
    <cellStyle name="Normal 14" xfId="593" xr:uid="{00000000-0005-0000-0000-00003B030000}"/>
    <cellStyle name="Normal 14 2" xfId="594" xr:uid="{00000000-0005-0000-0000-00003C030000}"/>
    <cellStyle name="Normal 15" xfId="595" xr:uid="{00000000-0005-0000-0000-00003D030000}"/>
    <cellStyle name="Normal 15 2" xfId="596" xr:uid="{00000000-0005-0000-0000-00003E030000}"/>
    <cellStyle name="Normal 16" xfId="597" xr:uid="{00000000-0005-0000-0000-00003F030000}"/>
    <cellStyle name="Normal 16 2" xfId="598" xr:uid="{00000000-0005-0000-0000-000040030000}"/>
    <cellStyle name="Normal 17" xfId="599" xr:uid="{00000000-0005-0000-0000-000041030000}"/>
    <cellStyle name="Normal 18" xfId="600" xr:uid="{00000000-0005-0000-0000-000042030000}"/>
    <cellStyle name="Normal 18 2" xfId="601" xr:uid="{00000000-0005-0000-0000-000043030000}"/>
    <cellStyle name="Normal 19" xfId="915" xr:uid="{00000000-0005-0000-0000-000044030000}"/>
    <cellStyle name="Normal 2" xfId="602" xr:uid="{00000000-0005-0000-0000-000045030000}"/>
    <cellStyle name="Normal-- 2" xfId="603" xr:uid="{00000000-0005-0000-0000-000046030000}"/>
    <cellStyle name="Normal 2 2" xfId="604" xr:uid="{00000000-0005-0000-0000-000047030000}"/>
    <cellStyle name="Normal 2 2 13" xfId="966" xr:uid="{00000000-0005-0000-0000-000048030000}"/>
    <cellStyle name="Normal 2 2 13 10" xfId="1110" xr:uid="{00000000-0005-0000-0000-000049030000}"/>
    <cellStyle name="Normal 2 2 13 11" xfId="1116" xr:uid="{00000000-0005-0000-0000-00004A030000}"/>
    <cellStyle name="Normal 2 2 13 12" xfId="1121" xr:uid="{00000000-0005-0000-0000-00004B030000}"/>
    <cellStyle name="Normal 2 2 13 13" xfId="1124" xr:uid="{00000000-0005-0000-0000-00004C030000}"/>
    <cellStyle name="Normal 2 2 13 14" xfId="1128" xr:uid="{00000000-0005-0000-0000-00004D030000}"/>
    <cellStyle name="Normal 2 2 13 15" xfId="1145" xr:uid="{00000000-0005-0000-0000-00004E030000}"/>
    <cellStyle name="Normal 2 2 13 16" xfId="1163" xr:uid="{00000000-0005-0000-0000-00004F030000}"/>
    <cellStyle name="Normal 2 2 13 17" xfId="1178" xr:uid="{00000000-0005-0000-0000-000050030000}"/>
    <cellStyle name="Normal 2 2 13 18" xfId="1192" xr:uid="{00000000-0005-0000-0000-000051030000}"/>
    <cellStyle name="Normal 2 2 13 19" xfId="1197" xr:uid="{00000000-0005-0000-0000-000052030000}"/>
    <cellStyle name="Normal 2 2 13 2" xfId="977" xr:uid="{00000000-0005-0000-0000-000053030000}"/>
    <cellStyle name="Normal 2 2 13 20" xfId="1213" xr:uid="{00000000-0005-0000-0000-000054030000}"/>
    <cellStyle name="Normal 2 2 13 21" xfId="1226" xr:uid="{00000000-0005-0000-0000-000055030000}"/>
    <cellStyle name="Normal 2 2 13 22" xfId="1249" xr:uid="{00000000-0005-0000-0000-000056030000}"/>
    <cellStyle name="Normal 2 2 13 23" xfId="1276" xr:uid="{A9B1C613-1869-4149-A9F0-AC942AB8B34B}"/>
    <cellStyle name="Normal 2 2 13 24" xfId="1284" xr:uid="{9E916D69-03C3-4E83-88A3-05E2C01F765D}"/>
    <cellStyle name="Normal 2 2 13 25" xfId="1297" xr:uid="{ABB61512-5F1D-43A5-A3F8-A4A809068658}"/>
    <cellStyle name="Normal 2 2 13 26" xfId="1305" xr:uid="{7EDB86A7-DA95-4841-B07A-265CCFE963C4}"/>
    <cellStyle name="Normal 2 2 13 27" xfId="1325" xr:uid="{DCA0E239-5A54-4D9A-BE5D-911858C820E3}"/>
    <cellStyle name="Normal 2 2 13 3" xfId="998" xr:uid="{00000000-0005-0000-0000-000057030000}"/>
    <cellStyle name="Normal 2 2 13 4" xfId="1015" xr:uid="{00000000-0005-0000-0000-000058030000}"/>
    <cellStyle name="Normal 2 2 13 5" xfId="1025" xr:uid="{00000000-0005-0000-0000-000059030000}"/>
    <cellStyle name="Normal 2 2 13 6" xfId="1033" xr:uid="{00000000-0005-0000-0000-00005A030000}"/>
    <cellStyle name="Normal 2 2 13 7" xfId="1050" xr:uid="{00000000-0005-0000-0000-00005B030000}"/>
    <cellStyle name="Normal 2 2 13 8" xfId="1064" xr:uid="{00000000-0005-0000-0000-00005C030000}"/>
    <cellStyle name="Normal 2 2 13 9" xfId="1090" xr:uid="{00000000-0005-0000-0000-00005D030000}"/>
    <cellStyle name="Normal 2 2 2" xfId="605" xr:uid="{00000000-0005-0000-0000-00005E030000}"/>
    <cellStyle name="Normal 2 2 3" xfId="1088" xr:uid="{00000000-0005-0000-0000-00005F030000}"/>
    <cellStyle name="Normal 2 3" xfId="963" xr:uid="{00000000-0005-0000-0000-000060030000}"/>
    <cellStyle name="Normal 2 4" xfId="973" xr:uid="{00000000-0005-0000-0000-000061030000}"/>
    <cellStyle name="Normal 2 5" xfId="997" xr:uid="{00000000-0005-0000-0000-000062030000}"/>
    <cellStyle name="Normal 2 6" xfId="1008" xr:uid="{00000000-0005-0000-0000-000063030000}"/>
    <cellStyle name="Normal 2 7" xfId="1011" xr:uid="{00000000-0005-0000-0000-000064030000}"/>
    <cellStyle name="Normal 2 8" xfId="1048" xr:uid="{00000000-0005-0000-0000-000065030000}"/>
    <cellStyle name="Normal 2 9" xfId="1062" xr:uid="{00000000-0005-0000-0000-000066030000}"/>
    <cellStyle name="Normal 2_CemArgos estados financieros consolidados oct.2010" xfId="606" xr:uid="{00000000-0005-0000-0000-000067030000}"/>
    <cellStyle name="Normal 20" xfId="918" xr:uid="{00000000-0005-0000-0000-000068030000}"/>
    <cellStyle name="Normal 21" xfId="921" xr:uid="{00000000-0005-0000-0000-000069030000}"/>
    <cellStyle name="Normal 22" xfId="938" xr:uid="{00000000-0005-0000-0000-00006A030000}"/>
    <cellStyle name="Normal 23" xfId="940" xr:uid="{00000000-0005-0000-0000-00006B030000}"/>
    <cellStyle name="Normal 23 2" xfId="925" xr:uid="{00000000-0005-0000-0000-00006C030000}"/>
    <cellStyle name="Normal 24" xfId="942" xr:uid="{00000000-0005-0000-0000-00006D030000}"/>
    <cellStyle name="Normal 25" xfId="945" xr:uid="{00000000-0005-0000-0000-00006E030000}"/>
    <cellStyle name="Normal 26" xfId="948" xr:uid="{00000000-0005-0000-0000-00006F030000}"/>
    <cellStyle name="Normal 27" xfId="952" xr:uid="{00000000-0005-0000-0000-000070030000}"/>
    <cellStyle name="Normal 27 2" xfId="986" xr:uid="{00000000-0005-0000-0000-000071030000}"/>
    <cellStyle name="Normal 28" xfId="956" xr:uid="{00000000-0005-0000-0000-000072030000}"/>
    <cellStyle name="Normal 28 2" xfId="958" xr:uid="{00000000-0005-0000-0000-000073030000}"/>
    <cellStyle name="Normal 29" xfId="970" xr:uid="{00000000-0005-0000-0000-000074030000}"/>
    <cellStyle name="Normal 3" xfId="607" xr:uid="{00000000-0005-0000-0000-000075030000}"/>
    <cellStyle name="Normal 3 10" xfId="960" xr:uid="{00000000-0005-0000-0000-000076030000}"/>
    <cellStyle name="Normal 3 11" xfId="962" xr:uid="{00000000-0005-0000-0000-000077030000}"/>
    <cellStyle name="Normal 3 12" xfId="971" xr:uid="{00000000-0005-0000-0000-000078030000}"/>
    <cellStyle name="Normal 3 13" xfId="988" xr:uid="{00000000-0005-0000-0000-000079030000}"/>
    <cellStyle name="Normal 3 14" xfId="989" xr:uid="{00000000-0005-0000-0000-00007A030000}"/>
    <cellStyle name="Normal 3 15" xfId="1003" xr:uid="{00000000-0005-0000-0000-00007B030000}"/>
    <cellStyle name="Normal 3 16" xfId="1028" xr:uid="{00000000-0005-0000-0000-00007C030000}"/>
    <cellStyle name="Normal 3 17" xfId="1047" xr:uid="{00000000-0005-0000-0000-00007D030000}"/>
    <cellStyle name="Normal 3 2" xfId="608" xr:uid="{00000000-0005-0000-0000-00007E030000}"/>
    <cellStyle name="Normal 3 2 2" xfId="609" xr:uid="{00000000-0005-0000-0000-00007F030000}"/>
    <cellStyle name="Normal 3 2 2 2" xfId="610" xr:uid="{00000000-0005-0000-0000-000080030000}"/>
    <cellStyle name="Normal 3 2 2 2 2" xfId="611" xr:uid="{00000000-0005-0000-0000-000081030000}"/>
    <cellStyle name="Normal 3 2 2 2 2 2" xfId="612" xr:uid="{00000000-0005-0000-0000-000082030000}"/>
    <cellStyle name="Normal 3 2 2 2 2 2 2" xfId="613" xr:uid="{00000000-0005-0000-0000-000083030000}"/>
    <cellStyle name="Normal 3 2 2 2 2 2 2 2" xfId="614" xr:uid="{00000000-0005-0000-0000-000084030000}"/>
    <cellStyle name="Normal 3 2 2 2 2 2 2 2 2" xfId="615" xr:uid="{00000000-0005-0000-0000-000085030000}"/>
    <cellStyle name="Normal 3 2 2 2 2 2 2 2 2 2" xfId="616" xr:uid="{00000000-0005-0000-0000-000086030000}"/>
    <cellStyle name="Normal 3 2 2 2 2 2 2 2 2 2 2" xfId="617" xr:uid="{00000000-0005-0000-0000-000087030000}"/>
    <cellStyle name="Normal 3 2 2 2 2 2 2 2 2 2 2 2" xfId="618" xr:uid="{00000000-0005-0000-0000-000088030000}"/>
    <cellStyle name="Normal 3 2 2 2 2 2 2 2 2 2 2 2 2" xfId="619" xr:uid="{00000000-0005-0000-0000-000089030000}"/>
    <cellStyle name="Normal 3 2 2 2 2 2 2 2 2 2 2 2 2 2" xfId="620" xr:uid="{00000000-0005-0000-0000-00008A030000}"/>
    <cellStyle name="Normal 3 2 2 2 2 2 2 2 2 2 2 2 2 2 2" xfId="621" xr:uid="{00000000-0005-0000-0000-00008B030000}"/>
    <cellStyle name="Normal 3 2 2 2 2 2 2 2 2 2 2 2 2 3" xfId="622" xr:uid="{00000000-0005-0000-0000-00008C030000}"/>
    <cellStyle name="Normal 3 2 2 2 2 2 2 2 2 2 2 2 2 3 2" xfId="623" xr:uid="{00000000-0005-0000-0000-00008D030000}"/>
    <cellStyle name="Normal 3 2 2 2 2 2 2 2 2 2 2 2 2 4" xfId="624" xr:uid="{00000000-0005-0000-0000-00008E030000}"/>
    <cellStyle name="Normal 3 2 2 2 2 2 2 2 2 2 2 2 3" xfId="625" xr:uid="{00000000-0005-0000-0000-00008F030000}"/>
    <cellStyle name="Normal 3 2 2 2 2 2 2 2 2 2 2 3" xfId="626" xr:uid="{00000000-0005-0000-0000-000090030000}"/>
    <cellStyle name="Normal 3 2 2 2 2 2 2 2 2 2 3" xfId="627" xr:uid="{00000000-0005-0000-0000-000091030000}"/>
    <cellStyle name="Normal 3 2 2 2 2 2 2 2 2 3" xfId="628" xr:uid="{00000000-0005-0000-0000-000092030000}"/>
    <cellStyle name="Normal 3 2 2 2 2 2 2 2 3" xfId="629" xr:uid="{00000000-0005-0000-0000-000093030000}"/>
    <cellStyle name="Normal 3 2 2 2 2 2 2 2 3 2" xfId="630" xr:uid="{00000000-0005-0000-0000-000094030000}"/>
    <cellStyle name="Normal 3 2 2 2 2 2 2 2 4" xfId="631" xr:uid="{00000000-0005-0000-0000-000095030000}"/>
    <cellStyle name="Normal 3 2 2 2 2 2 2 3" xfId="632" xr:uid="{00000000-0005-0000-0000-000096030000}"/>
    <cellStyle name="Normal 3 2 2 2 2 2 2 3 2" xfId="633" xr:uid="{00000000-0005-0000-0000-000097030000}"/>
    <cellStyle name="Normal 3 2 2 2 2 2 2 4" xfId="634" xr:uid="{00000000-0005-0000-0000-000098030000}"/>
    <cellStyle name="Normal 3 2 2 2 2 2 3" xfId="635" xr:uid="{00000000-0005-0000-0000-000099030000}"/>
    <cellStyle name="Normal 3 2 2 2 2 2 3 2" xfId="636" xr:uid="{00000000-0005-0000-0000-00009A030000}"/>
    <cellStyle name="Normal 3 2 2 2 2 2 4" xfId="637" xr:uid="{00000000-0005-0000-0000-00009B030000}"/>
    <cellStyle name="Normal 3 2 2 2 2 3" xfId="638" xr:uid="{00000000-0005-0000-0000-00009C030000}"/>
    <cellStyle name="Normal 3 2 2 2 2 3 2" xfId="639" xr:uid="{00000000-0005-0000-0000-00009D030000}"/>
    <cellStyle name="Normal 3 2 2 2 2 4" xfId="640" xr:uid="{00000000-0005-0000-0000-00009E030000}"/>
    <cellStyle name="Normal 3 2 2 2 3" xfId="641" xr:uid="{00000000-0005-0000-0000-00009F030000}"/>
    <cellStyle name="Normal 3 2 2 2 3 2" xfId="642" xr:uid="{00000000-0005-0000-0000-0000A0030000}"/>
    <cellStyle name="Normal 3 2 2 2 4" xfId="643" xr:uid="{00000000-0005-0000-0000-0000A1030000}"/>
    <cellStyle name="Normal 3 2 2 3" xfId="644" xr:uid="{00000000-0005-0000-0000-0000A2030000}"/>
    <cellStyle name="Normal 3 2 2 3 2" xfId="645" xr:uid="{00000000-0005-0000-0000-0000A3030000}"/>
    <cellStyle name="Normal 3 2 2 4" xfId="646" xr:uid="{00000000-0005-0000-0000-0000A4030000}"/>
    <cellStyle name="Normal 3 2 3" xfId="647" xr:uid="{00000000-0005-0000-0000-0000A5030000}"/>
    <cellStyle name="Normal 3 2 3 2" xfId="648" xr:uid="{00000000-0005-0000-0000-0000A6030000}"/>
    <cellStyle name="Normal 3 2 4" xfId="649" xr:uid="{00000000-0005-0000-0000-0000A7030000}"/>
    <cellStyle name="Normal 3 3" xfId="650" xr:uid="{00000000-0005-0000-0000-0000A8030000}"/>
    <cellStyle name="Normal 3 3 2" xfId="651" xr:uid="{00000000-0005-0000-0000-0000A9030000}"/>
    <cellStyle name="Normal 3 3 2 2" xfId="652" xr:uid="{00000000-0005-0000-0000-0000AA030000}"/>
    <cellStyle name="Normal 3 3 3" xfId="653" xr:uid="{00000000-0005-0000-0000-0000AB030000}"/>
    <cellStyle name="Normal 3 4" xfId="654" xr:uid="{00000000-0005-0000-0000-0000AC030000}"/>
    <cellStyle name="Normal 3 4 2" xfId="655" xr:uid="{00000000-0005-0000-0000-0000AD030000}"/>
    <cellStyle name="Normal 3 5" xfId="656" xr:uid="{00000000-0005-0000-0000-0000AE030000}"/>
    <cellStyle name="Normal 3 6" xfId="943" xr:uid="{00000000-0005-0000-0000-0000AF030000}"/>
    <cellStyle name="Normal 3 7" xfId="951" xr:uid="{00000000-0005-0000-0000-0000B0030000}"/>
    <cellStyle name="Normal 3 8" xfId="957" xr:uid="{00000000-0005-0000-0000-0000B1030000}"/>
    <cellStyle name="Normal 3 9" xfId="959" xr:uid="{00000000-0005-0000-0000-0000B2030000}"/>
    <cellStyle name="Normal 3_MES A MES JULIO  2010 (2)" xfId="657" xr:uid="{00000000-0005-0000-0000-0000B3030000}"/>
    <cellStyle name="Normal 30" xfId="982" xr:uid="{00000000-0005-0000-0000-0000B4030000}"/>
    <cellStyle name="Normal 31" xfId="990" xr:uid="{00000000-0005-0000-0000-0000B5030000}"/>
    <cellStyle name="Normal 32" xfId="994" xr:uid="{00000000-0005-0000-0000-0000B6030000}"/>
    <cellStyle name="Normal 33" xfId="1036" xr:uid="{00000000-0005-0000-0000-0000B7030000}"/>
    <cellStyle name="Normal 34" xfId="1052" xr:uid="{00000000-0005-0000-0000-0000B8030000}"/>
    <cellStyle name="Normal 35" xfId="1067" xr:uid="{00000000-0005-0000-0000-0000B9030000}"/>
    <cellStyle name="Normal 36" xfId="1070" xr:uid="{00000000-0005-0000-0000-0000BA030000}"/>
    <cellStyle name="Normal 37" xfId="1081" xr:uid="{00000000-0005-0000-0000-0000BB030000}"/>
    <cellStyle name="Normal 38" xfId="1092" xr:uid="{00000000-0005-0000-0000-0000BC030000}"/>
    <cellStyle name="Normal 39" xfId="1094" xr:uid="{00000000-0005-0000-0000-0000BD030000}"/>
    <cellStyle name="Normal 4" xfId="658" xr:uid="{00000000-0005-0000-0000-0000BE030000}"/>
    <cellStyle name="Normal 40" xfId="1096" xr:uid="{00000000-0005-0000-0000-0000BF030000}"/>
    <cellStyle name="Normal 41" xfId="1105" xr:uid="{00000000-0005-0000-0000-0000C0030000}"/>
    <cellStyle name="Normal 42" xfId="1113" xr:uid="{00000000-0005-0000-0000-0000C1030000}"/>
    <cellStyle name="Normal 43" xfId="1119" xr:uid="{00000000-0005-0000-0000-0000C2030000}"/>
    <cellStyle name="Normal 44" xfId="1131" xr:uid="{00000000-0005-0000-0000-0000C3030000}"/>
    <cellStyle name="Normal 45" xfId="1140" xr:uid="{00000000-0005-0000-0000-0000C4030000}"/>
    <cellStyle name="Normal 46" xfId="1150" xr:uid="{00000000-0005-0000-0000-0000C5030000}"/>
    <cellStyle name="Normal 47" xfId="1159" xr:uid="{00000000-0005-0000-0000-0000C6030000}"/>
    <cellStyle name="Normal 48" xfId="1167" xr:uid="{00000000-0005-0000-0000-0000C7030000}"/>
    <cellStyle name="Normal 49" xfId="1189" xr:uid="{00000000-0005-0000-0000-0000C8030000}"/>
    <cellStyle name="Normal 5" xfId="659" xr:uid="{00000000-0005-0000-0000-0000C9030000}"/>
    <cellStyle name="Normal 5 2" xfId="660" xr:uid="{00000000-0005-0000-0000-0000CA030000}"/>
    <cellStyle name="Normal 5 2 2" xfId="661" xr:uid="{00000000-0005-0000-0000-0000CB030000}"/>
    <cellStyle name="Normal 5 3" xfId="662" xr:uid="{00000000-0005-0000-0000-0000CC030000}"/>
    <cellStyle name="Normal 5 3 2" xfId="663" xr:uid="{00000000-0005-0000-0000-0000CD030000}"/>
    <cellStyle name="Normal 5 4" xfId="664" xr:uid="{00000000-0005-0000-0000-0000CE030000}"/>
    <cellStyle name="Normal 5 5" xfId="926" xr:uid="{00000000-0005-0000-0000-0000CF030000}"/>
    <cellStyle name="Normal 5 6" xfId="1024" xr:uid="{00000000-0005-0000-0000-0000D0030000}"/>
    <cellStyle name="Normal 5 7" xfId="1069" xr:uid="{00000000-0005-0000-0000-0000D1030000}"/>
    <cellStyle name="Normal 50" xfId="1201" xr:uid="{00000000-0005-0000-0000-0000D2030000}"/>
    <cellStyle name="Normal 51" xfId="1210" xr:uid="{00000000-0005-0000-0000-0000D3030000}"/>
    <cellStyle name="Normal 52" xfId="1223" xr:uid="{00000000-0005-0000-0000-0000D4030000}"/>
    <cellStyle name="Normal 53" xfId="1237" xr:uid="{00000000-0005-0000-0000-0000D5030000}"/>
    <cellStyle name="Normal 54" xfId="1254" xr:uid="{00000000-0005-0000-0000-0000D6030000}"/>
    <cellStyle name="Normal 55" xfId="1256" xr:uid="{00000000-0005-0000-0000-0000D7030000}"/>
    <cellStyle name="Normal 56" xfId="1258" xr:uid="{00000000-0005-0000-0000-0000D8030000}"/>
    <cellStyle name="Normal 57" xfId="1274" xr:uid="{37D13BB5-8F7D-4654-939D-3148181AC78E}"/>
    <cellStyle name="Normal 58" xfId="1280" xr:uid="{8BF686E5-F4D8-49E6-B190-7E1C5690EB1F}"/>
    <cellStyle name="Normal 59" xfId="1282" xr:uid="{E2BB62A4-C324-4CE5-AFA0-2B9E2A1CA895}"/>
    <cellStyle name="Normal 6" xfId="665" xr:uid="{00000000-0005-0000-0000-0000D9030000}"/>
    <cellStyle name="Normal 6 2" xfId="666" xr:uid="{00000000-0005-0000-0000-0000DA030000}"/>
    <cellStyle name="Normal 6 2 2" xfId="667" xr:uid="{00000000-0005-0000-0000-0000DB030000}"/>
    <cellStyle name="Normal 6 3" xfId="668" xr:uid="{00000000-0005-0000-0000-0000DC030000}"/>
    <cellStyle name="Normal 60" xfId="1309" xr:uid="{42E27FC2-B343-4CF3-ABEE-7A2E961EEB89}"/>
    <cellStyle name="Normal 61" xfId="1311" xr:uid="{349CE87D-D03E-4345-8D96-809FAA536B34}"/>
    <cellStyle name="Normal 62" xfId="1318" xr:uid="{9A21F598-6E27-4B5D-AEDD-791315E56F3F}"/>
    <cellStyle name="Normal 63" xfId="1329" xr:uid="{1C8CF9A6-E44D-4348-B0B9-A2208E7F353A}"/>
    <cellStyle name="Normal 64" xfId="1331" xr:uid="{026E9151-07F0-4B82-AAE5-74891251F351}"/>
    <cellStyle name="Normal 65" xfId="1333" xr:uid="{560D1CB2-D530-4EFA-979C-DDCC78C80007}"/>
    <cellStyle name="Normal 68" xfId="1334" xr:uid="{55593749-1DCF-4264-968F-116AD3D4FADD}"/>
    <cellStyle name="Normal 69" xfId="1335" xr:uid="{9BBEE369-8B78-423A-92F2-F937FC980353}"/>
    <cellStyle name="Normal 7" xfId="669" xr:uid="{00000000-0005-0000-0000-0000DD030000}"/>
    <cellStyle name="Normal 7 2" xfId="670" xr:uid="{00000000-0005-0000-0000-0000DE030000}"/>
    <cellStyle name="Normal 70" xfId="1337" xr:uid="{44ED49C1-88F7-4CBA-B0C9-31EB41A6019E}"/>
    <cellStyle name="Normal 72" xfId="1339" xr:uid="{F534A57E-696D-412C-957B-A8BAD43C29EB}"/>
    <cellStyle name="Normal 73" xfId="1341" xr:uid="{D8BB2BA0-EBFA-4962-BF37-79A98190E380}"/>
    <cellStyle name="Normal 75" xfId="1349" xr:uid="{8274E13F-9C56-4BDC-8A48-5CDC0E044155}"/>
    <cellStyle name="Normal 79" xfId="1344" xr:uid="{03F02105-D776-4F80-BDEA-236E6CC7BEA3}"/>
    <cellStyle name="Normal 8" xfId="671" xr:uid="{00000000-0005-0000-0000-0000DF030000}"/>
    <cellStyle name="Normal 8 2" xfId="672" xr:uid="{00000000-0005-0000-0000-0000E0030000}"/>
    <cellStyle name="Normal 8 2 2" xfId="673" xr:uid="{00000000-0005-0000-0000-0000E1030000}"/>
    <cellStyle name="Normal 82" xfId="1347" xr:uid="{EF50580B-7F03-423E-86C4-BCFC9181916F}"/>
    <cellStyle name="Normal 85 2" xfId="1243" xr:uid="{00000000-0005-0000-0000-0000E2030000}"/>
    <cellStyle name="Normal 86" xfId="1304" xr:uid="{E2270F81-EF9E-4817-A564-97AF73053312}"/>
    <cellStyle name="Normal 86 10" xfId="1265" xr:uid="{3AE4D566-CEFF-488E-A8B9-06609F7E5FDC}"/>
    <cellStyle name="Normal 86 15" xfId="1295" xr:uid="{F998B723-AEEF-4C21-A689-617E234EB8C0}"/>
    <cellStyle name="Normal 86 20" xfId="1323" xr:uid="{A6BA8D0A-A186-4B32-BCB5-ABE31A8F6142}"/>
    <cellStyle name="Normal 86 4" xfId="1247" xr:uid="{00000000-0005-0000-0000-0000E3030000}"/>
    <cellStyle name="Normal 88" xfId="1350" xr:uid="{05133A7A-D9D6-44F4-A46C-30CBDF6EBFE6}"/>
    <cellStyle name="Normal 9" xfId="674" xr:uid="{00000000-0005-0000-0000-0000E4030000}"/>
    <cellStyle name="Normal 9 2" xfId="675" xr:uid="{00000000-0005-0000-0000-0000E5030000}"/>
    <cellStyle name="Normal 9 2 2" xfId="676" xr:uid="{00000000-0005-0000-0000-0000E6030000}"/>
    <cellStyle name="Normal 90" xfId="1352" xr:uid="{772D0DE9-13DB-4A0F-8D91-4BCBA55DE7E4}"/>
    <cellStyle name="Normal 91" xfId="1354" xr:uid="{6633B71F-8B2A-4C2C-94FF-F5BF0029620C}"/>
    <cellStyle name="Normal Bold" xfId="677" xr:uid="{00000000-0005-0000-0000-0000E7030000}"/>
    <cellStyle name="Normal Pct" xfId="678" xr:uid="{00000000-0005-0000-0000-0000E8030000}"/>
    <cellStyle name="Normal Pct 2" xfId="679" xr:uid="{00000000-0005-0000-0000-0000E9030000}"/>
    <cellStyle name="Normal_Formatos de Balance y PYG_Opciones gráficos JD - Excel 2003" xfId="4" xr:uid="{00000000-0005-0000-0000-0000EA030000}"/>
    <cellStyle name="Normál_MRepcons" xfId="680" xr:uid="{00000000-0005-0000-0000-0000EB030000}"/>
    <cellStyle name="Normal_Opciones gráficos JD - Excel 2003" xfId="2" xr:uid="{00000000-0005-0000-0000-0000EC030000}"/>
    <cellStyle name="Normal_Opciones gráficos JD - Excel 2003 2 2" xfId="924" xr:uid="{00000000-0005-0000-0000-0000ED030000}"/>
    <cellStyle name="Normal_PGBalance - Propuestos CEA2_Opciones gráficos JD - Excel 2003" xfId="3" xr:uid="{00000000-0005-0000-0000-0000EE030000}"/>
    <cellStyle name="Normal1" xfId="681" xr:uid="{00000000-0005-0000-0000-0000EF030000}"/>
    <cellStyle name="Normal2" xfId="682" xr:uid="{00000000-0005-0000-0000-0000F0030000}"/>
    <cellStyle name="NormalBold" xfId="683" xr:uid="{00000000-0005-0000-0000-0000F1030000}"/>
    <cellStyle name="Normale_1320 NX" xfId="684" xr:uid="{00000000-0005-0000-0000-0000F2030000}"/>
    <cellStyle name="NormalMultiple" xfId="685" xr:uid="{00000000-0005-0000-0000-0000F3030000}"/>
    <cellStyle name="NormalMultiple 2" xfId="686" xr:uid="{00000000-0005-0000-0000-0000F4030000}"/>
    <cellStyle name="normálne_PRISTAV- 0898" xfId="687" xr:uid="{00000000-0005-0000-0000-0000F5030000}"/>
    <cellStyle name="normální_10" xfId="688" xr:uid="{00000000-0005-0000-0000-0000F6030000}"/>
    <cellStyle name="NormalX" xfId="689" xr:uid="{00000000-0005-0000-0000-0000F7030000}"/>
    <cellStyle name="NormalxShadow" xfId="690" xr:uid="{00000000-0005-0000-0000-0000F8030000}"/>
    <cellStyle name="Notas 2" xfId="691" xr:uid="{00000000-0005-0000-0000-0000F9030000}"/>
    <cellStyle name="Notas 2 2" xfId="692" xr:uid="{00000000-0005-0000-0000-0000FA030000}"/>
    <cellStyle name="Notas 3" xfId="693" xr:uid="{00000000-0005-0000-0000-0000FB030000}"/>
    <cellStyle name="Notas 4" xfId="694" xr:uid="{00000000-0005-0000-0000-0000FC030000}"/>
    <cellStyle name="Note" xfId="695" xr:uid="{00000000-0005-0000-0000-0000FD030000}"/>
    <cellStyle name="Note 2" xfId="696" xr:uid="{00000000-0005-0000-0000-0000FE030000}"/>
    <cellStyle name="Note 3" xfId="697" xr:uid="{00000000-0005-0000-0000-0000FF030000}"/>
    <cellStyle name="NPPESalesPct" xfId="698" xr:uid="{00000000-0005-0000-0000-000000040000}"/>
    <cellStyle name="NWI%S" xfId="699" xr:uid="{00000000-0005-0000-0000-000001040000}"/>
    <cellStyle name="Output" xfId="700" xr:uid="{00000000-0005-0000-0000-000002040000}"/>
    <cellStyle name="Output 2" xfId="701" xr:uid="{00000000-0005-0000-0000-000003040000}"/>
    <cellStyle name="Output Amounts" xfId="702" xr:uid="{00000000-0005-0000-0000-000004040000}"/>
    <cellStyle name="Output Amounts 2" xfId="703" xr:uid="{00000000-0005-0000-0000-000005040000}"/>
    <cellStyle name="Output Column Headings" xfId="704" xr:uid="{00000000-0005-0000-0000-000006040000}"/>
    <cellStyle name="Output Line Items" xfId="705" xr:uid="{00000000-0005-0000-0000-000007040000}"/>
    <cellStyle name="Output Report Heading" xfId="706" xr:uid="{00000000-0005-0000-0000-000008040000}"/>
    <cellStyle name="Output Report Title" xfId="707" xr:uid="{00000000-0005-0000-0000-000009040000}"/>
    <cellStyle name="Output_gráfico Ingresos por regiones  V2 Real - Jun_10" xfId="708" xr:uid="{00000000-0005-0000-0000-00000A040000}"/>
    <cellStyle name="Output-Number" xfId="709" xr:uid="{00000000-0005-0000-0000-00000B040000}"/>
    <cellStyle name="Output-Number 2" xfId="710" xr:uid="{00000000-0005-0000-0000-00000C040000}"/>
    <cellStyle name="Output-Number-Dim" xfId="711" xr:uid="{00000000-0005-0000-0000-00000D040000}"/>
    <cellStyle name="Output-Number-Price" xfId="712" xr:uid="{00000000-0005-0000-0000-00000E040000}"/>
    <cellStyle name="Output-Number-Price 2" xfId="713" xr:uid="{00000000-0005-0000-0000-00000F040000}"/>
    <cellStyle name="Output-Number-Price-Dim" xfId="714" xr:uid="{00000000-0005-0000-0000-000010040000}"/>
    <cellStyle name="Output-Percent" xfId="715" xr:uid="{00000000-0005-0000-0000-000011040000}"/>
    <cellStyle name="Output-Percent 2" xfId="716" xr:uid="{00000000-0005-0000-0000-000012040000}"/>
    <cellStyle name="Output-Percent-Dim" xfId="717" xr:uid="{00000000-0005-0000-0000-000013040000}"/>
    <cellStyle name="Package_numbers" xfId="718" xr:uid="{00000000-0005-0000-0000-000014040000}"/>
    <cellStyle name="Percent [0]" xfId="719" xr:uid="{00000000-0005-0000-0000-000015040000}"/>
    <cellStyle name="Percent [1]" xfId="720" xr:uid="{00000000-0005-0000-0000-000016040000}"/>
    <cellStyle name="Percent [1] --" xfId="721" xr:uid="{00000000-0005-0000-0000-000017040000}"/>
    <cellStyle name="Percent [1]_RMCC_model_January_v2" xfId="722" xr:uid="{00000000-0005-0000-0000-000018040000}"/>
    <cellStyle name="Percent [2]" xfId="723" xr:uid="{00000000-0005-0000-0000-000019040000}"/>
    <cellStyle name="Percent Comma" xfId="724" xr:uid="{00000000-0005-0000-0000-00001A040000}"/>
    <cellStyle name="Percent input" xfId="725" xr:uid="{00000000-0005-0000-0000-00001B040000}"/>
    <cellStyle name="PercentSales" xfId="726" xr:uid="{00000000-0005-0000-0000-00001C040000}"/>
    <cellStyle name="POA" xfId="727" xr:uid="{00000000-0005-0000-0000-00001D040000}"/>
    <cellStyle name="Porcentaje" xfId="1" builtinId="5"/>
    <cellStyle name="Porcentaje 10" xfId="728" xr:uid="{00000000-0005-0000-0000-00001F040000}"/>
    <cellStyle name="Porcentaje 10 2" xfId="729" xr:uid="{00000000-0005-0000-0000-000020040000}"/>
    <cellStyle name="Porcentaje 11" xfId="730" xr:uid="{00000000-0005-0000-0000-000021040000}"/>
    <cellStyle name="Porcentaje 11 2" xfId="731" xr:uid="{00000000-0005-0000-0000-000022040000}"/>
    <cellStyle name="Porcentaje 12" xfId="732" xr:uid="{00000000-0005-0000-0000-000023040000}"/>
    <cellStyle name="Porcentaje 12 2" xfId="733" xr:uid="{00000000-0005-0000-0000-000024040000}"/>
    <cellStyle name="Porcentaje 13" xfId="734" xr:uid="{00000000-0005-0000-0000-000025040000}"/>
    <cellStyle name="Porcentaje 13 2" xfId="735" xr:uid="{00000000-0005-0000-0000-000026040000}"/>
    <cellStyle name="Porcentaje 14" xfId="736" xr:uid="{00000000-0005-0000-0000-000027040000}"/>
    <cellStyle name="Porcentaje 14 2" xfId="737" xr:uid="{00000000-0005-0000-0000-000028040000}"/>
    <cellStyle name="Porcentaje 15" xfId="738" xr:uid="{00000000-0005-0000-0000-000029040000}"/>
    <cellStyle name="Porcentaje 15 2" xfId="739" xr:uid="{00000000-0005-0000-0000-00002A040000}"/>
    <cellStyle name="Porcentaje 16" xfId="740" xr:uid="{00000000-0005-0000-0000-00002B040000}"/>
    <cellStyle name="Porcentaje 16 2" xfId="741" xr:uid="{00000000-0005-0000-0000-00002C040000}"/>
    <cellStyle name="Porcentaje 17" xfId="742" xr:uid="{00000000-0005-0000-0000-00002D040000}"/>
    <cellStyle name="Porcentaje 17 2" xfId="743" xr:uid="{00000000-0005-0000-0000-00002E040000}"/>
    <cellStyle name="Porcentaje 18" xfId="744" xr:uid="{00000000-0005-0000-0000-00002F040000}"/>
    <cellStyle name="Porcentaje 18 2" xfId="745" xr:uid="{00000000-0005-0000-0000-000030040000}"/>
    <cellStyle name="Porcentaje 19" xfId="746" xr:uid="{00000000-0005-0000-0000-000031040000}"/>
    <cellStyle name="Porcentaje 19 2" xfId="747" xr:uid="{00000000-0005-0000-0000-000032040000}"/>
    <cellStyle name="Porcentaje 2" xfId="748" xr:uid="{00000000-0005-0000-0000-000033040000}"/>
    <cellStyle name="Porcentaje 20" xfId="749" xr:uid="{00000000-0005-0000-0000-000034040000}"/>
    <cellStyle name="Porcentaje 20 2" xfId="750" xr:uid="{00000000-0005-0000-0000-000035040000}"/>
    <cellStyle name="Porcentaje 21" xfId="751" xr:uid="{00000000-0005-0000-0000-000036040000}"/>
    <cellStyle name="Porcentaje 22" xfId="752" xr:uid="{00000000-0005-0000-0000-000037040000}"/>
    <cellStyle name="Porcentaje 23" xfId="916" xr:uid="{00000000-0005-0000-0000-000038040000}"/>
    <cellStyle name="Porcentaje 24" xfId="1037" xr:uid="{00000000-0005-0000-0000-000039040000}"/>
    <cellStyle name="Porcentaje 25" xfId="1068" xr:uid="{00000000-0005-0000-0000-00003A040000}"/>
    <cellStyle name="Porcentaje 26" xfId="1080" xr:uid="{00000000-0005-0000-0000-00003B040000}"/>
    <cellStyle name="Porcentaje 27" xfId="1082" xr:uid="{00000000-0005-0000-0000-00003C040000}"/>
    <cellStyle name="Porcentaje 28" xfId="1093" xr:uid="{00000000-0005-0000-0000-00003D040000}"/>
    <cellStyle name="Porcentaje 29" xfId="1106" xr:uid="{00000000-0005-0000-0000-00003E040000}"/>
    <cellStyle name="Porcentaje 3" xfId="753" xr:uid="{00000000-0005-0000-0000-00003F040000}"/>
    <cellStyle name="Porcentaje 3 2" xfId="754" xr:uid="{00000000-0005-0000-0000-000040040000}"/>
    <cellStyle name="Porcentaje 3 3" xfId="755" xr:uid="{00000000-0005-0000-0000-000041040000}"/>
    <cellStyle name="Porcentaje 30" xfId="1127" xr:uid="{00000000-0005-0000-0000-000042040000}"/>
    <cellStyle name="Porcentaje 31" xfId="1144" xr:uid="{00000000-0005-0000-0000-000043040000}"/>
    <cellStyle name="Porcentaje 32" xfId="1162" xr:uid="{00000000-0005-0000-0000-000044040000}"/>
    <cellStyle name="Porcentaje 33" xfId="1177" xr:uid="{00000000-0005-0000-0000-000045040000}"/>
    <cellStyle name="Porcentaje 34" xfId="1196" xr:uid="{00000000-0005-0000-0000-000046040000}"/>
    <cellStyle name="Porcentaje 35" xfId="1216" xr:uid="{00000000-0005-0000-0000-000047040000}"/>
    <cellStyle name="Porcentaje 36" xfId="1225" xr:uid="{00000000-0005-0000-0000-000048040000}"/>
    <cellStyle name="Porcentaje 37" xfId="1248" xr:uid="{00000000-0005-0000-0000-000049040000}"/>
    <cellStyle name="Porcentaje 38" xfId="1275" xr:uid="{5C509420-2361-4C61-850D-B7981995DE8F}"/>
    <cellStyle name="Porcentaje 39" xfId="1296" xr:uid="{503023EE-75CE-4882-A77B-A1C718B30BB3}"/>
    <cellStyle name="Porcentaje 4" xfId="756" xr:uid="{00000000-0005-0000-0000-00004A040000}"/>
    <cellStyle name="Porcentaje 4 2" xfId="757" xr:uid="{00000000-0005-0000-0000-00004B040000}"/>
    <cellStyle name="Porcentaje 40" xfId="1324" xr:uid="{1F3CA518-2BED-4EC4-81A9-E44D5E5B2903}"/>
    <cellStyle name="Porcentaje 5" xfId="758" xr:uid="{00000000-0005-0000-0000-00004C040000}"/>
    <cellStyle name="Porcentaje 5 2" xfId="759" xr:uid="{00000000-0005-0000-0000-00004D040000}"/>
    <cellStyle name="Porcentaje 6" xfId="760" xr:uid="{00000000-0005-0000-0000-00004E040000}"/>
    <cellStyle name="Porcentaje 6 2" xfId="761" xr:uid="{00000000-0005-0000-0000-00004F040000}"/>
    <cellStyle name="Porcentaje 7" xfId="762" xr:uid="{00000000-0005-0000-0000-000050040000}"/>
    <cellStyle name="Porcentaje 7 2" xfId="763" xr:uid="{00000000-0005-0000-0000-000051040000}"/>
    <cellStyle name="Porcentaje 8" xfId="764" xr:uid="{00000000-0005-0000-0000-000052040000}"/>
    <cellStyle name="Porcentaje 8 2" xfId="765" xr:uid="{00000000-0005-0000-0000-000053040000}"/>
    <cellStyle name="Porcentaje 9" xfId="766" xr:uid="{00000000-0005-0000-0000-000054040000}"/>
    <cellStyle name="Porcentaje 9 2" xfId="767" xr:uid="{00000000-0005-0000-0000-000055040000}"/>
    <cellStyle name="Porcentual 10" xfId="768" xr:uid="{00000000-0005-0000-0000-000056040000}"/>
    <cellStyle name="Porcentual 10 2" xfId="769" xr:uid="{00000000-0005-0000-0000-000057040000}"/>
    <cellStyle name="Porcentual 11" xfId="770" xr:uid="{00000000-0005-0000-0000-000058040000}"/>
    <cellStyle name="Porcentual 11 2" xfId="771" xr:uid="{00000000-0005-0000-0000-000059040000}"/>
    <cellStyle name="Porcentual 12" xfId="772" xr:uid="{00000000-0005-0000-0000-00005A040000}"/>
    <cellStyle name="Porcentual 12 2" xfId="773" xr:uid="{00000000-0005-0000-0000-00005B040000}"/>
    <cellStyle name="Porcentual 2" xfId="774" xr:uid="{00000000-0005-0000-0000-00005C040000}"/>
    <cellStyle name="Porcentual 2 2" xfId="775" xr:uid="{00000000-0005-0000-0000-00005D040000}"/>
    <cellStyle name="Porcentual 2 3" xfId="776" xr:uid="{00000000-0005-0000-0000-00005E040000}"/>
    <cellStyle name="Porcentual 3" xfId="777" xr:uid="{00000000-0005-0000-0000-00005F040000}"/>
    <cellStyle name="Porcentual 3 2" xfId="778" xr:uid="{00000000-0005-0000-0000-000060040000}"/>
    <cellStyle name="Porcentual 3 2 2" xfId="779" xr:uid="{00000000-0005-0000-0000-000061040000}"/>
    <cellStyle name="Porcentual 4" xfId="780" xr:uid="{00000000-0005-0000-0000-000062040000}"/>
    <cellStyle name="Porcentual 4 2" xfId="781" xr:uid="{00000000-0005-0000-0000-000063040000}"/>
    <cellStyle name="Porcentual 4 3" xfId="782" xr:uid="{00000000-0005-0000-0000-000064040000}"/>
    <cellStyle name="Porcentual 4 4" xfId="944" xr:uid="{00000000-0005-0000-0000-000065040000}"/>
    <cellStyle name="Porcentual 5" xfId="783" xr:uid="{00000000-0005-0000-0000-000066040000}"/>
    <cellStyle name="Porcentual 5 2" xfId="784" xr:uid="{00000000-0005-0000-0000-000067040000}"/>
    <cellStyle name="Porcentual 5 3" xfId="785" xr:uid="{00000000-0005-0000-0000-000068040000}"/>
    <cellStyle name="Porcentual 6" xfId="786" xr:uid="{00000000-0005-0000-0000-000069040000}"/>
    <cellStyle name="Porcentual 6 2" xfId="787" xr:uid="{00000000-0005-0000-0000-00006A040000}"/>
    <cellStyle name="Porcentual 7" xfId="788" xr:uid="{00000000-0005-0000-0000-00006B040000}"/>
    <cellStyle name="Porcentual 7 2" xfId="789" xr:uid="{00000000-0005-0000-0000-00006C040000}"/>
    <cellStyle name="Porcentual 8" xfId="790" xr:uid="{00000000-0005-0000-0000-00006D040000}"/>
    <cellStyle name="Porcentual 8 2" xfId="791" xr:uid="{00000000-0005-0000-0000-00006E040000}"/>
    <cellStyle name="Porcentual 9" xfId="792" xr:uid="{00000000-0005-0000-0000-00006F040000}"/>
    <cellStyle name="Porcentual 9 2" xfId="793" xr:uid="{00000000-0005-0000-0000-000070040000}"/>
    <cellStyle name="Print_header" xfId="794" xr:uid="{00000000-0005-0000-0000-000071040000}"/>
    <cellStyle name="Protected" xfId="795" xr:uid="{00000000-0005-0000-0000-000072040000}"/>
    <cellStyle name="Qté calculées" xfId="796" xr:uid="{00000000-0005-0000-0000-000073040000}"/>
    <cellStyle name="QTé entrées" xfId="797" xr:uid="{00000000-0005-0000-0000-000074040000}"/>
    <cellStyle name="rate" xfId="798" xr:uid="{00000000-0005-0000-0000-000075040000}"/>
    <cellStyle name="Ratio" xfId="799" xr:uid="{00000000-0005-0000-0000-000076040000}"/>
    <cellStyle name="Ratio 2" xfId="800" xr:uid="{00000000-0005-0000-0000-000077040000}"/>
    <cellStyle name="Ratio Comma" xfId="801" xr:uid="{00000000-0005-0000-0000-000078040000}"/>
    <cellStyle name="Ratio_Modelo Wacc_Chemicals" xfId="802" xr:uid="{00000000-0005-0000-0000-000079040000}"/>
    <cellStyle name="Red font" xfId="803" xr:uid="{00000000-0005-0000-0000-00007A040000}"/>
    <cellStyle name="Roadrunner" xfId="804" xr:uid="{00000000-0005-0000-0000-00007B040000}"/>
    <cellStyle name="Roadrunner 2" xfId="805" xr:uid="{00000000-0005-0000-0000-00007C040000}"/>
    <cellStyle name="Salida 2" xfId="806" xr:uid="{00000000-0005-0000-0000-00007D040000}"/>
    <cellStyle name="Salida 3" xfId="807" xr:uid="{00000000-0005-0000-0000-00007E040000}"/>
    <cellStyle name="Salida 4" xfId="808" xr:uid="{00000000-0005-0000-0000-00007F040000}"/>
    <cellStyle name="SAPBEXaggData" xfId="809" xr:uid="{00000000-0005-0000-0000-000080040000}"/>
    <cellStyle name="SAPBEXaggDataEmph" xfId="810" xr:uid="{00000000-0005-0000-0000-000081040000}"/>
    <cellStyle name="SAPBEXaggItem" xfId="811" xr:uid="{00000000-0005-0000-0000-000082040000}"/>
    <cellStyle name="SAPBEXchaText" xfId="812" xr:uid="{00000000-0005-0000-0000-000083040000}"/>
    <cellStyle name="SAPBEXexcBad7" xfId="813" xr:uid="{00000000-0005-0000-0000-000084040000}"/>
    <cellStyle name="SAPBEXexcBad8" xfId="814" xr:uid="{00000000-0005-0000-0000-000085040000}"/>
    <cellStyle name="SAPBEXexcBad9" xfId="815" xr:uid="{00000000-0005-0000-0000-000086040000}"/>
    <cellStyle name="SAPBEXexcCritical4" xfId="816" xr:uid="{00000000-0005-0000-0000-000087040000}"/>
    <cellStyle name="SAPBEXexcCritical5" xfId="817" xr:uid="{00000000-0005-0000-0000-000088040000}"/>
    <cellStyle name="SAPBEXexcCritical6" xfId="818" xr:uid="{00000000-0005-0000-0000-000089040000}"/>
    <cellStyle name="SAPBEXexcGood1" xfId="819" xr:uid="{00000000-0005-0000-0000-00008A040000}"/>
    <cellStyle name="SAPBEXexcGood2" xfId="820" xr:uid="{00000000-0005-0000-0000-00008B040000}"/>
    <cellStyle name="SAPBEXexcGood3" xfId="821" xr:uid="{00000000-0005-0000-0000-00008C040000}"/>
    <cellStyle name="SAPBEXfilterDrill" xfId="822" xr:uid="{00000000-0005-0000-0000-00008D040000}"/>
    <cellStyle name="SAPBEXfilterItem" xfId="823" xr:uid="{00000000-0005-0000-0000-00008E040000}"/>
    <cellStyle name="SAPBEXfilterText" xfId="824" xr:uid="{00000000-0005-0000-0000-00008F040000}"/>
    <cellStyle name="SAPBEXformats" xfId="825" xr:uid="{00000000-0005-0000-0000-000090040000}"/>
    <cellStyle name="SAPBEXheaderItem" xfId="826" xr:uid="{00000000-0005-0000-0000-000091040000}"/>
    <cellStyle name="SAPBEXheaderItem 2" xfId="827" xr:uid="{00000000-0005-0000-0000-000092040000}"/>
    <cellStyle name="SAPBEXheaderText" xfId="828" xr:uid="{00000000-0005-0000-0000-000093040000}"/>
    <cellStyle name="SAPBEXheaderText 2" xfId="829" xr:uid="{00000000-0005-0000-0000-000094040000}"/>
    <cellStyle name="SAPBEXresData" xfId="830" xr:uid="{00000000-0005-0000-0000-000095040000}"/>
    <cellStyle name="SAPBEXresDataEmph" xfId="831" xr:uid="{00000000-0005-0000-0000-000096040000}"/>
    <cellStyle name="SAPBEXresItem" xfId="832" xr:uid="{00000000-0005-0000-0000-000097040000}"/>
    <cellStyle name="SAPBEXstdData" xfId="833" xr:uid="{00000000-0005-0000-0000-000098040000}"/>
    <cellStyle name="SAPBEXstdData 2" xfId="834" xr:uid="{00000000-0005-0000-0000-000099040000}"/>
    <cellStyle name="SAPBEXstdDataEmph" xfId="835" xr:uid="{00000000-0005-0000-0000-00009A040000}"/>
    <cellStyle name="SAPBEXstdItem" xfId="836" xr:uid="{00000000-0005-0000-0000-00009B040000}"/>
    <cellStyle name="SAPBEXstdItem 2" xfId="837" xr:uid="{00000000-0005-0000-0000-00009C040000}"/>
    <cellStyle name="SAPBEXtitle" xfId="838" xr:uid="{00000000-0005-0000-0000-00009D040000}"/>
    <cellStyle name="SAPBEXundefined" xfId="839" xr:uid="{00000000-0005-0000-0000-00009E040000}"/>
    <cellStyle name="SAPLocked" xfId="840" xr:uid="{00000000-0005-0000-0000-00009F040000}"/>
    <cellStyle name="SAPMemberCell_Encabezado_ORANGE" xfId="1040" xr:uid="{00000000-0005-0000-0000-0000A0040000}"/>
    <cellStyle name="SAPOutput" xfId="841" xr:uid="{00000000-0005-0000-0000-0000A1040000}"/>
    <cellStyle name="SAPUnLocked" xfId="842" xr:uid="{00000000-0005-0000-0000-0000A2040000}"/>
    <cellStyle name="Section" xfId="843" xr:uid="{00000000-0005-0000-0000-0000A3040000}"/>
    <cellStyle name="Separador de milhares_060403 PMT NorteFluminense GSantamarina" xfId="844" xr:uid="{00000000-0005-0000-0000-0000A4040000}"/>
    <cellStyle name="ssubtitulo" xfId="845" xr:uid="{00000000-0005-0000-0000-0000A5040000}"/>
    <cellStyle name="Standard_ABSATZTB_HY00" xfId="846" xr:uid="{00000000-0005-0000-0000-0000A6040000}"/>
    <cellStyle name="Stock Comma" xfId="847" xr:uid="{00000000-0005-0000-0000-0000A7040000}"/>
    <cellStyle name="Stock Comma 2" xfId="848" xr:uid="{00000000-0005-0000-0000-0000A8040000}"/>
    <cellStyle name="Stock Price" xfId="849" xr:uid="{00000000-0005-0000-0000-0000A9040000}"/>
    <cellStyle name="Style 21" xfId="850" xr:uid="{00000000-0005-0000-0000-0000AA040000}"/>
    <cellStyle name="STYLE1" xfId="851" xr:uid="{00000000-0005-0000-0000-0000AB040000}"/>
    <cellStyle name="STYLE1 2" xfId="852" xr:uid="{00000000-0005-0000-0000-0000AC040000}"/>
    <cellStyle name="STYLE2" xfId="853" xr:uid="{00000000-0005-0000-0000-0000AD040000}"/>
    <cellStyle name="STYLE2 2" xfId="854" xr:uid="{00000000-0005-0000-0000-0000AE040000}"/>
    <cellStyle name="STYLE3" xfId="855" xr:uid="{00000000-0005-0000-0000-0000AF040000}"/>
    <cellStyle name="STYLE3 2" xfId="856" xr:uid="{00000000-0005-0000-0000-0000B0040000}"/>
    <cellStyle name="STYLE4" xfId="857" xr:uid="{00000000-0005-0000-0000-0000B1040000}"/>
    <cellStyle name="STYLE4 2" xfId="858" xr:uid="{00000000-0005-0000-0000-0000B2040000}"/>
    <cellStyle name="subtitulo" xfId="859" xr:uid="{00000000-0005-0000-0000-0000B3040000}"/>
    <cellStyle name="Tag" xfId="860" xr:uid="{00000000-0005-0000-0000-0000B4040000}"/>
    <cellStyle name="Test" xfId="861" xr:uid="{00000000-0005-0000-0000-0000B5040000}"/>
    <cellStyle name="Test 2" xfId="862" xr:uid="{00000000-0005-0000-0000-0000B6040000}"/>
    <cellStyle name="TESTE" xfId="863" xr:uid="{00000000-0005-0000-0000-0000B7040000}"/>
    <cellStyle name="Text" xfId="864" xr:uid="{00000000-0005-0000-0000-0000B8040000}"/>
    <cellStyle name="Text 2" xfId="865" xr:uid="{00000000-0005-0000-0000-0000B9040000}"/>
    <cellStyle name="Texto de advertencia 2" xfId="866" xr:uid="{00000000-0005-0000-0000-0000BA040000}"/>
    <cellStyle name="Texto de advertencia 3" xfId="867" xr:uid="{00000000-0005-0000-0000-0000BB040000}"/>
    <cellStyle name="Texto de advertencia 4" xfId="868" xr:uid="{00000000-0005-0000-0000-0000BC040000}"/>
    <cellStyle name="Texto explicativo 2" xfId="869" xr:uid="{00000000-0005-0000-0000-0000BD040000}"/>
    <cellStyle name="Texto explicativo 3" xfId="870" xr:uid="{00000000-0005-0000-0000-0000BE040000}"/>
    <cellStyle name="Texto explicativo 4" xfId="871" xr:uid="{00000000-0005-0000-0000-0000BF040000}"/>
    <cellStyle name="TFCF" xfId="872" xr:uid="{00000000-0005-0000-0000-0000C0040000}"/>
    <cellStyle name="Times" xfId="873" xr:uid="{00000000-0005-0000-0000-0000C1040000}"/>
    <cellStyle name="Title" xfId="874" xr:uid="{00000000-0005-0000-0000-0000C2040000}"/>
    <cellStyle name="Title 2" xfId="875" xr:uid="{00000000-0005-0000-0000-0000C3040000}"/>
    <cellStyle name="Title_PYG CemArgos consolidado" xfId="876" xr:uid="{00000000-0005-0000-0000-0000C4040000}"/>
    <cellStyle name="titulo" xfId="877" xr:uid="{00000000-0005-0000-0000-0000C5040000}"/>
    <cellStyle name="Título 1 2" xfId="878" xr:uid="{00000000-0005-0000-0000-0000C6040000}"/>
    <cellStyle name="Título 1 3" xfId="879" xr:uid="{00000000-0005-0000-0000-0000C7040000}"/>
    <cellStyle name="Título 1 4" xfId="880" xr:uid="{00000000-0005-0000-0000-0000C8040000}"/>
    <cellStyle name="Título 2 2" xfId="881" xr:uid="{00000000-0005-0000-0000-0000CA040000}"/>
    <cellStyle name="Título 2 3" xfId="882" xr:uid="{00000000-0005-0000-0000-0000CB040000}"/>
    <cellStyle name="Título 2 3 2" xfId="946" xr:uid="{00000000-0005-0000-0000-0000CC040000}"/>
    <cellStyle name="Título 2 4" xfId="883" xr:uid="{00000000-0005-0000-0000-0000CD040000}"/>
    <cellStyle name="Título 3 2" xfId="884" xr:uid="{00000000-0005-0000-0000-0000CE040000}"/>
    <cellStyle name="Título 3 3" xfId="885" xr:uid="{00000000-0005-0000-0000-0000CF040000}"/>
    <cellStyle name="Título 3 4" xfId="886" xr:uid="{00000000-0005-0000-0000-0000D0040000}"/>
    <cellStyle name="Título 4" xfId="887" xr:uid="{00000000-0005-0000-0000-0000D1040000}"/>
    <cellStyle name="Título 5" xfId="888" xr:uid="{00000000-0005-0000-0000-0000D2040000}"/>
    <cellStyle name="Titulo de conta" xfId="889" xr:uid="{00000000-0005-0000-0000-0000D3040000}"/>
    <cellStyle name="titulomov" xfId="890" xr:uid="{00000000-0005-0000-0000-0000D4040000}"/>
    <cellStyle name="Todos" xfId="891" xr:uid="{00000000-0005-0000-0000-0000D5040000}"/>
    <cellStyle name="Top Edge" xfId="892" xr:uid="{00000000-0005-0000-0000-0000D6040000}"/>
    <cellStyle name="Total 2" xfId="893" xr:uid="{00000000-0005-0000-0000-0000D7040000}"/>
    <cellStyle name="Total 3" xfId="894" xr:uid="{00000000-0005-0000-0000-0000D8040000}"/>
    <cellStyle name="Total 4" xfId="895" xr:uid="{00000000-0005-0000-0000-0000D9040000}"/>
    <cellStyle name="Total-1" xfId="896" xr:uid="{00000000-0005-0000-0000-0000DA040000}"/>
    <cellStyle name="Total-2" xfId="897" xr:uid="{00000000-0005-0000-0000-0000DB040000}"/>
    <cellStyle name="totalbalan" xfId="898" xr:uid="{00000000-0005-0000-0000-0000DC040000}"/>
    <cellStyle name="ubordinated Debt" xfId="899" xr:uid="{00000000-0005-0000-0000-0000DD040000}"/>
    <cellStyle name="User Entered" xfId="900" xr:uid="{00000000-0005-0000-0000-0000DE040000}"/>
    <cellStyle name="Valuta (0)_1320 NX" xfId="901" xr:uid="{00000000-0005-0000-0000-0000DF040000}"/>
    <cellStyle name="Valuta_1320 NX" xfId="902" xr:uid="{00000000-0005-0000-0000-0000E0040000}"/>
    <cellStyle name="Virgule fixe" xfId="903" xr:uid="{00000000-0005-0000-0000-0000E1040000}"/>
    <cellStyle name="Währung [0]_2CEMENT" xfId="904" xr:uid="{00000000-0005-0000-0000-0000E2040000}"/>
    <cellStyle name="Währung[0]" xfId="905" xr:uid="{00000000-0005-0000-0000-0000E3040000}"/>
    <cellStyle name="Währung_2CEMENT" xfId="906" xr:uid="{00000000-0005-0000-0000-0000E4040000}"/>
    <cellStyle name="Warning Text" xfId="907" xr:uid="{00000000-0005-0000-0000-0000E5040000}"/>
    <cellStyle name="Warning Text 2" xfId="908" xr:uid="{00000000-0005-0000-0000-0000E6040000}"/>
    <cellStyle name="Warning Text_PYG CemArgos consolidado" xfId="909" xr:uid="{00000000-0005-0000-0000-0000E7040000}"/>
    <cellStyle name="White" xfId="910" xr:uid="{00000000-0005-0000-0000-0000E8040000}"/>
    <cellStyle name="WrappedBold" xfId="911" xr:uid="{00000000-0005-0000-0000-0000E9040000}"/>
    <cellStyle name="Year" xfId="912" xr:uid="{00000000-0005-0000-0000-0000EA040000}"/>
    <cellStyle name="Year-Dim" xfId="913" xr:uid="{00000000-0005-0000-0000-0000EB040000}"/>
    <cellStyle name="Zeilenebene_2_CEMENT" xfId="914" xr:uid="{00000000-0005-0000-0000-0000EC040000}"/>
  </cellStyles>
  <dxfs count="0"/>
  <tableStyles count="0" defaultTableStyle="TableStyleMedium2" defaultPivotStyle="PivotStyleLight16"/>
  <colors>
    <mruColors>
      <color rgb="FFF2F2F2"/>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208709457511893E-2"/>
          <c:y val="0.10609632545931759"/>
          <c:w val="0.91521565904718871"/>
          <c:h val="0.80422901114950329"/>
        </c:manualLayout>
      </c:layout>
      <c:barChart>
        <c:barDir val="col"/>
        <c:grouping val="stacked"/>
        <c:varyColors val="0"/>
        <c:ser>
          <c:idx val="0"/>
          <c:order val="0"/>
          <c:spPr>
            <a:noFill/>
            <a:ln w="25400">
              <a:noFill/>
            </a:ln>
            <a:effectLst/>
            <a:scene3d>
              <a:camera prst="orthographicFront"/>
              <a:lightRig rig="threePt" dir="t"/>
            </a:scene3d>
            <a:sp3d prstMaterial="matte"/>
          </c:spPr>
          <c:invertIfNegative val="0"/>
          <c:dPt>
            <c:idx val="0"/>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01-E7A0-43CE-B2B0-77C2077E8096}"/>
              </c:ext>
            </c:extLst>
          </c:dPt>
          <c:dPt>
            <c:idx val="1"/>
            <c:invertIfNegative val="0"/>
            <c:bubble3D val="0"/>
            <c:spPr>
              <a:noFill/>
              <a:ln w="25400">
                <a:noFill/>
              </a:ln>
            </c:spPr>
            <c:extLst>
              <c:ext xmlns:c16="http://schemas.microsoft.com/office/drawing/2014/chart" uri="{C3380CC4-5D6E-409C-BE32-E72D297353CC}">
                <c16:uniqueId val="{00000003-E7A0-43CE-B2B0-77C2077E8096}"/>
              </c:ext>
            </c:extLst>
          </c:dPt>
          <c:dPt>
            <c:idx val="2"/>
            <c:invertIfNegative val="0"/>
            <c:bubble3D val="0"/>
            <c:spPr>
              <a:noFill/>
              <a:ln w="25400">
                <a:noFill/>
              </a:ln>
            </c:spPr>
            <c:extLst>
              <c:ext xmlns:c16="http://schemas.microsoft.com/office/drawing/2014/chart" uri="{C3380CC4-5D6E-409C-BE32-E72D297353CC}">
                <c16:uniqueId val="{00000005-E7A0-43CE-B2B0-77C2077E8096}"/>
              </c:ext>
            </c:extLst>
          </c:dPt>
          <c:dPt>
            <c:idx val="3"/>
            <c:invertIfNegative val="0"/>
            <c:bubble3D val="0"/>
            <c:spPr>
              <a:noFill/>
              <a:ln w="25400">
                <a:noFill/>
              </a:ln>
            </c:spPr>
            <c:extLst>
              <c:ext xmlns:c16="http://schemas.microsoft.com/office/drawing/2014/chart" uri="{C3380CC4-5D6E-409C-BE32-E72D297353CC}">
                <c16:uniqueId val="{00000007-E7A0-43CE-B2B0-77C2077E8096}"/>
              </c:ext>
            </c:extLst>
          </c:dPt>
          <c:dPt>
            <c:idx val="4"/>
            <c:invertIfNegative val="0"/>
            <c:bubble3D val="0"/>
            <c:spPr>
              <a:noFill/>
              <a:ln w="25400">
                <a:noFill/>
              </a:ln>
            </c:spPr>
            <c:extLst>
              <c:ext xmlns:c16="http://schemas.microsoft.com/office/drawing/2014/chart" uri="{C3380CC4-5D6E-409C-BE32-E72D297353CC}">
                <c16:uniqueId val="{00000009-E7A0-43CE-B2B0-77C2077E8096}"/>
              </c:ext>
            </c:extLst>
          </c:dPt>
          <c:dPt>
            <c:idx val="5"/>
            <c:invertIfNegative val="0"/>
            <c:bubble3D val="0"/>
            <c:spPr>
              <a:noFill/>
              <a:ln w="25400">
                <a:noFill/>
              </a:ln>
            </c:spPr>
            <c:extLst>
              <c:ext xmlns:c16="http://schemas.microsoft.com/office/drawing/2014/chart" uri="{C3380CC4-5D6E-409C-BE32-E72D297353CC}">
                <c16:uniqueId val="{0000000B-E7A0-43CE-B2B0-77C2077E8096}"/>
              </c:ext>
            </c:extLst>
          </c:dPt>
          <c:dPt>
            <c:idx val="6"/>
            <c:invertIfNegative val="0"/>
            <c:bubble3D val="0"/>
            <c:spPr>
              <a:noFill/>
              <a:ln w="25400">
                <a:noFill/>
              </a:ln>
            </c:spPr>
            <c:extLst>
              <c:ext xmlns:c16="http://schemas.microsoft.com/office/drawing/2014/chart" uri="{C3380CC4-5D6E-409C-BE32-E72D297353CC}">
                <c16:uniqueId val="{0000000D-E7A0-43CE-B2B0-77C2077E8096}"/>
              </c:ext>
            </c:extLst>
          </c:dPt>
          <c:dPt>
            <c:idx val="7"/>
            <c:invertIfNegative val="0"/>
            <c:bubble3D val="0"/>
            <c:spPr>
              <a:noFill/>
              <a:ln w="25400">
                <a:noFill/>
              </a:ln>
            </c:spPr>
            <c:extLst>
              <c:ext xmlns:c16="http://schemas.microsoft.com/office/drawing/2014/chart" uri="{C3380CC4-5D6E-409C-BE32-E72D297353CC}">
                <c16:uniqueId val="{0000000F-E7A0-43CE-B2B0-77C2077E8096}"/>
              </c:ext>
            </c:extLst>
          </c:dPt>
          <c:dPt>
            <c:idx val="8"/>
            <c:invertIfNegative val="0"/>
            <c:bubble3D val="0"/>
            <c:spPr>
              <a:solidFill>
                <a:schemeClr val="tx2">
                  <a:lumMod val="50000"/>
                </a:schemeClr>
              </a:solidFill>
              <a:ln w="25400">
                <a:noFill/>
              </a:ln>
            </c:spPr>
            <c:extLst>
              <c:ext xmlns:c16="http://schemas.microsoft.com/office/drawing/2014/chart" uri="{C3380CC4-5D6E-409C-BE32-E72D297353CC}">
                <c16:uniqueId val="{00000011-E7A0-43CE-B2B0-77C2077E8096}"/>
              </c:ext>
            </c:extLst>
          </c:dPt>
          <c:dPt>
            <c:idx val="9"/>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13-E7A0-43CE-B2B0-77C2077E8096}"/>
              </c:ext>
            </c:extLst>
          </c:dPt>
          <c:dPt>
            <c:idx val="10"/>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15-E7A0-43CE-B2B0-77C2077E8096}"/>
              </c:ext>
            </c:extLst>
          </c:dPt>
          <c:dPt>
            <c:idx val="11"/>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17-E7A0-43CE-B2B0-77C2077E8096}"/>
              </c:ext>
            </c:extLst>
          </c:dPt>
          <c:dLbls>
            <c:dLbl>
              <c:idx val="0"/>
              <c:layout>
                <c:manualLayout>
                  <c:x val="1.291238943766544E-3"/>
                  <c:y val="-0.403077165354330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A0-43CE-B2B0-77C2077E8096}"/>
                </c:ext>
              </c:extLst>
            </c:dLbl>
            <c:dLbl>
              <c:idx val="1"/>
              <c:delete val="1"/>
              <c:extLst>
                <c:ext xmlns:c15="http://schemas.microsoft.com/office/drawing/2012/chart" uri="{CE6537A1-D6FC-4f65-9D91-7224C49458BB}"/>
                <c:ext xmlns:c16="http://schemas.microsoft.com/office/drawing/2014/chart" uri="{C3380CC4-5D6E-409C-BE32-E72D297353CC}">
                  <c16:uniqueId val="{00000003-E7A0-43CE-B2B0-77C2077E8096}"/>
                </c:ext>
              </c:extLst>
            </c:dLbl>
            <c:dLbl>
              <c:idx val="2"/>
              <c:delete val="1"/>
              <c:extLst>
                <c:ext xmlns:c15="http://schemas.microsoft.com/office/drawing/2012/chart" uri="{CE6537A1-D6FC-4f65-9D91-7224C49458BB}"/>
                <c:ext xmlns:c16="http://schemas.microsoft.com/office/drawing/2014/chart" uri="{C3380CC4-5D6E-409C-BE32-E72D297353CC}">
                  <c16:uniqueId val="{00000005-E7A0-43CE-B2B0-77C2077E8096}"/>
                </c:ext>
              </c:extLst>
            </c:dLbl>
            <c:dLbl>
              <c:idx val="3"/>
              <c:delete val="1"/>
              <c:extLst>
                <c:ext xmlns:c15="http://schemas.microsoft.com/office/drawing/2012/chart" uri="{CE6537A1-D6FC-4f65-9D91-7224C49458BB}"/>
                <c:ext xmlns:c16="http://schemas.microsoft.com/office/drawing/2014/chart" uri="{C3380CC4-5D6E-409C-BE32-E72D297353CC}">
                  <c16:uniqueId val="{00000007-E7A0-43CE-B2B0-77C2077E8096}"/>
                </c:ext>
              </c:extLst>
            </c:dLbl>
            <c:dLbl>
              <c:idx val="4"/>
              <c:delete val="1"/>
              <c:extLst>
                <c:ext xmlns:c15="http://schemas.microsoft.com/office/drawing/2012/chart" uri="{CE6537A1-D6FC-4f65-9D91-7224C49458BB}"/>
                <c:ext xmlns:c16="http://schemas.microsoft.com/office/drawing/2014/chart" uri="{C3380CC4-5D6E-409C-BE32-E72D297353CC}">
                  <c16:uniqueId val="{00000009-E7A0-43CE-B2B0-77C2077E8096}"/>
                </c:ext>
              </c:extLst>
            </c:dLbl>
            <c:dLbl>
              <c:idx val="5"/>
              <c:delete val="1"/>
              <c:extLst>
                <c:ext xmlns:c15="http://schemas.microsoft.com/office/drawing/2012/chart" uri="{CE6537A1-D6FC-4f65-9D91-7224C49458BB}"/>
                <c:ext xmlns:c16="http://schemas.microsoft.com/office/drawing/2014/chart" uri="{C3380CC4-5D6E-409C-BE32-E72D297353CC}">
                  <c16:uniqueId val="{0000000B-E7A0-43CE-B2B0-77C2077E8096}"/>
                </c:ext>
              </c:extLst>
            </c:dLbl>
            <c:dLbl>
              <c:idx val="6"/>
              <c:delete val="1"/>
              <c:extLst>
                <c:ext xmlns:c15="http://schemas.microsoft.com/office/drawing/2012/chart" uri="{CE6537A1-D6FC-4f65-9D91-7224C49458BB}"/>
                <c:ext xmlns:c16="http://schemas.microsoft.com/office/drawing/2014/chart" uri="{C3380CC4-5D6E-409C-BE32-E72D297353CC}">
                  <c16:uniqueId val="{0000000D-E7A0-43CE-B2B0-77C2077E8096}"/>
                </c:ext>
              </c:extLst>
            </c:dLbl>
            <c:dLbl>
              <c:idx val="7"/>
              <c:delete val="1"/>
              <c:extLst>
                <c:ext xmlns:c15="http://schemas.microsoft.com/office/drawing/2012/chart" uri="{CE6537A1-D6FC-4f65-9D91-7224C49458BB}"/>
                <c:ext xmlns:c16="http://schemas.microsoft.com/office/drawing/2014/chart" uri="{C3380CC4-5D6E-409C-BE32-E72D297353CC}">
                  <c16:uniqueId val="{0000000F-E7A0-43CE-B2B0-77C2077E8096}"/>
                </c:ext>
              </c:extLst>
            </c:dLbl>
            <c:dLbl>
              <c:idx val="8"/>
              <c:layout>
                <c:manualLayout>
                  <c:x val="-2.5454691493023937E-3"/>
                  <c:y val="-0.340599212598425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7A0-43CE-B2B0-77C2077E8096}"/>
                </c:ext>
              </c:extLst>
            </c:dLbl>
            <c:dLbl>
              <c:idx val="9"/>
              <c:layout>
                <c:manualLayout>
                  <c:x val="-3.8367080930688429E-3"/>
                  <c:y val="-0.3574149606299212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7A0-43CE-B2B0-77C2077E8096}"/>
                </c:ext>
              </c:extLst>
            </c:dLbl>
            <c:numFmt formatCode="#,##0" sourceLinked="0"/>
            <c:spPr>
              <a:noFill/>
              <a:ln>
                <a:noFill/>
              </a:ln>
              <a:effectLst/>
            </c:spPr>
            <c:txPr>
              <a:bodyPr wrap="square" lIns="38100" tIns="19050" rIns="38100" bIns="19050" anchor="ctr">
                <a:spAutoFit/>
              </a:bodyPr>
              <a:lstStyle/>
              <a:p>
                <a:pPr>
                  <a:defRPr sz="1200" b="1">
                    <a:latin typeface="Arial" panose="020B0604020202020204" pitchFamily="34" charset="0"/>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INGRESOS!$B$6:$B$15</c:f>
              <c:strCache>
                <c:ptCount val="10"/>
                <c:pt idx="0">
                  <c:v>Ingresos marzo 2016</c:v>
                </c:pt>
                <c:pt idx="1">
                  <c:v>Cemento</c:v>
                </c:pt>
                <c:pt idx="2">
                  <c:v>Energía</c:v>
                </c:pt>
                <c:pt idx="3">
                  <c:v>Carbón</c:v>
                </c:pt>
                <c:pt idx="4">
                  <c:v>Inmobiliario</c:v>
                </c:pt>
                <c:pt idx="5">
                  <c:v>Concesiones</c:v>
                </c:pt>
                <c:pt idx="6">
                  <c:v>Corporativos</c:v>
                </c:pt>
                <c:pt idx="7">
                  <c:v>Portafolio</c:v>
                </c:pt>
                <c:pt idx="8">
                  <c:v>Ingresos marzo 2017</c:v>
                </c:pt>
                <c:pt idx="9">
                  <c:v>Ppto marzo 2017</c:v>
                </c:pt>
              </c:strCache>
            </c:strRef>
          </c:cat>
          <c:val>
            <c:numRef>
              <c:f>INGRESOS!$C$6:$C$15</c:f>
              <c:numCache>
                <c:formatCode>#,##0</c:formatCode>
                <c:ptCount val="10"/>
                <c:pt idx="0" formatCode="_(* #,##0_);_(* \(#,##0\);_(* &quot;-&quot;??_);_(@_)">
                  <c:v>4042625.358238644</c:v>
                </c:pt>
                <c:pt idx="1">
                  <c:v>3912532.9512966443</c:v>
                </c:pt>
                <c:pt idx="2">
                  <c:v>3292254.2236516448</c:v>
                </c:pt>
                <c:pt idx="3">
                  <c:v>3912532.9512966443</c:v>
                </c:pt>
                <c:pt idx="4">
                  <c:v>3901272.7359876442</c:v>
                </c:pt>
                <c:pt idx="5">
                  <c:v>3931334.9770166441</c:v>
                </c:pt>
                <c:pt idx="6">
                  <c:v>3962265.816844644</c:v>
                </c:pt>
                <c:pt idx="7">
                  <c:v>4058194.0334496442</c:v>
                </c:pt>
                <c:pt idx="8">
                  <c:v>3357193.7949299999</c:v>
                </c:pt>
                <c:pt idx="9" formatCode="_ * #,##0_ ;_ * \-#,##0_ ;_ * &quot;-&quot;??_ ;_ @_ ">
                  <c:v>3601676.0668914672</c:v>
                </c:pt>
              </c:numCache>
            </c:numRef>
          </c:val>
          <c:extLst>
            <c:ext xmlns:c16="http://schemas.microsoft.com/office/drawing/2014/chart" uri="{C3380CC4-5D6E-409C-BE32-E72D297353CC}">
              <c16:uniqueId val="{00000018-E7A0-43CE-B2B0-77C2077E8096}"/>
            </c:ext>
          </c:extLst>
        </c:ser>
        <c:ser>
          <c:idx val="1"/>
          <c:order val="1"/>
          <c:spPr>
            <a:solidFill>
              <a:srgbClr val="99CC00"/>
            </a:solidFill>
            <a:ln w="25400">
              <a:noFill/>
            </a:ln>
          </c:spPr>
          <c:invertIfNegative val="0"/>
          <c:dPt>
            <c:idx val="1"/>
            <c:invertIfNegative val="0"/>
            <c:bubble3D val="0"/>
            <c:spPr>
              <a:solidFill>
                <a:srgbClr val="6681A6"/>
              </a:solidFill>
              <a:ln w="25400">
                <a:noFill/>
              </a:ln>
            </c:spPr>
            <c:extLst>
              <c:ext xmlns:c16="http://schemas.microsoft.com/office/drawing/2014/chart" uri="{C3380CC4-5D6E-409C-BE32-E72D297353CC}">
                <c16:uniqueId val="{0000001A-E7A0-43CE-B2B0-77C2077E8096}"/>
              </c:ext>
            </c:extLst>
          </c:dPt>
          <c:dPt>
            <c:idx val="2"/>
            <c:invertIfNegative val="0"/>
            <c:bubble3D val="0"/>
            <c:spPr>
              <a:solidFill>
                <a:srgbClr val="99ABC3"/>
              </a:solidFill>
              <a:ln w="25400">
                <a:noFill/>
              </a:ln>
            </c:spPr>
            <c:extLst>
              <c:ext xmlns:c16="http://schemas.microsoft.com/office/drawing/2014/chart" uri="{C3380CC4-5D6E-409C-BE32-E72D297353CC}">
                <c16:uniqueId val="{0000001C-E7A0-43CE-B2B0-77C2077E8096}"/>
              </c:ext>
            </c:extLst>
          </c:dPt>
          <c:dPt>
            <c:idx val="3"/>
            <c:invertIfNegative val="0"/>
            <c:bubble3D val="0"/>
            <c:spPr>
              <a:solidFill>
                <a:srgbClr val="335788"/>
              </a:solidFill>
              <a:ln w="25400">
                <a:noFill/>
              </a:ln>
            </c:spPr>
            <c:extLst>
              <c:ext xmlns:c16="http://schemas.microsoft.com/office/drawing/2014/chart" uri="{C3380CC4-5D6E-409C-BE32-E72D297353CC}">
                <c16:uniqueId val="{0000001E-E7A0-43CE-B2B0-77C2077E8096}"/>
              </c:ext>
            </c:extLst>
          </c:dPt>
          <c:dPt>
            <c:idx val="4"/>
            <c:invertIfNegative val="0"/>
            <c:bubble3D val="0"/>
            <c:spPr>
              <a:solidFill>
                <a:srgbClr val="335788"/>
              </a:solidFill>
              <a:ln w="25400">
                <a:noFill/>
              </a:ln>
            </c:spPr>
            <c:extLst>
              <c:ext xmlns:c16="http://schemas.microsoft.com/office/drawing/2014/chart" uri="{C3380CC4-5D6E-409C-BE32-E72D297353CC}">
                <c16:uniqueId val="{00000020-E7A0-43CE-B2B0-77C2077E8096}"/>
              </c:ext>
            </c:extLst>
          </c:dPt>
          <c:dPt>
            <c:idx val="5"/>
            <c:invertIfNegative val="0"/>
            <c:bubble3D val="0"/>
            <c:spPr>
              <a:solidFill>
                <a:srgbClr val="B2C0D2"/>
              </a:solidFill>
              <a:ln w="25400">
                <a:noFill/>
              </a:ln>
            </c:spPr>
            <c:extLst>
              <c:ext xmlns:c16="http://schemas.microsoft.com/office/drawing/2014/chart" uri="{C3380CC4-5D6E-409C-BE32-E72D297353CC}">
                <c16:uniqueId val="{00000022-E7A0-43CE-B2B0-77C2077E8096}"/>
              </c:ext>
            </c:extLst>
          </c:dPt>
          <c:dPt>
            <c:idx val="6"/>
            <c:invertIfNegative val="0"/>
            <c:bubble3D val="0"/>
            <c:spPr>
              <a:solidFill>
                <a:srgbClr val="335788"/>
              </a:solidFill>
              <a:ln w="25400">
                <a:noFill/>
              </a:ln>
            </c:spPr>
            <c:extLst>
              <c:ext xmlns:c16="http://schemas.microsoft.com/office/drawing/2014/chart" uri="{C3380CC4-5D6E-409C-BE32-E72D297353CC}">
                <c16:uniqueId val="{00000024-E7A0-43CE-B2B0-77C2077E8096}"/>
              </c:ext>
            </c:extLst>
          </c:dPt>
          <c:dPt>
            <c:idx val="7"/>
            <c:invertIfNegative val="0"/>
            <c:bubble3D val="0"/>
            <c:spPr>
              <a:solidFill>
                <a:srgbClr val="6681A6"/>
              </a:solidFill>
              <a:ln w="25400">
                <a:noFill/>
              </a:ln>
            </c:spPr>
            <c:extLst>
              <c:ext xmlns:c16="http://schemas.microsoft.com/office/drawing/2014/chart" uri="{C3380CC4-5D6E-409C-BE32-E72D297353CC}">
                <c16:uniqueId val="{00000026-E7A0-43CE-B2B0-77C2077E8096}"/>
              </c:ext>
            </c:extLst>
          </c:dPt>
          <c:dPt>
            <c:idx val="8"/>
            <c:invertIfNegative val="0"/>
            <c:bubble3D val="0"/>
            <c:spPr>
              <a:solidFill>
                <a:srgbClr val="B2C0D2"/>
              </a:solidFill>
              <a:ln w="25400">
                <a:noFill/>
              </a:ln>
            </c:spPr>
            <c:extLst>
              <c:ext xmlns:c16="http://schemas.microsoft.com/office/drawing/2014/chart" uri="{C3380CC4-5D6E-409C-BE32-E72D297353CC}">
                <c16:uniqueId val="{00000028-E7A0-43CE-B2B0-77C2077E8096}"/>
              </c:ext>
            </c:extLst>
          </c:dPt>
          <c:dPt>
            <c:idx val="9"/>
            <c:invertIfNegative val="0"/>
            <c:bubble3D val="0"/>
            <c:spPr>
              <a:solidFill>
                <a:schemeClr val="tx2">
                  <a:lumMod val="40000"/>
                  <a:lumOff val="60000"/>
                </a:schemeClr>
              </a:solidFill>
              <a:ln w="25400">
                <a:noFill/>
              </a:ln>
            </c:spPr>
            <c:extLst>
              <c:ext xmlns:c16="http://schemas.microsoft.com/office/drawing/2014/chart" uri="{C3380CC4-5D6E-409C-BE32-E72D297353CC}">
                <c16:uniqueId val="{0000002A-E7A0-43CE-B2B0-77C2077E8096}"/>
              </c:ext>
            </c:extLst>
          </c:dPt>
          <c:dLbls>
            <c:dLbl>
              <c:idx val="1"/>
              <c:layout>
                <c:manualLayout>
                  <c:x val="3.8737168312996083E-3"/>
                  <c:y val="0.0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7A0-43CE-B2B0-77C2077E8096}"/>
                </c:ext>
              </c:extLst>
            </c:dLbl>
            <c:dLbl>
              <c:idx val="2"/>
              <c:layout>
                <c:manualLayout>
                  <c:x val="-1.291238943766544E-3"/>
                  <c:y val="9.96154855643044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7A0-43CE-B2B0-77C2077E8096}"/>
                </c:ext>
              </c:extLst>
            </c:dLbl>
            <c:dLbl>
              <c:idx val="3"/>
              <c:layout>
                <c:manualLayout>
                  <c:x val="9.8418842327985294E-5"/>
                  <c:y val="-3.5000000000000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7A0-43CE-B2B0-77C2077E8096}"/>
                </c:ext>
              </c:extLst>
            </c:dLbl>
            <c:dLbl>
              <c:idx val="4"/>
              <c:layout>
                <c:manualLayout>
                  <c:x val="1.291238943766544E-3"/>
                  <c:y val="4.1794750656167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7A0-43CE-B2B0-77C2077E8096}"/>
                </c:ext>
              </c:extLst>
            </c:dLbl>
            <c:dLbl>
              <c:idx val="5"/>
              <c:layout>
                <c:manualLayout>
                  <c:x val="-2.5824778875330879E-3"/>
                  <c:y val="-5.0769291338582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E7A0-43CE-B2B0-77C2077E8096}"/>
                </c:ext>
              </c:extLst>
            </c:dLbl>
            <c:dLbl>
              <c:idx val="6"/>
              <c:layout>
                <c:manualLayout>
                  <c:x val="0"/>
                  <c:y val="4.52564304461942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E7A0-43CE-B2B0-77C2077E8096}"/>
                </c:ext>
              </c:extLst>
            </c:dLbl>
            <c:dLbl>
              <c:idx val="7"/>
              <c:layout>
                <c:manualLayout>
                  <c:x val="-3.8737168312997267E-3"/>
                  <c:y val="-4.8717847769028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7A0-43CE-B2B0-77C2077E8096}"/>
                </c:ext>
              </c:extLst>
            </c:dLbl>
            <c:spPr>
              <a:noFill/>
              <a:ln>
                <a:noFill/>
              </a:ln>
              <a:effectLst/>
            </c:spPr>
            <c:txPr>
              <a:bodyPr wrap="square" lIns="38100" tIns="19050" rIns="38100" bIns="19050" anchor="ctr">
                <a:spAutoFit/>
              </a:bodyPr>
              <a:lstStyle/>
              <a:p>
                <a:pPr>
                  <a:defRPr sz="1200" b="1" i="0" baseline="0">
                    <a:latin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INGRESOS!$B$6:$B$15</c:f>
              <c:strCache>
                <c:ptCount val="10"/>
                <c:pt idx="0">
                  <c:v>Ingresos marzo 2016</c:v>
                </c:pt>
                <c:pt idx="1">
                  <c:v>Cemento</c:v>
                </c:pt>
                <c:pt idx="2">
                  <c:v>Energía</c:v>
                </c:pt>
                <c:pt idx="3">
                  <c:v>Carbón</c:v>
                </c:pt>
                <c:pt idx="4">
                  <c:v>Inmobiliario</c:v>
                </c:pt>
                <c:pt idx="5">
                  <c:v>Concesiones</c:v>
                </c:pt>
                <c:pt idx="6">
                  <c:v>Corporativos</c:v>
                </c:pt>
                <c:pt idx="7">
                  <c:v>Portafolio</c:v>
                </c:pt>
                <c:pt idx="8">
                  <c:v>Ingresos marzo 2017</c:v>
                </c:pt>
                <c:pt idx="9">
                  <c:v>Ppto marzo 2017</c:v>
                </c:pt>
              </c:strCache>
            </c:strRef>
          </c:cat>
          <c:val>
            <c:numRef>
              <c:f>INGRESOS!$D$6:$D$15</c:f>
              <c:numCache>
                <c:formatCode>_(* #,##0_);_(* \(#,##0\);_(* "-"??_);_(@_)</c:formatCode>
                <c:ptCount val="10"/>
                <c:pt idx="1">
                  <c:v>130092.40694199991</c:v>
                </c:pt>
                <c:pt idx="2">
                  <c:v>620278.72764499974</c:v>
                </c:pt>
                <c:pt idx="3">
                  <c:v>18802.025720000001</c:v>
                </c:pt>
                <c:pt idx="4">
                  <c:v>30062.241029000001</c:v>
                </c:pt>
                <c:pt idx="5">
                  <c:v>126859.05643299999</c:v>
                </c:pt>
                <c:pt idx="6">
                  <c:v>95928.216604999994</c:v>
                </c:pt>
                <c:pt idx="7">
                  <c:v>45268.946759355429</c:v>
                </c:pt>
              </c:numCache>
            </c:numRef>
          </c:val>
          <c:extLst>
            <c:ext xmlns:c16="http://schemas.microsoft.com/office/drawing/2014/chart" uri="{C3380CC4-5D6E-409C-BE32-E72D297353CC}">
              <c16:uniqueId val="{0000002B-E7A0-43CE-B2B0-77C2077E8096}"/>
            </c:ext>
          </c:extLst>
        </c:ser>
        <c:dLbls>
          <c:showLegendKey val="0"/>
          <c:showVal val="0"/>
          <c:showCatName val="0"/>
          <c:showSerName val="0"/>
          <c:showPercent val="0"/>
          <c:showBubbleSize val="0"/>
        </c:dLbls>
        <c:gapWidth val="140"/>
        <c:overlap val="100"/>
        <c:axId val="1060318624"/>
        <c:axId val="1060317840"/>
      </c:barChart>
      <c:catAx>
        <c:axId val="1060318624"/>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800" b="1" i="0" u="none" strike="noStrike" baseline="0">
                <a:solidFill>
                  <a:srgbClr val="000000"/>
                </a:solidFill>
                <a:latin typeface="Arial"/>
                <a:ea typeface="Arial"/>
                <a:cs typeface="Arial"/>
              </a:defRPr>
            </a:pPr>
            <a:endParaRPr lang="es-CO"/>
          </a:p>
        </c:txPr>
        <c:crossAx val="1060317840"/>
        <c:crosses val="autoZero"/>
        <c:auto val="1"/>
        <c:lblAlgn val="ctr"/>
        <c:lblOffset val="100"/>
        <c:noMultiLvlLbl val="0"/>
      </c:catAx>
      <c:valAx>
        <c:axId val="1060317840"/>
        <c:scaling>
          <c:orientation val="minMax"/>
        </c:scaling>
        <c:delete val="0"/>
        <c:axPos val="l"/>
        <c:numFmt formatCode="_(* #,##0_);_(* \(#,##0\);_(* &quot;-&quot;??_);_(@_)" sourceLinked="1"/>
        <c:majorTickMark val="out"/>
        <c:minorTickMark val="none"/>
        <c:tickLblPos val="nextTo"/>
        <c:crossAx val="1060318624"/>
        <c:crosses val="autoZero"/>
        <c:crossBetween val="between"/>
      </c:valAx>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333" l="0.70000000000000062" r="0.70000000000000062" t="0.750000000000003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Lit>
              <c:ptCount val="6"/>
              <c:pt idx="0">
                <c:v>Ppto a dic. 2011</c:v>
              </c:pt>
              <c:pt idx="1">
                <c:v>Colombia</c:v>
              </c:pt>
              <c:pt idx="2">
                <c:v>EE.UU.</c:v>
              </c:pt>
              <c:pt idx="3">
                <c:v>Caribe</c:v>
              </c:pt>
              <c:pt idx="4">
                <c:v>Otros</c:v>
              </c:pt>
              <c:pt idx="5">
                <c:v>Real a dic. 2011</c:v>
              </c:pt>
            </c:strLit>
          </c:cat>
          <c:val>
            <c:numLit>
              <c:formatCode>General</c:formatCode>
              <c:ptCount val="6"/>
              <c:pt idx="0">
                <c:v>1670.7905559040601</c:v>
              </c:pt>
              <c:pt idx="1">
                <c:v>1670.7905559040601</c:v>
              </c:pt>
              <c:pt idx="2">
                <c:v>1695.566309976133</c:v>
              </c:pt>
              <c:pt idx="3">
                <c:v>1663.1205314935889</c:v>
              </c:pt>
              <c:pt idx="4">
                <c:v>1636.1470000000645</c:v>
              </c:pt>
              <c:pt idx="5">
                <c:v>1636.1470000000645</c:v>
              </c:pt>
            </c:numLit>
          </c:val>
          <c:extLst>
            <c:ext xmlns:c16="http://schemas.microsoft.com/office/drawing/2014/chart" uri="{C3380CC4-5D6E-409C-BE32-E72D297353CC}">
              <c16:uniqueId val="{00000000-2D3C-4FAB-9BDB-CBFBB13254F8}"/>
            </c:ext>
          </c:extLst>
        </c:ser>
        <c:ser>
          <c:idx val="1"/>
          <c:order val="1"/>
          <c:invertIfNegative val="0"/>
          <c:dLbls>
            <c:dLbl>
              <c:idx val="1"/>
              <c:tx>
                <c:rich>
                  <a:bodyPr/>
                  <a:lstStyle/>
                  <a:p>
                    <a:pPr>
                      <a:defRPr sz="1200" b="1" i="0" u="none" strike="noStrike" baseline="0">
                        <a:solidFill>
                          <a:srgbClr val="000000"/>
                        </a:solidFill>
                        <a:latin typeface="Arial"/>
                        <a:ea typeface="Arial"/>
                        <a:cs typeface="Arial"/>
                      </a:defRPr>
                    </a:pPr>
                    <a:r>
                      <a:rPr lang="es-ES"/>
                      <a:t>+ 53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2D3C-4FAB-9BDB-CBFBB13254F8}"/>
                </c:ext>
              </c:extLst>
            </c:dLbl>
            <c:dLbl>
              <c:idx val="2"/>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3C-4FAB-9BDB-CBFBB13254F8}"/>
                </c:ext>
              </c:extLst>
            </c:dLbl>
            <c:dLbl>
              <c:idx val="3"/>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3C-4FAB-9BDB-CBFBB13254F8}"/>
                </c:ext>
              </c:extLst>
            </c:dLbl>
            <c:dLbl>
              <c:idx val="4"/>
              <c:tx>
                <c:rich>
                  <a:bodyPr/>
                  <a:lstStyle/>
                  <a:p>
                    <a:pPr>
                      <a:defRPr sz="1200" b="1" i="0" u="none" strike="noStrike" baseline="0">
                        <a:solidFill>
                          <a:srgbClr val="000000"/>
                        </a:solidFill>
                        <a:latin typeface="Arial"/>
                        <a:ea typeface="Arial"/>
                        <a:cs typeface="Arial"/>
                      </a:defRPr>
                    </a:pPr>
                    <a:r>
                      <a:rPr lang="es-ES"/>
                      <a:t>- 27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2D3C-4FAB-9BDB-CBFBB13254F8}"/>
                </c:ext>
              </c:extLst>
            </c:dLbl>
            <c:numFmt formatCode="&quot;-&quot;\ #,##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Ppto a dic. 2011</c:v>
              </c:pt>
              <c:pt idx="1">
                <c:v>Colombia</c:v>
              </c:pt>
              <c:pt idx="2">
                <c:v>EE.UU.</c:v>
              </c:pt>
              <c:pt idx="3">
                <c:v>Caribe</c:v>
              </c:pt>
              <c:pt idx="4">
                <c:v>Otros</c:v>
              </c:pt>
              <c:pt idx="5">
                <c:v>Real a dic. 2011</c:v>
              </c:pt>
            </c:strLit>
          </c:cat>
          <c:val>
            <c:numLit>
              <c:formatCode>General</c:formatCode>
              <c:ptCount val="6"/>
              <c:pt idx="1">
                <c:v>52.83612692600002</c:v>
              </c:pt>
              <c:pt idx="2">
                <c:v>28.060372853927049</c:v>
              </c:pt>
              <c:pt idx="3">
                <c:v>32.445778482543972</c:v>
              </c:pt>
              <c:pt idx="4">
                <c:v>26.973531493524405</c:v>
              </c:pt>
            </c:numLit>
          </c:val>
          <c:extLst>
            <c:ext xmlns:c16="http://schemas.microsoft.com/office/drawing/2014/chart" uri="{C3380CC4-5D6E-409C-BE32-E72D297353CC}">
              <c16:uniqueId val="{00000005-2D3C-4FAB-9BDB-CBFBB13254F8}"/>
            </c:ext>
          </c:extLst>
        </c:ser>
        <c:dLbls>
          <c:showLegendKey val="0"/>
          <c:showVal val="0"/>
          <c:showCatName val="0"/>
          <c:showSerName val="0"/>
          <c:showPercent val="0"/>
          <c:showBubbleSize val="0"/>
        </c:dLbls>
        <c:gapWidth val="150"/>
        <c:overlap val="100"/>
        <c:axId val="1060318232"/>
        <c:axId val="1060319016"/>
      </c:barChart>
      <c:catAx>
        <c:axId val="1060318232"/>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1100" b="1" i="0" u="none" strike="noStrike" baseline="0">
                <a:solidFill>
                  <a:srgbClr val="000000"/>
                </a:solidFill>
                <a:latin typeface="Arial"/>
                <a:ea typeface="Arial"/>
                <a:cs typeface="Arial"/>
              </a:defRPr>
            </a:pPr>
            <a:endParaRPr lang="es-CO"/>
          </a:p>
        </c:txPr>
        <c:crossAx val="1060319016"/>
        <c:crosses val="autoZero"/>
        <c:auto val="1"/>
        <c:lblAlgn val="ctr"/>
        <c:lblOffset val="100"/>
        <c:noMultiLvlLbl val="0"/>
      </c:catAx>
      <c:valAx>
        <c:axId val="1060319016"/>
        <c:scaling>
          <c:orientation val="minMax"/>
          <c:max val="1800"/>
          <c:min val="0"/>
        </c:scaling>
        <c:delete val="0"/>
        <c:axPos val="l"/>
        <c:numFmt formatCode="General" sourceLinked="1"/>
        <c:majorTickMark val="none"/>
        <c:minorTickMark val="none"/>
        <c:tickLblPos val="none"/>
        <c:spPr>
          <a:ln>
            <a:solidFill>
              <a:schemeClr val="bg1"/>
            </a:solidFill>
          </a:ln>
        </c:spPr>
        <c:crossAx val="1060318232"/>
        <c:crosses val="autoZero"/>
        <c:crossBetween val="between"/>
        <c:majorUnit val="10"/>
        <c:minorUnit val="3.6"/>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Lit>
              <c:ptCount val="6"/>
              <c:pt idx="0">
                <c:v>Ppto a dic. 2011</c:v>
              </c:pt>
              <c:pt idx="1">
                <c:v>Colombia</c:v>
              </c:pt>
              <c:pt idx="2">
                <c:v>EE.UU.</c:v>
              </c:pt>
              <c:pt idx="3">
                <c:v>Caribe</c:v>
              </c:pt>
              <c:pt idx="4">
                <c:v>Otros</c:v>
              </c:pt>
              <c:pt idx="5">
                <c:v>Real a dic. 2011</c:v>
              </c:pt>
            </c:strLit>
          </c:cat>
          <c:val>
            <c:numLit>
              <c:formatCode>General</c:formatCode>
              <c:ptCount val="6"/>
              <c:pt idx="0">
                <c:v>258.56819704383702</c:v>
              </c:pt>
              <c:pt idx="1">
                <c:v>258.56819704383702</c:v>
              </c:pt>
              <c:pt idx="2">
                <c:v>280.35849533998254</c:v>
              </c:pt>
              <c:pt idx="3">
                <c:v>280.35849533998254</c:v>
              </c:pt>
              <c:pt idx="4">
                <c:v>293.47761679224243</c:v>
              </c:pt>
              <c:pt idx="5">
                <c:v>295.27193766328725</c:v>
              </c:pt>
            </c:numLit>
          </c:val>
          <c:extLst>
            <c:ext xmlns:c16="http://schemas.microsoft.com/office/drawing/2014/chart" uri="{C3380CC4-5D6E-409C-BE32-E72D297353CC}">
              <c16:uniqueId val="{00000000-7305-42D6-AC99-44FF1FCAD549}"/>
            </c:ext>
          </c:extLst>
        </c:ser>
        <c:ser>
          <c:idx val="1"/>
          <c:order val="1"/>
          <c:invertIfNegative val="0"/>
          <c:dLbls>
            <c:dLbl>
              <c:idx val="1"/>
              <c:tx>
                <c:rich>
                  <a:bodyPr/>
                  <a:lstStyle/>
                  <a:p>
                    <a:pPr>
                      <a:defRPr sz="1200" b="1" i="0" u="none" strike="noStrike" baseline="0">
                        <a:solidFill>
                          <a:srgbClr val="000000"/>
                        </a:solidFill>
                        <a:latin typeface="Arial"/>
                        <a:ea typeface="Arial"/>
                        <a:cs typeface="Arial"/>
                      </a:defRPr>
                    </a:pPr>
                    <a:r>
                      <a:rPr lang="es-ES"/>
                      <a:t>+ 31</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7305-42D6-AC99-44FF1FCAD549}"/>
                </c:ext>
              </c:extLst>
            </c:dLbl>
            <c:dLbl>
              <c:idx val="2"/>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05-42D6-AC99-44FF1FCAD549}"/>
                </c:ext>
              </c:extLst>
            </c:dLbl>
            <c:dLbl>
              <c:idx val="3"/>
              <c:tx>
                <c:rich>
                  <a:bodyPr/>
                  <a:lstStyle/>
                  <a:p>
                    <a:pPr>
                      <a:defRPr sz="1200" b="1" i="0" u="none" strike="noStrike" baseline="0">
                        <a:solidFill>
                          <a:srgbClr val="000000"/>
                        </a:solidFill>
                        <a:latin typeface="Arial"/>
                        <a:ea typeface="Arial"/>
                        <a:cs typeface="Arial"/>
                      </a:defRPr>
                    </a:pPr>
                    <a:r>
                      <a:rPr lang="es-ES"/>
                      <a:t>+ 13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7305-42D6-AC99-44FF1FCAD549}"/>
                </c:ext>
              </c:extLst>
            </c:dLbl>
            <c:dLbl>
              <c:idx val="4"/>
              <c:tx>
                <c:rich>
                  <a:bodyPr/>
                  <a:lstStyle/>
                  <a:p>
                    <a:pPr>
                      <a:defRPr sz="1200" b="1" i="0" u="none" strike="noStrike" baseline="0">
                        <a:solidFill>
                          <a:srgbClr val="000000"/>
                        </a:solidFill>
                        <a:latin typeface="Arial"/>
                        <a:ea typeface="Arial"/>
                        <a:cs typeface="Arial"/>
                      </a:defRPr>
                    </a:pPr>
                    <a:r>
                      <a:rPr lang="es-ES"/>
                      <a:t>+ 2</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7305-42D6-AC99-44FF1FCAD549}"/>
                </c:ext>
              </c:extLst>
            </c:dLbl>
            <c:numFmt formatCode="&quot;-&quot;\ #,##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Ppto a dic. 2011</c:v>
              </c:pt>
              <c:pt idx="1">
                <c:v>Colombia</c:v>
              </c:pt>
              <c:pt idx="2">
                <c:v>EE.UU.</c:v>
              </c:pt>
              <c:pt idx="3">
                <c:v>Caribe</c:v>
              </c:pt>
              <c:pt idx="4">
                <c:v>Otros</c:v>
              </c:pt>
              <c:pt idx="5">
                <c:v>Real a dic. 2011</c:v>
              </c:pt>
            </c:strLit>
          </c:cat>
          <c:val>
            <c:numLit>
              <c:formatCode>General</c:formatCode>
              <c:ptCount val="6"/>
              <c:pt idx="1">
                <c:v>30.899603648679999</c:v>
              </c:pt>
              <c:pt idx="2">
                <c:v>9.1093053525344594</c:v>
              </c:pt>
              <c:pt idx="3">
                <c:v>13.11912145225989</c:v>
              </c:pt>
              <c:pt idx="4">
                <c:v>1.7943208710448033</c:v>
              </c:pt>
            </c:numLit>
          </c:val>
          <c:extLst>
            <c:ext xmlns:c16="http://schemas.microsoft.com/office/drawing/2014/chart" uri="{C3380CC4-5D6E-409C-BE32-E72D297353CC}">
              <c16:uniqueId val="{00000005-7305-42D6-AC99-44FF1FCAD549}"/>
            </c:ext>
          </c:extLst>
        </c:ser>
        <c:dLbls>
          <c:showLegendKey val="0"/>
          <c:showVal val="0"/>
          <c:showCatName val="0"/>
          <c:showSerName val="0"/>
          <c:showPercent val="0"/>
          <c:showBubbleSize val="0"/>
        </c:dLbls>
        <c:gapWidth val="150"/>
        <c:overlap val="100"/>
        <c:axId val="1060320192"/>
        <c:axId val="615874032"/>
      </c:barChart>
      <c:catAx>
        <c:axId val="1060320192"/>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1100" b="1" i="0" u="none" strike="noStrike" baseline="0">
                <a:solidFill>
                  <a:srgbClr val="000000"/>
                </a:solidFill>
                <a:latin typeface="Arial"/>
                <a:ea typeface="Arial"/>
                <a:cs typeface="Arial"/>
              </a:defRPr>
            </a:pPr>
            <a:endParaRPr lang="es-CO"/>
          </a:p>
        </c:txPr>
        <c:crossAx val="615874032"/>
        <c:crosses val="autoZero"/>
        <c:auto val="1"/>
        <c:lblAlgn val="ctr"/>
        <c:lblOffset val="100"/>
        <c:noMultiLvlLbl val="0"/>
      </c:catAx>
      <c:valAx>
        <c:axId val="615874032"/>
        <c:scaling>
          <c:orientation val="minMax"/>
          <c:max val="340"/>
          <c:min val="0"/>
        </c:scaling>
        <c:delete val="0"/>
        <c:axPos val="l"/>
        <c:numFmt formatCode="General" sourceLinked="1"/>
        <c:majorTickMark val="none"/>
        <c:minorTickMark val="none"/>
        <c:tickLblPos val="none"/>
        <c:spPr>
          <a:ln>
            <a:solidFill>
              <a:schemeClr val="bg1"/>
            </a:solidFill>
          </a:ln>
        </c:spPr>
        <c:crossAx val="1060320192"/>
        <c:crosses val="autoZero"/>
        <c:crossBetween val="between"/>
        <c:majorUnit val="5"/>
        <c:minorUnit val="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377" l="0.70000000000000062" r="0.70000000000000062" t="0.75000000000000377"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15615291110197E-2"/>
          <c:y val="9.9378199076010545E-2"/>
          <c:w val="0.9205573935161"/>
          <c:h val="0.81065307059455094"/>
        </c:manualLayout>
      </c:layout>
      <c:barChart>
        <c:barDir val="col"/>
        <c:grouping val="stacked"/>
        <c:varyColors val="0"/>
        <c:ser>
          <c:idx val="0"/>
          <c:order val="0"/>
          <c:spPr>
            <a:solidFill>
              <a:srgbClr val="FFFFFF"/>
            </a:solidFill>
            <a:ln w="25400">
              <a:noFill/>
            </a:ln>
            <a:effectLst/>
            <a:scene3d>
              <a:camera prst="orthographicFront"/>
              <a:lightRig rig="threePt" dir="t"/>
            </a:scene3d>
            <a:sp3d prstMaterial="matte"/>
          </c:spPr>
          <c:invertIfNegative val="0"/>
          <c:dPt>
            <c:idx val="0"/>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01-6C27-4522-ADBE-9BEE2AF54E8E}"/>
              </c:ext>
            </c:extLst>
          </c:dPt>
          <c:dPt>
            <c:idx val="1"/>
            <c:invertIfNegative val="0"/>
            <c:bubble3D val="0"/>
            <c:spPr>
              <a:noFill/>
              <a:ln w="25400">
                <a:noFill/>
              </a:ln>
            </c:spPr>
            <c:extLst>
              <c:ext xmlns:c16="http://schemas.microsoft.com/office/drawing/2014/chart" uri="{C3380CC4-5D6E-409C-BE32-E72D297353CC}">
                <c16:uniqueId val="{00000003-6C27-4522-ADBE-9BEE2AF54E8E}"/>
              </c:ext>
            </c:extLst>
          </c:dPt>
          <c:dPt>
            <c:idx val="2"/>
            <c:invertIfNegative val="0"/>
            <c:bubble3D val="0"/>
            <c:spPr>
              <a:noFill/>
              <a:ln w="25400">
                <a:noFill/>
              </a:ln>
            </c:spPr>
            <c:extLst>
              <c:ext xmlns:c16="http://schemas.microsoft.com/office/drawing/2014/chart" uri="{C3380CC4-5D6E-409C-BE32-E72D297353CC}">
                <c16:uniqueId val="{00000005-6C27-4522-ADBE-9BEE2AF54E8E}"/>
              </c:ext>
            </c:extLst>
          </c:dPt>
          <c:dPt>
            <c:idx val="3"/>
            <c:invertIfNegative val="0"/>
            <c:bubble3D val="0"/>
            <c:spPr>
              <a:noFill/>
              <a:ln w="25400">
                <a:noFill/>
              </a:ln>
            </c:spPr>
            <c:extLst>
              <c:ext xmlns:c16="http://schemas.microsoft.com/office/drawing/2014/chart" uri="{C3380CC4-5D6E-409C-BE32-E72D297353CC}">
                <c16:uniqueId val="{00000007-6C27-4522-ADBE-9BEE2AF54E8E}"/>
              </c:ext>
            </c:extLst>
          </c:dPt>
          <c:dPt>
            <c:idx val="4"/>
            <c:invertIfNegative val="0"/>
            <c:bubble3D val="0"/>
            <c:spPr>
              <a:noFill/>
              <a:ln w="25400">
                <a:noFill/>
              </a:ln>
            </c:spPr>
            <c:extLst>
              <c:ext xmlns:c16="http://schemas.microsoft.com/office/drawing/2014/chart" uri="{C3380CC4-5D6E-409C-BE32-E72D297353CC}">
                <c16:uniqueId val="{00000009-6C27-4522-ADBE-9BEE2AF54E8E}"/>
              </c:ext>
            </c:extLst>
          </c:dPt>
          <c:dPt>
            <c:idx val="5"/>
            <c:invertIfNegative val="0"/>
            <c:bubble3D val="0"/>
            <c:spPr>
              <a:noFill/>
              <a:ln w="25400">
                <a:noFill/>
              </a:ln>
            </c:spPr>
            <c:extLst>
              <c:ext xmlns:c16="http://schemas.microsoft.com/office/drawing/2014/chart" uri="{C3380CC4-5D6E-409C-BE32-E72D297353CC}">
                <c16:uniqueId val="{0000000B-6C27-4522-ADBE-9BEE2AF54E8E}"/>
              </c:ext>
            </c:extLst>
          </c:dPt>
          <c:dPt>
            <c:idx val="6"/>
            <c:invertIfNegative val="0"/>
            <c:bubble3D val="0"/>
            <c:spPr>
              <a:noFill/>
              <a:ln w="25400">
                <a:noFill/>
              </a:ln>
            </c:spPr>
            <c:extLst>
              <c:ext xmlns:c16="http://schemas.microsoft.com/office/drawing/2014/chart" uri="{C3380CC4-5D6E-409C-BE32-E72D297353CC}">
                <c16:uniqueId val="{0000000D-6C27-4522-ADBE-9BEE2AF54E8E}"/>
              </c:ext>
            </c:extLst>
          </c:dPt>
          <c:dPt>
            <c:idx val="7"/>
            <c:invertIfNegative val="0"/>
            <c:bubble3D val="0"/>
            <c:spPr>
              <a:noFill/>
              <a:ln w="25400">
                <a:noFill/>
              </a:ln>
            </c:spPr>
            <c:extLst>
              <c:ext xmlns:c16="http://schemas.microsoft.com/office/drawing/2014/chart" uri="{C3380CC4-5D6E-409C-BE32-E72D297353CC}">
                <c16:uniqueId val="{0000000F-6C27-4522-ADBE-9BEE2AF54E8E}"/>
              </c:ext>
            </c:extLst>
          </c:dPt>
          <c:dPt>
            <c:idx val="8"/>
            <c:invertIfNegative val="0"/>
            <c:bubble3D val="0"/>
            <c:spPr>
              <a:solidFill>
                <a:schemeClr val="tx2">
                  <a:lumMod val="50000"/>
                </a:schemeClr>
              </a:solidFill>
              <a:ln w="25400">
                <a:noFill/>
              </a:ln>
            </c:spPr>
            <c:extLst>
              <c:ext xmlns:c16="http://schemas.microsoft.com/office/drawing/2014/chart" uri="{C3380CC4-5D6E-409C-BE32-E72D297353CC}">
                <c16:uniqueId val="{00000011-6C27-4522-ADBE-9BEE2AF54E8E}"/>
              </c:ext>
            </c:extLst>
          </c:dPt>
          <c:dPt>
            <c:idx val="9"/>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13-6C27-4522-ADBE-9BEE2AF54E8E}"/>
              </c:ext>
            </c:extLst>
          </c:dPt>
          <c:dPt>
            <c:idx val="10"/>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15-6C27-4522-ADBE-9BEE2AF54E8E}"/>
              </c:ext>
            </c:extLst>
          </c:dPt>
          <c:dPt>
            <c:idx val="11"/>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17-6C27-4522-ADBE-9BEE2AF54E8E}"/>
              </c:ext>
            </c:extLst>
          </c:dPt>
          <c:dLbls>
            <c:dLbl>
              <c:idx val="0"/>
              <c:layout>
                <c:manualLayout>
                  <c:x val="0"/>
                  <c:y val="-0.416880807254742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27-4522-ADBE-9BEE2AF54E8E}"/>
                </c:ext>
              </c:extLst>
            </c:dLbl>
            <c:dLbl>
              <c:idx val="8"/>
              <c:layout>
                <c:manualLayout>
                  <c:x val="-2.76321829690933E-3"/>
                  <c:y val="-0.4034439940947805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C27-4522-ADBE-9BEE2AF54E8E}"/>
                </c:ext>
              </c:extLst>
            </c:dLbl>
            <c:dLbl>
              <c:idx val="9"/>
              <c:layout>
                <c:manualLayout>
                  <c:x val="-1.4342519732193119E-3"/>
                  <c:y val="-0.3516910278410076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C27-4522-ADBE-9BEE2AF54E8E}"/>
                </c:ext>
              </c:extLst>
            </c:dLbl>
            <c:spPr>
              <a:noFill/>
              <a:ln>
                <a:noFill/>
              </a:ln>
              <a:effectLst/>
            </c:spPr>
            <c:txPr>
              <a:bodyPr wrap="square" lIns="38100" tIns="19050" rIns="38100" bIns="19050" anchor="ctr">
                <a:spAutoFit/>
              </a:bodyPr>
              <a:lstStyle/>
              <a:p>
                <a:pPr>
                  <a:defRPr sz="1100" b="1">
                    <a:latin typeface="Arial" panose="020B0604020202020204" pitchFamily="34" charset="0"/>
                    <a:cs typeface="Arial" panose="020B0604020202020204" pitchFamily="34" charset="0"/>
                  </a:defRPr>
                </a:pPr>
                <a:endParaRPr lang="es-CO"/>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'EBITDA '!$B$6:$B$15</c:f>
              <c:strCache>
                <c:ptCount val="10"/>
                <c:pt idx="0">
                  <c:v>EBITDA marzo 2016</c:v>
                </c:pt>
                <c:pt idx="1">
                  <c:v>Cemento</c:v>
                </c:pt>
                <c:pt idx="2">
                  <c:v>Energía</c:v>
                </c:pt>
                <c:pt idx="3">
                  <c:v>Carbón</c:v>
                </c:pt>
                <c:pt idx="4">
                  <c:v>Inmobiliario</c:v>
                </c:pt>
                <c:pt idx="5">
                  <c:v>Concesiones</c:v>
                </c:pt>
                <c:pt idx="6">
                  <c:v>Corporativos</c:v>
                </c:pt>
                <c:pt idx="7">
                  <c:v>Portafolio</c:v>
                </c:pt>
                <c:pt idx="8">
                  <c:v>EBITDA marzo 2017</c:v>
                </c:pt>
                <c:pt idx="9">
                  <c:v>Ppto marzo 2017</c:v>
                </c:pt>
              </c:strCache>
            </c:strRef>
          </c:cat>
          <c:val>
            <c:numRef>
              <c:f>'EBITDA '!$C$6:$C$15</c:f>
              <c:numCache>
                <c:formatCode>#,##0</c:formatCode>
                <c:ptCount val="10"/>
                <c:pt idx="0">
                  <c:v>948782.45979364519</c:v>
                </c:pt>
                <c:pt idx="1">
                  <c:v>797252.67539764522</c:v>
                </c:pt>
                <c:pt idx="2">
                  <c:v>806731.25274764514</c:v>
                </c:pt>
                <c:pt idx="3">
                  <c:v>816209.83009764506</c:v>
                </c:pt>
                <c:pt idx="4">
                  <c:v>787866.40777764504</c:v>
                </c:pt>
                <c:pt idx="5">
                  <c:v>821526.05038964504</c:v>
                </c:pt>
                <c:pt idx="6">
                  <c:v>869900.26562164514</c:v>
                </c:pt>
                <c:pt idx="7">
                  <c:v>870699.72051564511</c:v>
                </c:pt>
                <c:pt idx="8">
                  <c:v>854519.83163400029</c:v>
                </c:pt>
                <c:pt idx="9" formatCode="_ * #,##0_ ;_ * \-#,##0_ ;_ * &quot;-&quot;??_ ;_ @_ ">
                  <c:v>784644.17569244921</c:v>
                </c:pt>
              </c:numCache>
            </c:numRef>
          </c:val>
          <c:extLst>
            <c:ext xmlns:c16="http://schemas.microsoft.com/office/drawing/2014/chart" uri="{C3380CC4-5D6E-409C-BE32-E72D297353CC}">
              <c16:uniqueId val="{00000018-6C27-4522-ADBE-9BEE2AF54E8E}"/>
            </c:ext>
          </c:extLst>
        </c:ser>
        <c:ser>
          <c:idx val="1"/>
          <c:order val="1"/>
          <c:spPr>
            <a:solidFill>
              <a:srgbClr val="99CC00"/>
            </a:solidFill>
            <a:ln w="25400">
              <a:noFill/>
            </a:ln>
          </c:spPr>
          <c:invertIfNegative val="0"/>
          <c:dPt>
            <c:idx val="1"/>
            <c:invertIfNegative val="0"/>
            <c:bubble3D val="0"/>
            <c:spPr>
              <a:solidFill>
                <a:srgbClr val="6681A6"/>
              </a:solidFill>
              <a:ln w="25400">
                <a:noFill/>
              </a:ln>
            </c:spPr>
            <c:extLst>
              <c:ext xmlns:c16="http://schemas.microsoft.com/office/drawing/2014/chart" uri="{C3380CC4-5D6E-409C-BE32-E72D297353CC}">
                <c16:uniqueId val="{0000001A-6C27-4522-ADBE-9BEE2AF54E8E}"/>
              </c:ext>
            </c:extLst>
          </c:dPt>
          <c:dPt>
            <c:idx val="2"/>
            <c:invertIfNegative val="0"/>
            <c:bubble3D val="0"/>
            <c:spPr>
              <a:solidFill>
                <a:srgbClr val="99ABC3"/>
              </a:solidFill>
              <a:ln w="25400">
                <a:noFill/>
              </a:ln>
            </c:spPr>
            <c:extLst>
              <c:ext xmlns:c16="http://schemas.microsoft.com/office/drawing/2014/chart" uri="{C3380CC4-5D6E-409C-BE32-E72D297353CC}">
                <c16:uniqueId val="{0000001C-6C27-4522-ADBE-9BEE2AF54E8E}"/>
              </c:ext>
            </c:extLst>
          </c:dPt>
          <c:dPt>
            <c:idx val="3"/>
            <c:invertIfNegative val="0"/>
            <c:bubble3D val="0"/>
            <c:spPr>
              <a:solidFill>
                <a:srgbClr val="335788"/>
              </a:solidFill>
              <a:ln w="25400">
                <a:noFill/>
              </a:ln>
            </c:spPr>
            <c:extLst>
              <c:ext xmlns:c16="http://schemas.microsoft.com/office/drawing/2014/chart" uri="{C3380CC4-5D6E-409C-BE32-E72D297353CC}">
                <c16:uniqueId val="{0000001E-6C27-4522-ADBE-9BEE2AF54E8E}"/>
              </c:ext>
            </c:extLst>
          </c:dPt>
          <c:dPt>
            <c:idx val="4"/>
            <c:invertIfNegative val="0"/>
            <c:bubble3D val="0"/>
            <c:spPr>
              <a:solidFill>
                <a:srgbClr val="335788"/>
              </a:solidFill>
              <a:ln w="25400">
                <a:noFill/>
              </a:ln>
            </c:spPr>
            <c:extLst>
              <c:ext xmlns:c16="http://schemas.microsoft.com/office/drawing/2014/chart" uri="{C3380CC4-5D6E-409C-BE32-E72D297353CC}">
                <c16:uniqueId val="{00000020-6C27-4522-ADBE-9BEE2AF54E8E}"/>
              </c:ext>
            </c:extLst>
          </c:dPt>
          <c:dPt>
            <c:idx val="5"/>
            <c:invertIfNegative val="0"/>
            <c:bubble3D val="0"/>
            <c:spPr>
              <a:solidFill>
                <a:srgbClr val="B2C0D2"/>
              </a:solidFill>
              <a:ln w="25400">
                <a:noFill/>
              </a:ln>
            </c:spPr>
            <c:extLst>
              <c:ext xmlns:c16="http://schemas.microsoft.com/office/drawing/2014/chart" uri="{C3380CC4-5D6E-409C-BE32-E72D297353CC}">
                <c16:uniqueId val="{00000022-6C27-4522-ADBE-9BEE2AF54E8E}"/>
              </c:ext>
            </c:extLst>
          </c:dPt>
          <c:dPt>
            <c:idx val="6"/>
            <c:invertIfNegative val="0"/>
            <c:bubble3D val="0"/>
            <c:spPr>
              <a:solidFill>
                <a:srgbClr val="335788"/>
              </a:solidFill>
              <a:ln w="25400">
                <a:noFill/>
              </a:ln>
            </c:spPr>
            <c:extLst>
              <c:ext xmlns:c16="http://schemas.microsoft.com/office/drawing/2014/chart" uri="{C3380CC4-5D6E-409C-BE32-E72D297353CC}">
                <c16:uniqueId val="{00000024-6C27-4522-ADBE-9BEE2AF54E8E}"/>
              </c:ext>
            </c:extLst>
          </c:dPt>
          <c:dPt>
            <c:idx val="7"/>
            <c:invertIfNegative val="0"/>
            <c:bubble3D val="0"/>
            <c:spPr>
              <a:solidFill>
                <a:srgbClr val="6681A6"/>
              </a:solidFill>
              <a:ln w="25400">
                <a:noFill/>
              </a:ln>
            </c:spPr>
            <c:extLst>
              <c:ext xmlns:c16="http://schemas.microsoft.com/office/drawing/2014/chart" uri="{C3380CC4-5D6E-409C-BE32-E72D297353CC}">
                <c16:uniqueId val="{00000026-6C27-4522-ADBE-9BEE2AF54E8E}"/>
              </c:ext>
            </c:extLst>
          </c:dPt>
          <c:dPt>
            <c:idx val="8"/>
            <c:invertIfNegative val="0"/>
            <c:bubble3D val="0"/>
            <c:spPr>
              <a:solidFill>
                <a:srgbClr val="B2C0D2"/>
              </a:solidFill>
              <a:ln w="25400">
                <a:noFill/>
              </a:ln>
            </c:spPr>
            <c:extLst>
              <c:ext xmlns:c16="http://schemas.microsoft.com/office/drawing/2014/chart" uri="{C3380CC4-5D6E-409C-BE32-E72D297353CC}">
                <c16:uniqueId val="{00000028-6C27-4522-ADBE-9BEE2AF54E8E}"/>
              </c:ext>
            </c:extLst>
          </c:dPt>
          <c:dPt>
            <c:idx val="9"/>
            <c:invertIfNegative val="0"/>
            <c:bubble3D val="0"/>
            <c:spPr>
              <a:solidFill>
                <a:schemeClr val="tx2">
                  <a:lumMod val="40000"/>
                  <a:lumOff val="60000"/>
                </a:schemeClr>
              </a:solidFill>
              <a:ln w="25400">
                <a:noFill/>
              </a:ln>
            </c:spPr>
            <c:extLst>
              <c:ext xmlns:c16="http://schemas.microsoft.com/office/drawing/2014/chart" uri="{C3380CC4-5D6E-409C-BE32-E72D297353CC}">
                <c16:uniqueId val="{0000002A-6C27-4522-ADBE-9BEE2AF54E8E}"/>
              </c:ext>
            </c:extLst>
          </c:dPt>
          <c:dLbls>
            <c:dLbl>
              <c:idx val="1"/>
              <c:layout>
                <c:manualLayout>
                  <c:x val="-2.9756540223386407E-4"/>
                  <c:y val="8.7912301298445031E-2"/>
                </c:manualLayout>
              </c:layout>
              <c:spPr/>
              <c:txPr>
                <a:bodyPr/>
                <a:lstStyle/>
                <a:p>
                  <a:pPr>
                    <a:defRPr sz="11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C27-4522-ADBE-9BEE2AF54E8E}"/>
                </c:ext>
              </c:extLst>
            </c:dLbl>
            <c:dLbl>
              <c:idx val="2"/>
              <c:layout>
                <c:manualLayout>
                  <c:x val="4.4029912370818211E-4"/>
                  <c:y val="3.7510109250758226E-2"/>
                </c:manualLayout>
              </c:layout>
              <c:spPr/>
              <c:txPr>
                <a:bodyPr/>
                <a:lstStyle/>
                <a:p>
                  <a:pPr>
                    <a:defRPr sz="11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C27-4522-ADBE-9BEE2AF54E8E}"/>
                </c:ext>
              </c:extLst>
            </c:dLbl>
            <c:dLbl>
              <c:idx val="3"/>
              <c:layout>
                <c:manualLayout>
                  <c:x val="-1.1099045220902758E-7"/>
                  <c:y val="-3.5540215793470567E-2"/>
                </c:manualLayout>
              </c:layout>
              <c:spPr/>
              <c:txPr>
                <a:bodyPr/>
                <a:lstStyle/>
                <a:p>
                  <a:pPr>
                    <a:defRPr sz="11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C27-4522-ADBE-9BEE2AF54E8E}"/>
                </c:ext>
              </c:extLst>
            </c:dLbl>
            <c:dLbl>
              <c:idx val="4"/>
              <c:layout>
                <c:manualLayout>
                  <c:x val="-2.8203739413062349E-3"/>
                  <c:y val="4.4621358081820564E-2"/>
                </c:manualLayout>
              </c:layout>
              <c:spPr/>
              <c:txPr>
                <a:bodyPr/>
                <a:lstStyle/>
                <a:p>
                  <a:pPr>
                    <a:defRPr sz="11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C27-4522-ADBE-9BEE2AF54E8E}"/>
                </c:ext>
              </c:extLst>
            </c:dLbl>
            <c:dLbl>
              <c:idx val="5"/>
              <c:layout>
                <c:manualLayout>
                  <c:x val="-5.7971014492754682E-3"/>
                  <c:y val="-7.966617647971308E-2"/>
                </c:manualLayout>
              </c:layout>
              <c:spPr/>
              <c:txPr>
                <a:bodyPr/>
                <a:lstStyle/>
                <a:p>
                  <a:pPr>
                    <a:defRPr sz="11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C27-4522-ADBE-9BEE2AF54E8E}"/>
                </c:ext>
              </c:extLst>
            </c:dLbl>
            <c:dLbl>
              <c:idx val="6"/>
              <c:layout>
                <c:manualLayout>
                  <c:x val="1.8882709617262215E-3"/>
                  <c:y val="-3.7719177086267736E-2"/>
                </c:manualLayout>
              </c:layout>
              <c:spPr>
                <a:noFill/>
                <a:ln w="25400">
                  <a:noFill/>
                </a:ln>
                <a:effectLst/>
              </c:spPr>
              <c:txPr>
                <a:bodyPr wrap="square" lIns="38100" tIns="19050" rIns="38100" bIns="19050" anchor="ctr">
                  <a:spAutoFit/>
                </a:bodyPr>
                <a:lstStyle/>
                <a:p>
                  <a:pPr>
                    <a:defRPr sz="11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C27-4522-ADBE-9BEE2AF54E8E}"/>
                </c:ext>
              </c:extLst>
            </c:dLbl>
            <c:dLbl>
              <c:idx val="7"/>
              <c:layout>
                <c:manualLayout>
                  <c:x val="-3.9687965882423968E-3"/>
                  <c:y val="-5.6529670683776352E-2"/>
                </c:manualLayout>
              </c:layout>
              <c:spPr/>
              <c:txPr>
                <a:bodyPr/>
                <a:lstStyle/>
                <a:p>
                  <a:pPr>
                    <a:defRPr sz="11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C27-4522-ADBE-9BEE2AF54E8E}"/>
                </c:ext>
              </c:extLst>
            </c:dLbl>
            <c:dLbl>
              <c:idx val="8"/>
              <c:layout>
                <c:manualLayout>
                  <c:x val="1.5921292621651554E-6"/>
                  <c:y val="4.4630404463040445E-2"/>
                </c:manualLayout>
              </c:layout>
              <c:spPr/>
              <c:txPr>
                <a:bodyPr/>
                <a:lstStyle/>
                <a:p>
                  <a:pPr>
                    <a:defRPr sz="11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6C27-4522-ADBE-9BEE2AF54E8E}"/>
                </c:ext>
              </c:extLst>
            </c:dLbl>
            <c:dLbl>
              <c:idx val="9"/>
              <c:layout>
                <c:manualLayout>
                  <c:x val="-1.1891332495124977E-3"/>
                  <c:y val="5.02092050209204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C27-4522-ADBE-9BEE2AF54E8E}"/>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'EBITDA '!$B$6:$B$15</c:f>
              <c:strCache>
                <c:ptCount val="10"/>
                <c:pt idx="0">
                  <c:v>EBITDA marzo 2016</c:v>
                </c:pt>
                <c:pt idx="1">
                  <c:v>Cemento</c:v>
                </c:pt>
                <c:pt idx="2">
                  <c:v>Energía</c:v>
                </c:pt>
                <c:pt idx="3">
                  <c:v>Carbón</c:v>
                </c:pt>
                <c:pt idx="4">
                  <c:v>Inmobiliario</c:v>
                </c:pt>
                <c:pt idx="5">
                  <c:v>Concesiones</c:v>
                </c:pt>
                <c:pt idx="6">
                  <c:v>Corporativos</c:v>
                </c:pt>
                <c:pt idx="7">
                  <c:v>Portafolio</c:v>
                </c:pt>
                <c:pt idx="8">
                  <c:v>EBITDA marzo 2017</c:v>
                </c:pt>
                <c:pt idx="9">
                  <c:v>Ppto marzo 2017</c:v>
                </c:pt>
              </c:strCache>
            </c:strRef>
          </c:cat>
          <c:val>
            <c:numRef>
              <c:f>'EBITDA '!$D$6:$D$15</c:f>
              <c:numCache>
                <c:formatCode>_(* #,##0_);_(* \(#,##0\);_(* "-"??_);_(@_)</c:formatCode>
                <c:ptCount val="10"/>
                <c:pt idx="1">
                  <c:v>151529.78439600003</c:v>
                </c:pt>
                <c:pt idx="2">
                  <c:v>9478.5773499999486</c:v>
                </c:pt>
                <c:pt idx="3">
                  <c:v>5316.220292</c:v>
                </c:pt>
                <c:pt idx="4">
                  <c:v>33659.642612000003</c:v>
                </c:pt>
                <c:pt idx="5">
                  <c:v>49173.670126000012</c:v>
                </c:pt>
                <c:pt idx="6">
                  <c:v>799.45489399998405</c:v>
                </c:pt>
                <c:pt idx="7">
                  <c:v>45118.030886354973</c:v>
                </c:pt>
              </c:numCache>
            </c:numRef>
          </c:val>
          <c:extLst>
            <c:ext xmlns:c16="http://schemas.microsoft.com/office/drawing/2014/chart" uri="{C3380CC4-5D6E-409C-BE32-E72D297353CC}">
              <c16:uniqueId val="{0000002B-6C27-4522-ADBE-9BEE2AF54E8E}"/>
            </c:ext>
          </c:extLst>
        </c:ser>
        <c:dLbls>
          <c:showLegendKey val="0"/>
          <c:showVal val="0"/>
          <c:showCatName val="0"/>
          <c:showSerName val="0"/>
          <c:showPercent val="0"/>
          <c:showBubbleSize val="0"/>
        </c:dLbls>
        <c:gapWidth val="150"/>
        <c:overlap val="100"/>
        <c:axId val="615871288"/>
        <c:axId val="615872072"/>
      </c:barChart>
      <c:catAx>
        <c:axId val="615871288"/>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800" b="1" i="0" u="none" strike="noStrike" baseline="0">
                <a:solidFill>
                  <a:srgbClr val="000000"/>
                </a:solidFill>
                <a:latin typeface="Arial"/>
                <a:ea typeface="Arial"/>
                <a:cs typeface="Arial"/>
              </a:defRPr>
            </a:pPr>
            <a:endParaRPr lang="es-CO"/>
          </a:p>
        </c:txPr>
        <c:crossAx val="615872072"/>
        <c:crosses val="autoZero"/>
        <c:auto val="1"/>
        <c:lblAlgn val="ctr"/>
        <c:lblOffset val="100"/>
        <c:noMultiLvlLbl val="0"/>
      </c:catAx>
      <c:valAx>
        <c:axId val="615872072"/>
        <c:scaling>
          <c:orientation val="minMax"/>
        </c:scaling>
        <c:delete val="1"/>
        <c:axPos val="l"/>
        <c:numFmt formatCode="#,##0" sourceLinked="1"/>
        <c:majorTickMark val="out"/>
        <c:minorTickMark val="none"/>
        <c:tickLblPos val="nextTo"/>
        <c:crossAx val="615871288"/>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311" l="0.70000000000000062" r="0.70000000000000062" t="0.7500000000000031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Lit>
              <c:ptCount val="6"/>
              <c:pt idx="0">
                <c:v>Ppto a dic. 2011</c:v>
              </c:pt>
              <c:pt idx="1">
                <c:v>Colombia</c:v>
              </c:pt>
              <c:pt idx="2">
                <c:v>EE.UU.</c:v>
              </c:pt>
              <c:pt idx="3">
                <c:v>Caribe</c:v>
              </c:pt>
              <c:pt idx="4">
                <c:v>Otros</c:v>
              </c:pt>
              <c:pt idx="5">
                <c:v>Real a dic. 2011</c:v>
              </c:pt>
            </c:strLit>
          </c:cat>
          <c:val>
            <c:numLit>
              <c:formatCode>General</c:formatCode>
              <c:ptCount val="6"/>
              <c:pt idx="0">
                <c:v>1670.7905559040601</c:v>
              </c:pt>
              <c:pt idx="1">
                <c:v>1670.7905559040601</c:v>
              </c:pt>
              <c:pt idx="2">
                <c:v>1695.566309976133</c:v>
              </c:pt>
              <c:pt idx="3">
                <c:v>1663.1205314935889</c:v>
              </c:pt>
              <c:pt idx="4">
                <c:v>1636.1470000000645</c:v>
              </c:pt>
              <c:pt idx="5">
                <c:v>1636.1470000000645</c:v>
              </c:pt>
            </c:numLit>
          </c:val>
          <c:extLst>
            <c:ext xmlns:c16="http://schemas.microsoft.com/office/drawing/2014/chart" uri="{C3380CC4-5D6E-409C-BE32-E72D297353CC}">
              <c16:uniqueId val="{00000000-D5FD-4176-9F9F-6F9A295E45AA}"/>
            </c:ext>
          </c:extLst>
        </c:ser>
        <c:ser>
          <c:idx val="1"/>
          <c:order val="1"/>
          <c:invertIfNegative val="0"/>
          <c:dLbls>
            <c:dLbl>
              <c:idx val="1"/>
              <c:tx>
                <c:rich>
                  <a:bodyPr/>
                  <a:lstStyle/>
                  <a:p>
                    <a:pPr>
                      <a:defRPr sz="1200" b="1" i="0" u="none" strike="noStrike" baseline="0">
                        <a:solidFill>
                          <a:srgbClr val="000000"/>
                        </a:solidFill>
                        <a:latin typeface="Arial"/>
                        <a:ea typeface="Arial"/>
                        <a:cs typeface="Arial"/>
                      </a:defRPr>
                    </a:pPr>
                    <a:r>
                      <a:rPr lang="es-ES"/>
                      <a:t>+ 53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5FD-4176-9F9F-6F9A295E45AA}"/>
                </c:ext>
              </c:extLst>
            </c:dLbl>
            <c:dLbl>
              <c:idx val="2"/>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FD-4176-9F9F-6F9A295E45AA}"/>
                </c:ext>
              </c:extLst>
            </c:dLbl>
            <c:dLbl>
              <c:idx val="3"/>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FD-4176-9F9F-6F9A295E45AA}"/>
                </c:ext>
              </c:extLst>
            </c:dLbl>
            <c:dLbl>
              <c:idx val="4"/>
              <c:tx>
                <c:rich>
                  <a:bodyPr/>
                  <a:lstStyle/>
                  <a:p>
                    <a:pPr>
                      <a:defRPr sz="1200" b="1" i="0" u="none" strike="noStrike" baseline="0">
                        <a:solidFill>
                          <a:srgbClr val="000000"/>
                        </a:solidFill>
                        <a:latin typeface="Arial"/>
                        <a:ea typeface="Arial"/>
                        <a:cs typeface="Arial"/>
                      </a:defRPr>
                    </a:pPr>
                    <a:r>
                      <a:rPr lang="es-ES"/>
                      <a:t>- 27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D5FD-4176-9F9F-6F9A295E45AA}"/>
                </c:ext>
              </c:extLst>
            </c:dLbl>
            <c:numFmt formatCode="&quot;-&quot;\ #,##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Ppto a dic. 2011</c:v>
              </c:pt>
              <c:pt idx="1">
                <c:v>Colombia</c:v>
              </c:pt>
              <c:pt idx="2">
                <c:v>EE.UU.</c:v>
              </c:pt>
              <c:pt idx="3">
                <c:v>Caribe</c:v>
              </c:pt>
              <c:pt idx="4">
                <c:v>Otros</c:v>
              </c:pt>
              <c:pt idx="5">
                <c:v>Real a dic. 2011</c:v>
              </c:pt>
            </c:strLit>
          </c:cat>
          <c:val>
            <c:numLit>
              <c:formatCode>General</c:formatCode>
              <c:ptCount val="6"/>
              <c:pt idx="1">
                <c:v>52.83612692600002</c:v>
              </c:pt>
              <c:pt idx="2">
                <c:v>28.060372853927049</c:v>
              </c:pt>
              <c:pt idx="3">
                <c:v>32.445778482543972</c:v>
              </c:pt>
              <c:pt idx="4">
                <c:v>26.973531493524405</c:v>
              </c:pt>
            </c:numLit>
          </c:val>
          <c:extLst>
            <c:ext xmlns:c16="http://schemas.microsoft.com/office/drawing/2014/chart" uri="{C3380CC4-5D6E-409C-BE32-E72D297353CC}">
              <c16:uniqueId val="{00000005-D5FD-4176-9F9F-6F9A295E45AA}"/>
            </c:ext>
          </c:extLst>
        </c:ser>
        <c:dLbls>
          <c:showLegendKey val="0"/>
          <c:showVal val="0"/>
          <c:showCatName val="0"/>
          <c:showSerName val="0"/>
          <c:showPercent val="0"/>
          <c:showBubbleSize val="0"/>
        </c:dLbls>
        <c:gapWidth val="150"/>
        <c:overlap val="100"/>
        <c:axId val="615871680"/>
        <c:axId val="615872464"/>
      </c:barChart>
      <c:catAx>
        <c:axId val="615871680"/>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1100" b="1" i="0" u="none" strike="noStrike" baseline="0">
                <a:solidFill>
                  <a:srgbClr val="000000"/>
                </a:solidFill>
                <a:latin typeface="Arial"/>
                <a:ea typeface="Arial"/>
                <a:cs typeface="Arial"/>
              </a:defRPr>
            </a:pPr>
            <a:endParaRPr lang="es-CO"/>
          </a:p>
        </c:txPr>
        <c:crossAx val="615872464"/>
        <c:crosses val="autoZero"/>
        <c:auto val="1"/>
        <c:lblAlgn val="ctr"/>
        <c:lblOffset val="100"/>
        <c:noMultiLvlLbl val="0"/>
      </c:catAx>
      <c:valAx>
        <c:axId val="615872464"/>
        <c:scaling>
          <c:orientation val="minMax"/>
          <c:max val="1800"/>
          <c:min val="0"/>
        </c:scaling>
        <c:delete val="0"/>
        <c:axPos val="l"/>
        <c:numFmt formatCode="General" sourceLinked="1"/>
        <c:majorTickMark val="none"/>
        <c:minorTickMark val="none"/>
        <c:tickLblPos val="none"/>
        <c:spPr>
          <a:ln>
            <a:solidFill>
              <a:schemeClr val="bg1"/>
            </a:solidFill>
          </a:ln>
        </c:spPr>
        <c:crossAx val="615871680"/>
        <c:crosses val="autoZero"/>
        <c:crossBetween val="between"/>
        <c:majorUnit val="10"/>
        <c:minorUnit val="3.6"/>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333" l="0.70000000000000062" r="0.70000000000000062" t="0.750000000000003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Lit>
              <c:ptCount val="6"/>
              <c:pt idx="0">
                <c:v>Ppto a dic. 2011</c:v>
              </c:pt>
              <c:pt idx="1">
                <c:v>Colombia</c:v>
              </c:pt>
              <c:pt idx="2">
                <c:v>EE.UU.</c:v>
              </c:pt>
              <c:pt idx="3">
                <c:v>Caribe</c:v>
              </c:pt>
              <c:pt idx="4">
                <c:v>Otros</c:v>
              </c:pt>
              <c:pt idx="5">
                <c:v>Real a dic. 2011</c:v>
              </c:pt>
            </c:strLit>
          </c:cat>
          <c:val>
            <c:numLit>
              <c:formatCode>General</c:formatCode>
              <c:ptCount val="6"/>
              <c:pt idx="0">
                <c:v>258.56819704383702</c:v>
              </c:pt>
              <c:pt idx="1">
                <c:v>258.56819704383702</c:v>
              </c:pt>
              <c:pt idx="2">
                <c:v>280.35849533998254</c:v>
              </c:pt>
              <c:pt idx="3">
                <c:v>280.35849533998254</c:v>
              </c:pt>
              <c:pt idx="4">
                <c:v>293.47761679224243</c:v>
              </c:pt>
              <c:pt idx="5">
                <c:v>295.27193766328725</c:v>
              </c:pt>
            </c:numLit>
          </c:val>
          <c:extLst>
            <c:ext xmlns:c16="http://schemas.microsoft.com/office/drawing/2014/chart" uri="{C3380CC4-5D6E-409C-BE32-E72D297353CC}">
              <c16:uniqueId val="{00000000-6125-40A9-8589-897E0E040339}"/>
            </c:ext>
          </c:extLst>
        </c:ser>
        <c:ser>
          <c:idx val="1"/>
          <c:order val="1"/>
          <c:invertIfNegative val="0"/>
          <c:dLbls>
            <c:dLbl>
              <c:idx val="1"/>
              <c:tx>
                <c:rich>
                  <a:bodyPr/>
                  <a:lstStyle/>
                  <a:p>
                    <a:pPr>
                      <a:defRPr sz="1200" b="1" i="0" u="none" strike="noStrike" baseline="0">
                        <a:solidFill>
                          <a:srgbClr val="000000"/>
                        </a:solidFill>
                        <a:latin typeface="Arial"/>
                        <a:ea typeface="Arial"/>
                        <a:cs typeface="Arial"/>
                      </a:defRPr>
                    </a:pPr>
                    <a:r>
                      <a:rPr lang="es-ES"/>
                      <a:t>+ 31</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6125-40A9-8589-897E0E040339}"/>
                </c:ext>
              </c:extLst>
            </c:dLbl>
            <c:dLbl>
              <c:idx val="2"/>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25-40A9-8589-897E0E040339}"/>
                </c:ext>
              </c:extLst>
            </c:dLbl>
            <c:dLbl>
              <c:idx val="3"/>
              <c:tx>
                <c:rich>
                  <a:bodyPr/>
                  <a:lstStyle/>
                  <a:p>
                    <a:pPr>
                      <a:defRPr sz="1200" b="1" i="0" u="none" strike="noStrike" baseline="0">
                        <a:solidFill>
                          <a:srgbClr val="000000"/>
                        </a:solidFill>
                        <a:latin typeface="Arial"/>
                        <a:ea typeface="Arial"/>
                        <a:cs typeface="Arial"/>
                      </a:defRPr>
                    </a:pPr>
                    <a:r>
                      <a:rPr lang="es-ES"/>
                      <a:t>+ 13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6125-40A9-8589-897E0E040339}"/>
                </c:ext>
              </c:extLst>
            </c:dLbl>
            <c:dLbl>
              <c:idx val="4"/>
              <c:tx>
                <c:rich>
                  <a:bodyPr/>
                  <a:lstStyle/>
                  <a:p>
                    <a:pPr>
                      <a:defRPr sz="1200" b="1" i="0" u="none" strike="noStrike" baseline="0">
                        <a:solidFill>
                          <a:srgbClr val="000000"/>
                        </a:solidFill>
                        <a:latin typeface="Arial"/>
                        <a:ea typeface="Arial"/>
                        <a:cs typeface="Arial"/>
                      </a:defRPr>
                    </a:pPr>
                    <a:r>
                      <a:rPr lang="es-ES"/>
                      <a:t>+ 2</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6125-40A9-8589-897E0E040339}"/>
                </c:ext>
              </c:extLst>
            </c:dLbl>
            <c:numFmt formatCode="&quot;-&quot;\ #,##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Ppto a dic. 2011</c:v>
              </c:pt>
              <c:pt idx="1">
                <c:v>Colombia</c:v>
              </c:pt>
              <c:pt idx="2">
                <c:v>EE.UU.</c:v>
              </c:pt>
              <c:pt idx="3">
                <c:v>Caribe</c:v>
              </c:pt>
              <c:pt idx="4">
                <c:v>Otros</c:v>
              </c:pt>
              <c:pt idx="5">
                <c:v>Real a dic. 2011</c:v>
              </c:pt>
            </c:strLit>
          </c:cat>
          <c:val>
            <c:numLit>
              <c:formatCode>General</c:formatCode>
              <c:ptCount val="6"/>
              <c:pt idx="1">
                <c:v>30.899603648679999</c:v>
              </c:pt>
              <c:pt idx="2">
                <c:v>9.1093053525344594</c:v>
              </c:pt>
              <c:pt idx="3">
                <c:v>13.11912145225989</c:v>
              </c:pt>
              <c:pt idx="4">
                <c:v>1.7943208710448033</c:v>
              </c:pt>
            </c:numLit>
          </c:val>
          <c:extLst>
            <c:ext xmlns:c16="http://schemas.microsoft.com/office/drawing/2014/chart" uri="{C3380CC4-5D6E-409C-BE32-E72D297353CC}">
              <c16:uniqueId val="{00000005-6125-40A9-8589-897E0E040339}"/>
            </c:ext>
          </c:extLst>
        </c:ser>
        <c:dLbls>
          <c:showLegendKey val="0"/>
          <c:showVal val="0"/>
          <c:showCatName val="0"/>
          <c:showSerName val="0"/>
          <c:showPercent val="0"/>
          <c:showBubbleSize val="0"/>
        </c:dLbls>
        <c:gapWidth val="150"/>
        <c:overlap val="100"/>
        <c:axId val="608449264"/>
        <c:axId val="608451224"/>
      </c:barChart>
      <c:catAx>
        <c:axId val="608449264"/>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1100" b="1" i="0" u="none" strike="noStrike" baseline="0">
                <a:solidFill>
                  <a:srgbClr val="000000"/>
                </a:solidFill>
                <a:latin typeface="Arial"/>
                <a:ea typeface="Arial"/>
                <a:cs typeface="Arial"/>
              </a:defRPr>
            </a:pPr>
            <a:endParaRPr lang="es-CO"/>
          </a:p>
        </c:txPr>
        <c:crossAx val="608451224"/>
        <c:crosses val="autoZero"/>
        <c:auto val="1"/>
        <c:lblAlgn val="ctr"/>
        <c:lblOffset val="100"/>
        <c:noMultiLvlLbl val="0"/>
      </c:catAx>
      <c:valAx>
        <c:axId val="608451224"/>
        <c:scaling>
          <c:orientation val="minMax"/>
          <c:max val="340"/>
          <c:min val="0"/>
        </c:scaling>
        <c:delete val="0"/>
        <c:axPos val="l"/>
        <c:numFmt formatCode="General" sourceLinked="1"/>
        <c:majorTickMark val="none"/>
        <c:minorTickMark val="none"/>
        <c:tickLblPos val="none"/>
        <c:spPr>
          <a:ln>
            <a:solidFill>
              <a:schemeClr val="bg1"/>
            </a:solidFill>
          </a:ln>
        </c:spPr>
        <c:crossAx val="608449264"/>
        <c:crosses val="autoZero"/>
        <c:crossBetween val="between"/>
        <c:majorUnit val="5"/>
        <c:minorUnit val="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355" l="0.70000000000000062" r="0.70000000000000062" t="0.7500000000000035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224266448780407E-2"/>
          <c:y val="0.20562612746614375"/>
          <c:w val="0.9526572517432772"/>
          <c:h val="0.68876036694243625"/>
        </c:manualLayout>
      </c:layout>
      <c:barChart>
        <c:barDir val="col"/>
        <c:grouping val="stacked"/>
        <c:varyColors val="0"/>
        <c:ser>
          <c:idx val="0"/>
          <c:order val="0"/>
          <c:spPr>
            <a:solidFill>
              <a:srgbClr val="FFFFFF"/>
            </a:solidFill>
            <a:ln w="25400">
              <a:noFill/>
            </a:ln>
          </c:spPr>
          <c:invertIfNegative val="0"/>
          <c:dPt>
            <c:idx val="0"/>
            <c:invertIfNegative val="0"/>
            <c:bubble3D val="0"/>
            <c:spPr>
              <a:solidFill>
                <a:schemeClr val="tx2">
                  <a:lumMod val="50000"/>
                </a:schemeClr>
              </a:solidFill>
              <a:ln w="25400">
                <a:noFill/>
              </a:ln>
              <a:effectLst>
                <a:outerShdw blurRad="50800" dist="38100" dir="2700000" algn="tl" rotWithShape="0">
                  <a:prstClr val="black">
                    <a:alpha val="40000"/>
                  </a:prstClr>
                </a:outerShdw>
              </a:effectLst>
              <a:scene3d>
                <a:camera prst="orthographicFront"/>
                <a:lightRig rig="harsh" dir="t"/>
              </a:scene3d>
              <a:sp3d prstMaterial="plastic"/>
            </c:spPr>
            <c:extLst>
              <c:ext xmlns:c16="http://schemas.microsoft.com/office/drawing/2014/chart" uri="{C3380CC4-5D6E-409C-BE32-E72D297353CC}">
                <c16:uniqueId val="{00000001-D2CB-4354-A225-5B1DD018292F}"/>
              </c:ext>
            </c:extLst>
          </c:dPt>
          <c:dPt>
            <c:idx val="1"/>
            <c:invertIfNegative val="0"/>
            <c:bubble3D val="0"/>
            <c:spPr>
              <a:noFill/>
              <a:ln w="25400">
                <a:noFill/>
              </a:ln>
            </c:spPr>
            <c:extLst>
              <c:ext xmlns:c16="http://schemas.microsoft.com/office/drawing/2014/chart" uri="{C3380CC4-5D6E-409C-BE32-E72D297353CC}">
                <c16:uniqueId val="{00000003-D2CB-4354-A225-5B1DD018292F}"/>
              </c:ext>
            </c:extLst>
          </c:dPt>
          <c:dPt>
            <c:idx val="2"/>
            <c:invertIfNegative val="0"/>
            <c:bubble3D val="0"/>
            <c:spPr>
              <a:noFill/>
              <a:ln w="25400">
                <a:noFill/>
              </a:ln>
            </c:spPr>
            <c:extLst>
              <c:ext xmlns:c16="http://schemas.microsoft.com/office/drawing/2014/chart" uri="{C3380CC4-5D6E-409C-BE32-E72D297353CC}">
                <c16:uniqueId val="{00000005-D2CB-4354-A225-5B1DD018292F}"/>
              </c:ext>
            </c:extLst>
          </c:dPt>
          <c:dPt>
            <c:idx val="3"/>
            <c:invertIfNegative val="0"/>
            <c:bubble3D val="0"/>
            <c:spPr>
              <a:noFill/>
              <a:ln w="25400">
                <a:noFill/>
              </a:ln>
            </c:spPr>
            <c:extLst>
              <c:ext xmlns:c16="http://schemas.microsoft.com/office/drawing/2014/chart" uri="{C3380CC4-5D6E-409C-BE32-E72D297353CC}">
                <c16:uniqueId val="{00000007-D2CB-4354-A225-5B1DD018292F}"/>
              </c:ext>
            </c:extLst>
          </c:dPt>
          <c:dPt>
            <c:idx val="4"/>
            <c:invertIfNegative val="0"/>
            <c:bubble3D val="0"/>
            <c:spPr>
              <a:noFill/>
              <a:ln w="25400">
                <a:noFill/>
              </a:ln>
            </c:spPr>
            <c:extLst>
              <c:ext xmlns:c16="http://schemas.microsoft.com/office/drawing/2014/chart" uri="{C3380CC4-5D6E-409C-BE32-E72D297353CC}">
                <c16:uniqueId val="{00000009-D2CB-4354-A225-5B1DD018292F}"/>
              </c:ext>
            </c:extLst>
          </c:dPt>
          <c:dPt>
            <c:idx val="5"/>
            <c:invertIfNegative val="0"/>
            <c:bubble3D val="0"/>
            <c:spPr>
              <a:noFill/>
              <a:ln w="25400">
                <a:noFill/>
              </a:ln>
            </c:spPr>
            <c:extLst>
              <c:ext xmlns:c16="http://schemas.microsoft.com/office/drawing/2014/chart" uri="{C3380CC4-5D6E-409C-BE32-E72D297353CC}">
                <c16:uniqueId val="{0000000B-D2CB-4354-A225-5B1DD018292F}"/>
              </c:ext>
            </c:extLst>
          </c:dPt>
          <c:dPt>
            <c:idx val="6"/>
            <c:invertIfNegative val="0"/>
            <c:bubble3D val="0"/>
            <c:spPr>
              <a:noFill/>
              <a:ln w="25400">
                <a:noFill/>
              </a:ln>
            </c:spPr>
            <c:extLst>
              <c:ext xmlns:c16="http://schemas.microsoft.com/office/drawing/2014/chart" uri="{C3380CC4-5D6E-409C-BE32-E72D297353CC}">
                <c16:uniqueId val="{0000000D-D2CB-4354-A225-5B1DD018292F}"/>
              </c:ext>
            </c:extLst>
          </c:dPt>
          <c:dPt>
            <c:idx val="7"/>
            <c:invertIfNegative val="0"/>
            <c:bubble3D val="0"/>
            <c:spPr>
              <a:noFill/>
              <a:ln w="25400">
                <a:noFill/>
              </a:ln>
            </c:spPr>
            <c:extLst>
              <c:ext xmlns:c16="http://schemas.microsoft.com/office/drawing/2014/chart" uri="{C3380CC4-5D6E-409C-BE32-E72D297353CC}">
                <c16:uniqueId val="{0000000F-D2CB-4354-A225-5B1DD018292F}"/>
              </c:ext>
            </c:extLst>
          </c:dPt>
          <c:dPt>
            <c:idx val="8"/>
            <c:invertIfNegative val="0"/>
            <c:bubble3D val="0"/>
            <c:spPr>
              <a:solidFill>
                <a:schemeClr val="tx2">
                  <a:lumMod val="50000"/>
                </a:schemeClr>
              </a:solidFill>
              <a:ln w="25400">
                <a:noFill/>
              </a:ln>
            </c:spPr>
            <c:extLst>
              <c:ext xmlns:c16="http://schemas.microsoft.com/office/drawing/2014/chart" uri="{C3380CC4-5D6E-409C-BE32-E72D297353CC}">
                <c16:uniqueId val="{00000011-D2CB-4354-A225-5B1DD018292F}"/>
              </c:ext>
            </c:extLst>
          </c:dPt>
          <c:dPt>
            <c:idx val="9"/>
            <c:invertIfNegative val="0"/>
            <c:bubble3D val="0"/>
            <c:spPr>
              <a:solidFill>
                <a:schemeClr val="tx2">
                  <a:lumMod val="50000"/>
                </a:schemeClr>
              </a:solidFill>
              <a:ln w="25400">
                <a:noFill/>
              </a:ln>
            </c:spPr>
            <c:extLst>
              <c:ext xmlns:c16="http://schemas.microsoft.com/office/drawing/2014/chart" uri="{C3380CC4-5D6E-409C-BE32-E72D297353CC}">
                <c16:uniqueId val="{00000013-D2CB-4354-A225-5B1DD018292F}"/>
              </c:ext>
            </c:extLst>
          </c:dPt>
          <c:dPt>
            <c:idx val="10"/>
            <c:invertIfNegative val="0"/>
            <c:bubble3D val="0"/>
            <c:spPr>
              <a:solidFill>
                <a:schemeClr val="tx2">
                  <a:lumMod val="50000"/>
                </a:schemeClr>
              </a:solidFill>
              <a:ln w="25400">
                <a:noFill/>
              </a:ln>
            </c:spPr>
            <c:extLst>
              <c:ext xmlns:c16="http://schemas.microsoft.com/office/drawing/2014/chart" uri="{C3380CC4-5D6E-409C-BE32-E72D297353CC}">
                <c16:uniqueId val="{00000015-D2CB-4354-A225-5B1DD018292F}"/>
              </c:ext>
            </c:extLst>
          </c:dPt>
          <c:dPt>
            <c:idx val="11"/>
            <c:invertIfNegative val="0"/>
            <c:bubble3D val="0"/>
            <c:spPr>
              <a:solidFill>
                <a:schemeClr val="tx2">
                  <a:lumMod val="50000"/>
                </a:schemeClr>
              </a:solidFill>
              <a:ln w="25400">
                <a:noFill/>
              </a:ln>
            </c:spPr>
            <c:extLst>
              <c:ext xmlns:c16="http://schemas.microsoft.com/office/drawing/2014/chart" uri="{C3380CC4-5D6E-409C-BE32-E72D297353CC}">
                <c16:uniqueId val="{00000017-D2CB-4354-A225-5B1DD018292F}"/>
              </c:ext>
            </c:extLst>
          </c:dPt>
          <c:dLbls>
            <c:dLbl>
              <c:idx val="0"/>
              <c:layout>
                <c:manualLayout>
                  <c:x val="-1.2375471814862998E-3"/>
                  <c:y val="-0.18198588919126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CB-4354-A225-5B1DD018292F}"/>
                </c:ext>
              </c:extLst>
            </c:dLbl>
            <c:dLbl>
              <c:idx val="1"/>
              <c:delete val="1"/>
              <c:extLst>
                <c:ext xmlns:c15="http://schemas.microsoft.com/office/drawing/2012/chart" uri="{CE6537A1-D6FC-4f65-9D91-7224C49458BB}"/>
                <c:ext xmlns:c16="http://schemas.microsoft.com/office/drawing/2014/chart" uri="{C3380CC4-5D6E-409C-BE32-E72D297353CC}">
                  <c16:uniqueId val="{00000003-D2CB-4354-A225-5B1DD018292F}"/>
                </c:ext>
              </c:extLst>
            </c:dLbl>
            <c:dLbl>
              <c:idx val="2"/>
              <c:delete val="1"/>
              <c:extLst>
                <c:ext xmlns:c15="http://schemas.microsoft.com/office/drawing/2012/chart" uri="{CE6537A1-D6FC-4f65-9D91-7224C49458BB}"/>
                <c:ext xmlns:c16="http://schemas.microsoft.com/office/drawing/2014/chart" uri="{C3380CC4-5D6E-409C-BE32-E72D297353CC}">
                  <c16:uniqueId val="{00000005-D2CB-4354-A225-5B1DD018292F}"/>
                </c:ext>
              </c:extLst>
            </c:dLbl>
            <c:dLbl>
              <c:idx val="3"/>
              <c:delete val="1"/>
              <c:extLst>
                <c:ext xmlns:c15="http://schemas.microsoft.com/office/drawing/2012/chart" uri="{CE6537A1-D6FC-4f65-9D91-7224C49458BB}"/>
                <c:ext xmlns:c16="http://schemas.microsoft.com/office/drawing/2014/chart" uri="{C3380CC4-5D6E-409C-BE32-E72D297353CC}">
                  <c16:uniqueId val="{00000007-D2CB-4354-A225-5B1DD018292F}"/>
                </c:ext>
              </c:extLst>
            </c:dLbl>
            <c:dLbl>
              <c:idx val="4"/>
              <c:delete val="1"/>
              <c:extLst>
                <c:ext xmlns:c15="http://schemas.microsoft.com/office/drawing/2012/chart" uri="{CE6537A1-D6FC-4f65-9D91-7224C49458BB}"/>
                <c:ext xmlns:c16="http://schemas.microsoft.com/office/drawing/2014/chart" uri="{C3380CC4-5D6E-409C-BE32-E72D297353CC}">
                  <c16:uniqueId val="{00000009-D2CB-4354-A225-5B1DD018292F}"/>
                </c:ext>
              </c:extLst>
            </c:dLbl>
            <c:dLbl>
              <c:idx val="5"/>
              <c:delete val="1"/>
              <c:extLst>
                <c:ext xmlns:c15="http://schemas.microsoft.com/office/drawing/2012/chart" uri="{CE6537A1-D6FC-4f65-9D91-7224C49458BB}"/>
                <c:ext xmlns:c16="http://schemas.microsoft.com/office/drawing/2014/chart" uri="{C3380CC4-5D6E-409C-BE32-E72D297353CC}">
                  <c16:uniqueId val="{0000000B-D2CB-4354-A225-5B1DD018292F}"/>
                </c:ext>
              </c:extLst>
            </c:dLbl>
            <c:dLbl>
              <c:idx val="6"/>
              <c:delete val="1"/>
              <c:extLst>
                <c:ext xmlns:c15="http://schemas.microsoft.com/office/drawing/2012/chart" uri="{CE6537A1-D6FC-4f65-9D91-7224C49458BB}"/>
                <c:ext xmlns:c16="http://schemas.microsoft.com/office/drawing/2014/chart" uri="{C3380CC4-5D6E-409C-BE32-E72D297353CC}">
                  <c16:uniqueId val="{0000000D-D2CB-4354-A225-5B1DD018292F}"/>
                </c:ext>
              </c:extLst>
            </c:dLbl>
            <c:dLbl>
              <c:idx val="7"/>
              <c:delete val="1"/>
              <c:extLst>
                <c:ext xmlns:c15="http://schemas.microsoft.com/office/drawing/2012/chart" uri="{CE6537A1-D6FC-4f65-9D91-7224C49458BB}"/>
                <c:ext xmlns:c16="http://schemas.microsoft.com/office/drawing/2014/chart" uri="{C3380CC4-5D6E-409C-BE32-E72D297353CC}">
                  <c16:uniqueId val="{0000000F-D2CB-4354-A225-5B1DD018292F}"/>
                </c:ext>
              </c:extLst>
            </c:dLbl>
            <c:dLbl>
              <c:idx val="8"/>
              <c:layout>
                <c:manualLayout>
                  <c:x val="-1.1674781110377402E-3"/>
                  <c:y val="-0.194381030398263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2CB-4354-A225-5B1DD018292F}"/>
                </c:ext>
              </c:extLst>
            </c:dLbl>
            <c:dLbl>
              <c:idx val="9"/>
              <c:layout>
                <c:manualLayout>
                  <c:x val="1.1918214421668709E-3"/>
                  <c:y val="-5.79415753226873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2CB-4354-A225-5B1DD018292F}"/>
                </c:ext>
              </c:extLst>
            </c:dLbl>
            <c:dLbl>
              <c:idx val="10"/>
              <c:layout>
                <c:manualLayout>
                  <c:x val="0"/>
                  <c:y val="-0.202729044834307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2CB-4354-A225-5B1DD018292F}"/>
                </c:ext>
              </c:extLst>
            </c:dLbl>
            <c:dLbl>
              <c:idx val="11"/>
              <c:layout>
                <c:manualLayout>
                  <c:x val="-3.396912196206376E-3"/>
                  <c:y val="-0.1351526965562054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2CB-4354-A225-5B1DD018292F}"/>
                </c:ext>
              </c:extLst>
            </c:dLbl>
            <c:numFmt formatCode="#,##0" sourceLinked="0"/>
            <c:spPr>
              <a:noFill/>
              <a:ln>
                <a:noFill/>
              </a:ln>
              <a:effectLst/>
            </c:spPr>
            <c:txPr>
              <a:bodyPr wrap="square" lIns="38100" tIns="19050" rIns="38100" bIns="19050" anchor="ctr">
                <a:spAutoFit/>
              </a:bodyPr>
              <a:lstStyle/>
              <a:p>
                <a:pPr>
                  <a:defRPr sz="1300" b="1">
                    <a:latin typeface="Arial" panose="020B0604020202020204" pitchFamily="34" charset="0"/>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'UTILIDAD NETA'!$B$8:$B$17</c:f>
              <c:strCache>
                <c:ptCount val="10"/>
                <c:pt idx="0">
                  <c:v>Utilidad neta marzo 2016</c:v>
                </c:pt>
                <c:pt idx="1">
                  <c:v>Cemento</c:v>
                </c:pt>
                <c:pt idx="2">
                  <c:v>Energía</c:v>
                </c:pt>
                <c:pt idx="3">
                  <c:v>Carbón</c:v>
                </c:pt>
                <c:pt idx="4">
                  <c:v>Inmobiliario</c:v>
                </c:pt>
                <c:pt idx="5">
                  <c:v>Concesiones</c:v>
                </c:pt>
                <c:pt idx="6">
                  <c:v>Corporativos</c:v>
                </c:pt>
                <c:pt idx="7">
                  <c:v>Portafolio</c:v>
                </c:pt>
                <c:pt idx="8">
                  <c:v>Utilidad neta marzo 2017</c:v>
                </c:pt>
                <c:pt idx="9">
                  <c:v>Ppto marzo 2017</c:v>
                </c:pt>
              </c:strCache>
            </c:strRef>
          </c:cat>
          <c:val>
            <c:numRef>
              <c:f>'UTILIDAD NETA'!$C$8:$C$17</c:f>
              <c:numCache>
                <c:formatCode>#,##0</c:formatCode>
                <c:ptCount val="10"/>
                <c:pt idx="0" formatCode="_(* #,##0_);_(* \(#,##0\);_(* &quot;-&quot;??_);_(@_)">
                  <c:v>105928.67164474119</c:v>
                </c:pt>
                <c:pt idx="1">
                  <c:v>57623.864076536011</c:v>
                </c:pt>
                <c:pt idx="2">
                  <c:v>105928.67164474119</c:v>
                </c:pt>
                <c:pt idx="3">
                  <c:v>123066.70092943776</c:v>
                </c:pt>
                <c:pt idx="4">
                  <c:v>101939.15603234003</c:v>
                </c:pt>
                <c:pt idx="5">
                  <c:v>131330.09829634003</c:v>
                </c:pt>
                <c:pt idx="6">
                  <c:v>134578.17549493548</c:v>
                </c:pt>
                <c:pt idx="7">
                  <c:v>147325.61194052242</c:v>
                </c:pt>
                <c:pt idx="8" formatCode="_ * #,##0_ ;_ * \-#,##0_ ;_ * &quot;-&quot;??_ ;_ @_ ">
                  <c:v>120679.91816308572</c:v>
                </c:pt>
                <c:pt idx="9" formatCode="_ * #,##0_ ;_ * \-#,##0_ ;_ * &quot;-&quot;??_ ;_ @_ ">
                  <c:v>9553.4413309173578</c:v>
                </c:pt>
              </c:numCache>
            </c:numRef>
          </c:val>
          <c:extLst>
            <c:ext xmlns:c16="http://schemas.microsoft.com/office/drawing/2014/chart" uri="{C3380CC4-5D6E-409C-BE32-E72D297353CC}">
              <c16:uniqueId val="{00000018-D2CB-4354-A225-5B1DD018292F}"/>
            </c:ext>
          </c:extLst>
        </c:ser>
        <c:ser>
          <c:idx val="1"/>
          <c:order val="1"/>
          <c:spPr>
            <a:solidFill>
              <a:srgbClr val="99CC00"/>
            </a:solidFill>
            <a:ln w="25400">
              <a:noFill/>
            </a:ln>
          </c:spPr>
          <c:invertIfNegative val="0"/>
          <c:dPt>
            <c:idx val="1"/>
            <c:invertIfNegative val="0"/>
            <c:bubble3D val="0"/>
            <c:spPr>
              <a:solidFill>
                <a:srgbClr val="6681A6"/>
              </a:solidFill>
              <a:ln w="25400">
                <a:noFill/>
              </a:ln>
            </c:spPr>
            <c:extLst>
              <c:ext xmlns:c16="http://schemas.microsoft.com/office/drawing/2014/chart" uri="{C3380CC4-5D6E-409C-BE32-E72D297353CC}">
                <c16:uniqueId val="{0000001A-D2CB-4354-A225-5B1DD018292F}"/>
              </c:ext>
            </c:extLst>
          </c:dPt>
          <c:dPt>
            <c:idx val="2"/>
            <c:invertIfNegative val="0"/>
            <c:bubble3D val="0"/>
            <c:spPr>
              <a:solidFill>
                <a:srgbClr val="99ABC3"/>
              </a:solidFill>
              <a:ln w="25400">
                <a:noFill/>
              </a:ln>
            </c:spPr>
            <c:extLst>
              <c:ext xmlns:c16="http://schemas.microsoft.com/office/drawing/2014/chart" uri="{C3380CC4-5D6E-409C-BE32-E72D297353CC}">
                <c16:uniqueId val="{0000001C-D2CB-4354-A225-5B1DD018292F}"/>
              </c:ext>
            </c:extLst>
          </c:dPt>
          <c:dPt>
            <c:idx val="3"/>
            <c:invertIfNegative val="0"/>
            <c:bubble3D val="0"/>
            <c:spPr>
              <a:solidFill>
                <a:srgbClr val="B2C0D2"/>
              </a:solidFill>
              <a:ln w="25400">
                <a:noFill/>
              </a:ln>
            </c:spPr>
            <c:extLst>
              <c:ext xmlns:c16="http://schemas.microsoft.com/office/drawing/2014/chart" uri="{C3380CC4-5D6E-409C-BE32-E72D297353CC}">
                <c16:uniqueId val="{0000001E-D2CB-4354-A225-5B1DD018292F}"/>
              </c:ext>
            </c:extLst>
          </c:dPt>
          <c:dPt>
            <c:idx val="4"/>
            <c:invertIfNegative val="0"/>
            <c:bubble3D val="0"/>
            <c:spPr>
              <a:solidFill>
                <a:srgbClr val="335788"/>
              </a:solidFill>
              <a:ln w="25400">
                <a:noFill/>
              </a:ln>
            </c:spPr>
            <c:extLst>
              <c:ext xmlns:c16="http://schemas.microsoft.com/office/drawing/2014/chart" uri="{C3380CC4-5D6E-409C-BE32-E72D297353CC}">
                <c16:uniqueId val="{00000020-D2CB-4354-A225-5B1DD018292F}"/>
              </c:ext>
            </c:extLst>
          </c:dPt>
          <c:dPt>
            <c:idx val="5"/>
            <c:invertIfNegative val="0"/>
            <c:bubble3D val="0"/>
            <c:spPr>
              <a:solidFill>
                <a:srgbClr val="6681A6"/>
              </a:solidFill>
              <a:ln w="25400">
                <a:noFill/>
              </a:ln>
            </c:spPr>
            <c:extLst>
              <c:ext xmlns:c16="http://schemas.microsoft.com/office/drawing/2014/chart" uri="{C3380CC4-5D6E-409C-BE32-E72D297353CC}">
                <c16:uniqueId val="{00000022-D2CB-4354-A225-5B1DD018292F}"/>
              </c:ext>
            </c:extLst>
          </c:dPt>
          <c:dPt>
            <c:idx val="6"/>
            <c:invertIfNegative val="0"/>
            <c:bubble3D val="0"/>
            <c:spPr>
              <a:solidFill>
                <a:srgbClr val="335788"/>
              </a:solidFill>
              <a:ln w="25400">
                <a:noFill/>
              </a:ln>
            </c:spPr>
            <c:extLst>
              <c:ext xmlns:c16="http://schemas.microsoft.com/office/drawing/2014/chart" uri="{C3380CC4-5D6E-409C-BE32-E72D297353CC}">
                <c16:uniqueId val="{00000024-D2CB-4354-A225-5B1DD018292F}"/>
              </c:ext>
            </c:extLst>
          </c:dPt>
          <c:dPt>
            <c:idx val="7"/>
            <c:invertIfNegative val="0"/>
            <c:bubble3D val="0"/>
            <c:spPr>
              <a:solidFill>
                <a:srgbClr val="6681A6"/>
              </a:solidFill>
              <a:ln w="25400">
                <a:noFill/>
              </a:ln>
            </c:spPr>
            <c:extLst>
              <c:ext xmlns:c16="http://schemas.microsoft.com/office/drawing/2014/chart" uri="{C3380CC4-5D6E-409C-BE32-E72D297353CC}">
                <c16:uniqueId val="{00000026-D2CB-4354-A225-5B1DD018292F}"/>
              </c:ext>
            </c:extLst>
          </c:dPt>
          <c:dPt>
            <c:idx val="8"/>
            <c:invertIfNegative val="0"/>
            <c:bubble3D val="0"/>
            <c:spPr>
              <a:solidFill>
                <a:srgbClr val="B2C0D2"/>
              </a:solidFill>
              <a:ln w="25400">
                <a:noFill/>
              </a:ln>
            </c:spPr>
            <c:extLst>
              <c:ext xmlns:c16="http://schemas.microsoft.com/office/drawing/2014/chart" uri="{C3380CC4-5D6E-409C-BE32-E72D297353CC}">
                <c16:uniqueId val="{00000028-D2CB-4354-A225-5B1DD018292F}"/>
              </c:ext>
            </c:extLst>
          </c:dPt>
          <c:dPt>
            <c:idx val="9"/>
            <c:invertIfNegative val="0"/>
            <c:bubble3D val="0"/>
            <c:spPr>
              <a:solidFill>
                <a:schemeClr val="tx2">
                  <a:lumMod val="40000"/>
                  <a:lumOff val="60000"/>
                </a:schemeClr>
              </a:solidFill>
              <a:ln w="25400">
                <a:noFill/>
              </a:ln>
            </c:spPr>
            <c:extLst>
              <c:ext xmlns:c16="http://schemas.microsoft.com/office/drawing/2014/chart" uri="{C3380CC4-5D6E-409C-BE32-E72D297353CC}">
                <c16:uniqueId val="{0000002A-D2CB-4354-A225-5B1DD018292F}"/>
              </c:ext>
            </c:extLst>
          </c:dPt>
          <c:dLbls>
            <c:dLbl>
              <c:idx val="1"/>
              <c:layout>
                <c:manualLayout>
                  <c:x val="-1.1325018380498985E-3"/>
                  <c:y val="8.7085558996814846E-2"/>
                </c:manualLayout>
              </c:layout>
              <c:numFmt formatCode="#,##0" sourceLinked="0"/>
              <c:spPr/>
              <c:txPr>
                <a:bodyPr/>
                <a:lstStyle/>
                <a:p>
                  <a:pPr>
                    <a:defRPr sz="13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2CB-4354-A225-5B1DD018292F}"/>
                </c:ext>
              </c:extLst>
            </c:dLbl>
            <c:dLbl>
              <c:idx val="2"/>
              <c:layout>
                <c:manualLayout>
                  <c:x val="5.8403959047103847E-5"/>
                  <c:y val="-5.7685504868993868E-2"/>
                </c:manualLayout>
              </c:layout>
              <c:numFmt formatCode="#,##0" sourceLinked="0"/>
              <c:spPr/>
              <c:txPr>
                <a:bodyPr/>
                <a:lstStyle/>
                <a:p>
                  <a:pPr>
                    <a:defRPr sz="13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2CB-4354-A225-5B1DD018292F}"/>
                </c:ext>
              </c:extLst>
            </c:dLbl>
            <c:dLbl>
              <c:idx val="3"/>
              <c:layout>
                <c:manualLayout>
                  <c:x val="0"/>
                  <c:y val="-3.3848411977355379E-2"/>
                </c:manualLayout>
              </c:layout>
              <c:numFmt formatCode="#,##0" sourceLinked="0"/>
              <c:spPr/>
              <c:txPr>
                <a:bodyPr/>
                <a:lstStyle/>
                <a:p>
                  <a:pPr>
                    <a:defRPr sz="13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2CB-4354-A225-5B1DD018292F}"/>
                </c:ext>
              </c:extLst>
            </c:dLbl>
            <c:dLbl>
              <c:idx val="4"/>
              <c:layout>
                <c:manualLayout>
                  <c:x val="0"/>
                  <c:y val="7.3423303527109657E-2"/>
                </c:manualLayout>
              </c:layout>
              <c:numFmt formatCode="#,##0" sourceLinked="0"/>
              <c:spPr/>
              <c:txPr>
                <a:bodyPr/>
                <a:lstStyle/>
                <a:p>
                  <a:pPr>
                    <a:defRPr sz="13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2CB-4354-A225-5B1DD018292F}"/>
                </c:ext>
              </c:extLst>
            </c:dLbl>
            <c:dLbl>
              <c:idx val="5"/>
              <c:layout>
                <c:manualLayout>
                  <c:x val="2.6493157820921239E-3"/>
                  <c:y val="-6.3622643532464593E-2"/>
                </c:manualLayout>
              </c:layout>
              <c:numFmt formatCode="#,##0" sourceLinked="0"/>
              <c:spPr>
                <a:noFill/>
                <a:ln w="25400">
                  <a:noFill/>
                </a:ln>
              </c:spPr>
              <c:txPr>
                <a:bodyPr/>
                <a:lstStyle/>
                <a:p>
                  <a:pPr>
                    <a:defRPr sz="13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2CB-4354-A225-5B1DD018292F}"/>
                </c:ext>
              </c:extLst>
            </c:dLbl>
            <c:dLbl>
              <c:idx val="6"/>
              <c:layout>
                <c:manualLayout>
                  <c:x val="0"/>
                  <c:y val="6.0535786302809612E-2"/>
                </c:manualLayout>
              </c:layout>
              <c:numFmt formatCode="#,##0" sourceLinked="0"/>
              <c:spPr>
                <a:noFill/>
                <a:ln>
                  <a:noFill/>
                </a:ln>
                <a:effectLst/>
              </c:spPr>
              <c:txPr>
                <a:bodyPr wrap="square" lIns="38100" tIns="19050" rIns="38100" bIns="19050" anchor="ctr">
                  <a:spAutoFit/>
                </a:bodyPr>
                <a:lstStyle/>
                <a:p>
                  <a:pPr>
                    <a:defRPr sz="13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D2CB-4354-A225-5B1DD018292F}"/>
                </c:ext>
              </c:extLst>
            </c:dLbl>
            <c:dLbl>
              <c:idx val="7"/>
              <c:layout>
                <c:manualLayout>
                  <c:x val="-2.2204524052814941E-3"/>
                  <c:y val="-0.11761167697514391"/>
                </c:manualLayout>
              </c:layout>
              <c:numFmt formatCode="#,##0" sourceLinked="0"/>
              <c:spPr/>
              <c:txPr>
                <a:bodyPr/>
                <a:lstStyle/>
                <a:p>
                  <a:pPr>
                    <a:defRPr sz="13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D2CB-4354-A225-5B1DD018292F}"/>
                </c:ext>
              </c:extLst>
            </c:dLbl>
            <c:dLbl>
              <c:idx val="8"/>
              <c:layout>
                <c:manualLayout>
                  <c:x val="7.1309395592871465E-7"/>
                  <c:y val="3.8986354775828458E-2"/>
                </c:manualLayout>
              </c:layout>
              <c:numFmt formatCode="#,##0" sourceLinked="0"/>
              <c:spPr/>
              <c:txPr>
                <a:bodyPr/>
                <a:lstStyle/>
                <a:p>
                  <a:pPr>
                    <a:defRPr sz="13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D2CB-4354-A225-5B1DD018292F}"/>
                </c:ext>
              </c:extLst>
            </c:dLbl>
            <c:dLbl>
              <c:idx val="9"/>
              <c:layout>
                <c:manualLayout>
                  <c:x val="0"/>
                  <c:y val="8.0571799870045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D2CB-4354-A225-5B1DD018292F}"/>
                </c:ext>
              </c:extLst>
            </c:dLbl>
            <c:numFmt formatCode="#,##0" sourceLinked="0"/>
            <c:spPr>
              <a:noFill/>
              <a:ln w="25400">
                <a:noFill/>
              </a:ln>
            </c:spPr>
            <c:txPr>
              <a:bodyPr wrap="square" lIns="38100" tIns="19050" rIns="38100" bIns="19050" anchor="ctr">
                <a:spAutoFit/>
              </a:bodyPr>
              <a:lstStyle/>
              <a:p>
                <a:pPr>
                  <a:defRPr sz="130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'UTILIDAD NETA'!$B$8:$B$17</c:f>
              <c:strCache>
                <c:ptCount val="10"/>
                <c:pt idx="0">
                  <c:v>Utilidad neta marzo 2016</c:v>
                </c:pt>
                <c:pt idx="1">
                  <c:v>Cemento</c:v>
                </c:pt>
                <c:pt idx="2">
                  <c:v>Energía</c:v>
                </c:pt>
                <c:pt idx="3">
                  <c:v>Carbón</c:v>
                </c:pt>
                <c:pt idx="4">
                  <c:v>Inmobiliario</c:v>
                </c:pt>
                <c:pt idx="5">
                  <c:v>Concesiones</c:v>
                </c:pt>
                <c:pt idx="6">
                  <c:v>Corporativos</c:v>
                </c:pt>
                <c:pt idx="7">
                  <c:v>Portafolio</c:v>
                </c:pt>
                <c:pt idx="8">
                  <c:v>Utilidad neta marzo 2017</c:v>
                </c:pt>
                <c:pt idx="9">
                  <c:v>Ppto marzo 2017</c:v>
                </c:pt>
              </c:strCache>
            </c:strRef>
          </c:cat>
          <c:val>
            <c:numRef>
              <c:f>'UTILIDAD NETA'!$D$8:$D$17</c:f>
              <c:numCache>
                <c:formatCode>_(* #,##0_);_(* \(#,##0\);_(* "-"??_);_(@_)</c:formatCode>
                <c:ptCount val="10"/>
                <c:pt idx="1">
                  <c:v>48304.807568205179</c:v>
                </c:pt>
                <c:pt idx="2">
                  <c:v>17138.029284696582</c:v>
                </c:pt>
                <c:pt idx="3">
                  <c:v>8263.3973669022726</c:v>
                </c:pt>
                <c:pt idx="4">
                  <c:v>29390.942264000001</c:v>
                </c:pt>
                <c:pt idx="5">
                  <c:v>15995.513644182389</c:v>
                </c:pt>
                <c:pt idx="6">
                  <c:v>12747.436445586936</c:v>
                </c:pt>
                <c:pt idx="7">
                  <c:v>63797.492500355409</c:v>
                </c:pt>
              </c:numCache>
            </c:numRef>
          </c:val>
          <c:extLst>
            <c:ext xmlns:c16="http://schemas.microsoft.com/office/drawing/2014/chart" uri="{C3380CC4-5D6E-409C-BE32-E72D297353CC}">
              <c16:uniqueId val="{0000002B-D2CB-4354-A225-5B1DD018292F}"/>
            </c:ext>
          </c:extLst>
        </c:ser>
        <c:dLbls>
          <c:showLegendKey val="0"/>
          <c:showVal val="0"/>
          <c:showCatName val="0"/>
          <c:showSerName val="0"/>
          <c:showPercent val="0"/>
          <c:showBubbleSize val="0"/>
        </c:dLbls>
        <c:gapWidth val="150"/>
        <c:overlap val="100"/>
        <c:axId val="608452792"/>
        <c:axId val="608452008"/>
      </c:barChart>
      <c:catAx>
        <c:axId val="608452792"/>
        <c:scaling>
          <c:orientation val="minMax"/>
        </c:scaling>
        <c:delete val="0"/>
        <c:axPos val="b"/>
        <c:numFmt formatCode="General" sourceLinked="1"/>
        <c:majorTickMark val="out"/>
        <c:minorTickMark val="none"/>
        <c:tickLblPos val="low"/>
        <c:spPr>
          <a:ln w="19050">
            <a:solidFill>
              <a:schemeClr val="bg1">
                <a:lumMod val="65000"/>
              </a:schemeClr>
            </a:solidFill>
          </a:ln>
        </c:spPr>
        <c:txPr>
          <a:bodyPr rot="0" vert="horz"/>
          <a:lstStyle/>
          <a:p>
            <a:pPr>
              <a:defRPr sz="800" b="1" i="0" u="none" strike="noStrike" baseline="0">
                <a:solidFill>
                  <a:srgbClr val="000000"/>
                </a:solidFill>
                <a:latin typeface="Arial"/>
                <a:ea typeface="Arial"/>
                <a:cs typeface="Arial"/>
              </a:defRPr>
            </a:pPr>
            <a:endParaRPr lang="es-CO"/>
          </a:p>
        </c:txPr>
        <c:crossAx val="608452008"/>
        <c:crosses val="autoZero"/>
        <c:auto val="1"/>
        <c:lblAlgn val="ctr"/>
        <c:lblOffset val="0"/>
        <c:noMultiLvlLbl val="0"/>
      </c:catAx>
      <c:valAx>
        <c:axId val="608452008"/>
        <c:scaling>
          <c:orientation val="minMax"/>
        </c:scaling>
        <c:delete val="1"/>
        <c:axPos val="l"/>
        <c:numFmt formatCode="_(* #,##0_);_(* \(#,##0\);_(* &quot;-&quot;??_);_(@_)" sourceLinked="1"/>
        <c:majorTickMark val="out"/>
        <c:minorTickMark val="none"/>
        <c:tickLblPos val="nextTo"/>
        <c:crossAx val="608452792"/>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355" l="0.70000000000000062" r="0.70000000000000062" t="0.7500000000000035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Lit>
              <c:ptCount val="6"/>
              <c:pt idx="0">
                <c:v>Ppto a dic. 2011</c:v>
              </c:pt>
              <c:pt idx="1">
                <c:v>Colombia</c:v>
              </c:pt>
              <c:pt idx="2">
                <c:v>EE.UU.</c:v>
              </c:pt>
              <c:pt idx="3">
                <c:v>Caribe</c:v>
              </c:pt>
              <c:pt idx="4">
                <c:v>Otros</c:v>
              </c:pt>
              <c:pt idx="5">
                <c:v>Real a dic. 2011</c:v>
              </c:pt>
            </c:strLit>
          </c:cat>
          <c:val>
            <c:numLit>
              <c:formatCode>General</c:formatCode>
              <c:ptCount val="6"/>
              <c:pt idx="0">
                <c:v>1670.7905559040601</c:v>
              </c:pt>
              <c:pt idx="1">
                <c:v>1670.7905559040601</c:v>
              </c:pt>
              <c:pt idx="2">
                <c:v>1695.566309976133</c:v>
              </c:pt>
              <c:pt idx="3">
                <c:v>1663.1205314935889</c:v>
              </c:pt>
              <c:pt idx="4">
                <c:v>1636.1470000000645</c:v>
              </c:pt>
              <c:pt idx="5">
                <c:v>1636.1470000000645</c:v>
              </c:pt>
            </c:numLit>
          </c:val>
          <c:extLst>
            <c:ext xmlns:c16="http://schemas.microsoft.com/office/drawing/2014/chart" uri="{C3380CC4-5D6E-409C-BE32-E72D297353CC}">
              <c16:uniqueId val="{00000000-7601-4262-939A-15AD609BDEC4}"/>
            </c:ext>
          </c:extLst>
        </c:ser>
        <c:ser>
          <c:idx val="1"/>
          <c:order val="1"/>
          <c:invertIfNegative val="0"/>
          <c:dLbls>
            <c:dLbl>
              <c:idx val="1"/>
              <c:tx>
                <c:rich>
                  <a:bodyPr/>
                  <a:lstStyle/>
                  <a:p>
                    <a:pPr>
                      <a:defRPr sz="1200" b="1" i="0" u="none" strike="noStrike" baseline="0">
                        <a:solidFill>
                          <a:srgbClr val="000000"/>
                        </a:solidFill>
                        <a:latin typeface="Arial"/>
                        <a:ea typeface="Arial"/>
                        <a:cs typeface="Arial"/>
                      </a:defRPr>
                    </a:pPr>
                    <a:r>
                      <a:rPr lang="es-ES"/>
                      <a:t>+ 53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7601-4262-939A-15AD609BDEC4}"/>
                </c:ext>
              </c:extLst>
            </c:dLbl>
            <c:dLbl>
              <c:idx val="2"/>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01-4262-939A-15AD609BDEC4}"/>
                </c:ext>
              </c:extLst>
            </c:dLbl>
            <c:dLbl>
              <c:idx val="3"/>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01-4262-939A-15AD609BDEC4}"/>
                </c:ext>
              </c:extLst>
            </c:dLbl>
            <c:dLbl>
              <c:idx val="4"/>
              <c:tx>
                <c:rich>
                  <a:bodyPr/>
                  <a:lstStyle/>
                  <a:p>
                    <a:pPr>
                      <a:defRPr sz="1200" b="1" i="0" u="none" strike="noStrike" baseline="0">
                        <a:solidFill>
                          <a:srgbClr val="000000"/>
                        </a:solidFill>
                        <a:latin typeface="Arial"/>
                        <a:ea typeface="Arial"/>
                        <a:cs typeface="Arial"/>
                      </a:defRPr>
                    </a:pPr>
                    <a:r>
                      <a:rPr lang="es-ES"/>
                      <a:t>- 27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7601-4262-939A-15AD609BDEC4}"/>
                </c:ext>
              </c:extLst>
            </c:dLbl>
            <c:numFmt formatCode="&quot;-&quot;\ #,##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Ppto a dic. 2011</c:v>
              </c:pt>
              <c:pt idx="1">
                <c:v>Colombia</c:v>
              </c:pt>
              <c:pt idx="2">
                <c:v>EE.UU.</c:v>
              </c:pt>
              <c:pt idx="3">
                <c:v>Caribe</c:v>
              </c:pt>
              <c:pt idx="4">
                <c:v>Otros</c:v>
              </c:pt>
              <c:pt idx="5">
                <c:v>Real a dic. 2011</c:v>
              </c:pt>
            </c:strLit>
          </c:cat>
          <c:val>
            <c:numLit>
              <c:formatCode>General</c:formatCode>
              <c:ptCount val="6"/>
              <c:pt idx="1">
                <c:v>52.83612692600002</c:v>
              </c:pt>
              <c:pt idx="2">
                <c:v>28.060372853927049</c:v>
              </c:pt>
              <c:pt idx="3">
                <c:v>32.445778482543972</c:v>
              </c:pt>
              <c:pt idx="4">
                <c:v>26.973531493524405</c:v>
              </c:pt>
            </c:numLit>
          </c:val>
          <c:extLst>
            <c:ext xmlns:c16="http://schemas.microsoft.com/office/drawing/2014/chart" uri="{C3380CC4-5D6E-409C-BE32-E72D297353CC}">
              <c16:uniqueId val="{00000005-7601-4262-939A-15AD609BDEC4}"/>
            </c:ext>
          </c:extLst>
        </c:ser>
        <c:dLbls>
          <c:showLegendKey val="0"/>
          <c:showVal val="0"/>
          <c:showCatName val="0"/>
          <c:showSerName val="0"/>
          <c:showPercent val="0"/>
          <c:showBubbleSize val="0"/>
        </c:dLbls>
        <c:gapWidth val="150"/>
        <c:overlap val="100"/>
        <c:axId val="617537312"/>
        <c:axId val="617536920"/>
      </c:barChart>
      <c:catAx>
        <c:axId val="617537312"/>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1100" b="1" i="0" u="none" strike="noStrike" baseline="0">
                <a:solidFill>
                  <a:srgbClr val="000000"/>
                </a:solidFill>
                <a:latin typeface="Arial"/>
                <a:ea typeface="Arial"/>
                <a:cs typeface="Arial"/>
              </a:defRPr>
            </a:pPr>
            <a:endParaRPr lang="es-CO"/>
          </a:p>
        </c:txPr>
        <c:crossAx val="617536920"/>
        <c:crosses val="autoZero"/>
        <c:auto val="1"/>
        <c:lblAlgn val="ctr"/>
        <c:lblOffset val="100"/>
        <c:noMultiLvlLbl val="0"/>
      </c:catAx>
      <c:valAx>
        <c:axId val="617536920"/>
        <c:scaling>
          <c:orientation val="minMax"/>
          <c:max val="1800"/>
          <c:min val="0"/>
        </c:scaling>
        <c:delete val="0"/>
        <c:axPos val="l"/>
        <c:numFmt formatCode="General" sourceLinked="1"/>
        <c:majorTickMark val="none"/>
        <c:minorTickMark val="none"/>
        <c:tickLblPos val="none"/>
        <c:spPr>
          <a:ln>
            <a:solidFill>
              <a:schemeClr val="bg1"/>
            </a:solidFill>
          </a:ln>
        </c:spPr>
        <c:crossAx val="617537312"/>
        <c:crosses val="autoZero"/>
        <c:crossBetween val="between"/>
        <c:majorUnit val="10"/>
        <c:minorUnit val="3.6"/>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377" l="0.70000000000000062" r="0.70000000000000062" t="0.750000000000003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Lit>
              <c:ptCount val="6"/>
              <c:pt idx="0">
                <c:v>Ppto a dic. 2011</c:v>
              </c:pt>
              <c:pt idx="1">
                <c:v>Colombia</c:v>
              </c:pt>
              <c:pt idx="2">
                <c:v>EE.UU.</c:v>
              </c:pt>
              <c:pt idx="3">
                <c:v>Caribe</c:v>
              </c:pt>
              <c:pt idx="4">
                <c:v>Otros</c:v>
              </c:pt>
              <c:pt idx="5">
                <c:v>Real a dic. 2011</c:v>
              </c:pt>
            </c:strLit>
          </c:cat>
          <c:val>
            <c:numLit>
              <c:formatCode>General</c:formatCode>
              <c:ptCount val="6"/>
              <c:pt idx="0">
                <c:v>258.56819704383702</c:v>
              </c:pt>
              <c:pt idx="1">
                <c:v>258.56819704383702</c:v>
              </c:pt>
              <c:pt idx="2">
                <c:v>280.35849533998254</c:v>
              </c:pt>
              <c:pt idx="3">
                <c:v>280.35849533998254</c:v>
              </c:pt>
              <c:pt idx="4">
                <c:v>293.47761679224243</c:v>
              </c:pt>
              <c:pt idx="5">
                <c:v>295.27193766328725</c:v>
              </c:pt>
            </c:numLit>
          </c:val>
          <c:extLst>
            <c:ext xmlns:c16="http://schemas.microsoft.com/office/drawing/2014/chart" uri="{C3380CC4-5D6E-409C-BE32-E72D297353CC}">
              <c16:uniqueId val="{00000000-DB86-48A9-AB0F-215CF080224D}"/>
            </c:ext>
          </c:extLst>
        </c:ser>
        <c:ser>
          <c:idx val="1"/>
          <c:order val="1"/>
          <c:invertIfNegative val="0"/>
          <c:dLbls>
            <c:dLbl>
              <c:idx val="1"/>
              <c:tx>
                <c:rich>
                  <a:bodyPr/>
                  <a:lstStyle/>
                  <a:p>
                    <a:pPr>
                      <a:defRPr sz="1200" b="1" i="0" u="none" strike="noStrike" baseline="0">
                        <a:solidFill>
                          <a:srgbClr val="000000"/>
                        </a:solidFill>
                        <a:latin typeface="Arial"/>
                        <a:ea typeface="Arial"/>
                        <a:cs typeface="Arial"/>
                      </a:defRPr>
                    </a:pPr>
                    <a:r>
                      <a:rPr lang="es-ES"/>
                      <a:t>+ 31</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B86-48A9-AB0F-215CF080224D}"/>
                </c:ext>
              </c:extLst>
            </c:dLbl>
            <c:dLbl>
              <c:idx val="2"/>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86-48A9-AB0F-215CF080224D}"/>
                </c:ext>
              </c:extLst>
            </c:dLbl>
            <c:dLbl>
              <c:idx val="3"/>
              <c:tx>
                <c:rich>
                  <a:bodyPr/>
                  <a:lstStyle/>
                  <a:p>
                    <a:pPr>
                      <a:defRPr sz="1200" b="1" i="0" u="none" strike="noStrike" baseline="0">
                        <a:solidFill>
                          <a:srgbClr val="000000"/>
                        </a:solidFill>
                        <a:latin typeface="Arial"/>
                        <a:ea typeface="Arial"/>
                        <a:cs typeface="Arial"/>
                      </a:defRPr>
                    </a:pPr>
                    <a:r>
                      <a:rPr lang="es-ES"/>
                      <a:t>+ 13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DB86-48A9-AB0F-215CF080224D}"/>
                </c:ext>
              </c:extLst>
            </c:dLbl>
            <c:dLbl>
              <c:idx val="4"/>
              <c:tx>
                <c:rich>
                  <a:bodyPr/>
                  <a:lstStyle/>
                  <a:p>
                    <a:pPr>
                      <a:defRPr sz="1200" b="1" i="0" u="none" strike="noStrike" baseline="0">
                        <a:solidFill>
                          <a:srgbClr val="000000"/>
                        </a:solidFill>
                        <a:latin typeface="Arial"/>
                        <a:ea typeface="Arial"/>
                        <a:cs typeface="Arial"/>
                      </a:defRPr>
                    </a:pPr>
                    <a:r>
                      <a:rPr lang="es-ES"/>
                      <a:t>+ 2</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DB86-48A9-AB0F-215CF080224D}"/>
                </c:ext>
              </c:extLst>
            </c:dLbl>
            <c:numFmt formatCode="&quot;-&quot;\ #,##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Ppto a dic. 2011</c:v>
              </c:pt>
              <c:pt idx="1">
                <c:v>Colombia</c:v>
              </c:pt>
              <c:pt idx="2">
                <c:v>EE.UU.</c:v>
              </c:pt>
              <c:pt idx="3">
                <c:v>Caribe</c:v>
              </c:pt>
              <c:pt idx="4">
                <c:v>Otros</c:v>
              </c:pt>
              <c:pt idx="5">
                <c:v>Real a dic. 2011</c:v>
              </c:pt>
            </c:strLit>
          </c:cat>
          <c:val>
            <c:numLit>
              <c:formatCode>General</c:formatCode>
              <c:ptCount val="6"/>
              <c:pt idx="1">
                <c:v>30.899603648679999</c:v>
              </c:pt>
              <c:pt idx="2">
                <c:v>9.1093053525344594</c:v>
              </c:pt>
              <c:pt idx="3">
                <c:v>13.11912145225989</c:v>
              </c:pt>
              <c:pt idx="4">
                <c:v>1.7943208710448033</c:v>
              </c:pt>
            </c:numLit>
          </c:val>
          <c:extLst>
            <c:ext xmlns:c16="http://schemas.microsoft.com/office/drawing/2014/chart" uri="{C3380CC4-5D6E-409C-BE32-E72D297353CC}">
              <c16:uniqueId val="{00000005-DB86-48A9-AB0F-215CF080224D}"/>
            </c:ext>
          </c:extLst>
        </c:ser>
        <c:dLbls>
          <c:showLegendKey val="0"/>
          <c:showVal val="0"/>
          <c:showCatName val="0"/>
          <c:showSerName val="0"/>
          <c:showPercent val="0"/>
          <c:showBubbleSize val="0"/>
        </c:dLbls>
        <c:gapWidth val="150"/>
        <c:overlap val="100"/>
        <c:axId val="1091307120"/>
        <c:axId val="1091306336"/>
      </c:barChart>
      <c:catAx>
        <c:axId val="1091307120"/>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1100" b="1" i="0" u="none" strike="noStrike" baseline="0">
                <a:solidFill>
                  <a:srgbClr val="000000"/>
                </a:solidFill>
                <a:latin typeface="Arial"/>
                <a:ea typeface="Arial"/>
                <a:cs typeface="Arial"/>
              </a:defRPr>
            </a:pPr>
            <a:endParaRPr lang="es-CO"/>
          </a:p>
        </c:txPr>
        <c:crossAx val="1091306336"/>
        <c:crosses val="autoZero"/>
        <c:auto val="1"/>
        <c:lblAlgn val="ctr"/>
        <c:lblOffset val="100"/>
        <c:noMultiLvlLbl val="0"/>
      </c:catAx>
      <c:valAx>
        <c:axId val="1091306336"/>
        <c:scaling>
          <c:orientation val="minMax"/>
          <c:max val="340"/>
          <c:min val="0"/>
        </c:scaling>
        <c:delete val="0"/>
        <c:axPos val="l"/>
        <c:numFmt formatCode="General" sourceLinked="1"/>
        <c:majorTickMark val="none"/>
        <c:minorTickMark val="none"/>
        <c:tickLblPos val="none"/>
        <c:spPr>
          <a:ln>
            <a:solidFill>
              <a:schemeClr val="bg1"/>
            </a:solidFill>
          </a:ln>
        </c:spPr>
        <c:crossAx val="1091307120"/>
        <c:crosses val="autoZero"/>
        <c:crossBetween val="between"/>
        <c:majorUnit val="5"/>
        <c:minorUnit val="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4" l="0.70000000000000062" r="0.70000000000000062" t="0.750000000000004" header="0.30000000000000032" footer="0.30000000000000032"/>
    <c:pageSetup orientation="portrait"/>
  </c:printSettings>
</c:chartSpac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50800</xdr:colOff>
          <xdr:row>0</xdr:row>
          <xdr:rowOff>0</xdr:rowOff>
        </xdr:to>
        <xdr:sp macro="" textlink="">
          <xdr:nvSpPr>
            <xdr:cNvPr id="38913" name="FPMExcelClientSheetOptionstb1" hidden="1">
              <a:extLst>
                <a:ext uri="{63B3BB69-23CF-44E3-9099-C40C66FF867C}">
                  <a14:compatExt spid="_x0000_s38913"/>
                </a:ext>
                <a:ext uri="{FF2B5EF4-FFF2-40B4-BE49-F238E27FC236}">
                  <a16:creationId xmlns:a16="http://schemas.microsoft.com/office/drawing/2014/main" id="{00000000-0008-0000-0000-0000019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762000</xdr:colOff>
          <xdr:row>0</xdr:row>
          <xdr:rowOff>0</xdr:rowOff>
        </xdr:to>
        <xdr:sp macro="" textlink="">
          <xdr:nvSpPr>
            <xdr:cNvPr id="39937" name="FPMExcelClientSheetOptionstb1" hidden="1">
              <a:extLst>
                <a:ext uri="{63B3BB69-23CF-44E3-9099-C40C66FF867C}">
                  <a14:compatExt spid="_x0000_s39937"/>
                </a:ext>
                <a:ext uri="{FF2B5EF4-FFF2-40B4-BE49-F238E27FC236}">
                  <a16:creationId xmlns:a16="http://schemas.microsoft.com/office/drawing/2014/main" id="{00000000-0008-0000-0100-0000019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1085850</xdr:colOff>
      <xdr:row>20</xdr:row>
      <xdr:rowOff>28575</xdr:rowOff>
    </xdr:from>
    <xdr:to>
      <xdr:col>10</xdr:col>
      <xdr:colOff>200025</xdr:colOff>
      <xdr:row>40</xdr:row>
      <xdr:rowOff>180975</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762000</xdr:colOff>
      <xdr:row>51</xdr:row>
      <xdr:rowOff>66675</xdr:rowOff>
    </xdr:from>
    <xdr:to>
      <xdr:col>11</xdr:col>
      <xdr:colOff>609600</xdr:colOff>
      <xdr:row>62</xdr:row>
      <xdr:rowOff>180975</xdr:rowOff>
    </xdr:to>
    <xdr:graphicFrame macro="">
      <xdr:nvGraphicFramePr>
        <xdr:cNvPr id="3" name="3 Gráfico">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990600</xdr:colOff>
      <xdr:row>77</xdr:row>
      <xdr:rowOff>123825</xdr:rowOff>
    </xdr:from>
    <xdr:to>
      <xdr:col>12</xdr:col>
      <xdr:colOff>38100</xdr:colOff>
      <xdr:row>89</xdr:row>
      <xdr:rowOff>123825</xdr:rowOff>
    </xdr:to>
    <xdr:graphicFrame macro="">
      <xdr:nvGraphicFramePr>
        <xdr:cNvPr id="4" name="5 Gráfico">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571500</xdr:colOff>
      <xdr:row>42</xdr:row>
      <xdr:rowOff>9525</xdr:rowOff>
    </xdr:from>
    <xdr:to>
      <xdr:col>6</xdr:col>
      <xdr:colOff>209550</xdr:colOff>
      <xdr:row>46</xdr:row>
      <xdr:rowOff>95250</xdr:rowOff>
    </xdr:to>
    <xdr:sp macro="" textlink="">
      <xdr:nvSpPr>
        <xdr:cNvPr id="5" name="AutoShape 82">
          <a:extLst>
            <a:ext uri="{FF2B5EF4-FFF2-40B4-BE49-F238E27FC236}">
              <a16:creationId xmlns:a16="http://schemas.microsoft.com/office/drawing/2014/main" id="{00000000-0008-0000-0500-000005000000}"/>
            </a:ext>
          </a:extLst>
        </xdr:cNvPr>
        <xdr:cNvSpPr>
          <a:spLocks noChangeArrowheads="1"/>
        </xdr:cNvSpPr>
      </xdr:nvSpPr>
      <xdr:spPr bwMode="auto">
        <a:xfrm>
          <a:off x="4171950" y="8058150"/>
          <a:ext cx="3352800" cy="0"/>
        </a:xfrm>
        <a:prstGeom prst="wedgeRoundRectCallout">
          <a:avLst>
            <a:gd name="adj1" fmla="val -50981"/>
            <a:gd name="adj2" fmla="val 93819"/>
            <a:gd name="adj3" fmla="val 16667"/>
          </a:avLst>
        </a:prstGeom>
        <a:solidFill>
          <a:srgbClr val="99CCFF"/>
        </a:solidFill>
        <a:ln w="9525">
          <a:solidFill>
            <a:srgbClr val="000000"/>
          </a:solidFill>
          <a:miter lim="800000"/>
          <a:headEnd/>
          <a:tailEnd/>
        </a:ln>
      </xdr:spPr>
      <xdr:txBody>
        <a:bodyPr vertOverflow="clip" wrap="square" lIns="36576" tIns="36576" rIns="36576" bIns="0" anchor="t" upright="1"/>
        <a:lstStyle/>
        <a:p>
          <a:pPr algn="ctr" rtl="0">
            <a:defRPr sz="1000"/>
          </a:pPr>
          <a:r>
            <a:rPr lang="es-CO" sz="1600" b="1" i="0" u="none" strike="noStrike" baseline="0">
              <a:solidFill>
                <a:srgbClr val="FF0000"/>
              </a:solidFill>
              <a:latin typeface="Calibri"/>
            </a:rPr>
            <a:t>no va</a:t>
          </a:r>
        </a:p>
      </xdr:txBody>
    </xdr:sp>
    <xdr:clientData/>
  </xdr:twoCellAnchor>
  <xdr:twoCellAnchor>
    <xdr:from>
      <xdr:col>4</xdr:col>
      <xdr:colOff>472440</xdr:colOff>
      <xdr:row>41</xdr:row>
      <xdr:rowOff>0</xdr:rowOff>
    </xdr:from>
    <xdr:to>
      <xdr:col>7</xdr:col>
      <xdr:colOff>112390</xdr:colOff>
      <xdr:row>41</xdr:row>
      <xdr:rowOff>0</xdr:rowOff>
    </xdr:to>
    <xdr:sp macro="" textlink="">
      <xdr:nvSpPr>
        <xdr:cNvPr id="6" name="AutoShape 83">
          <a:extLst>
            <a:ext uri="{FF2B5EF4-FFF2-40B4-BE49-F238E27FC236}">
              <a16:creationId xmlns:a16="http://schemas.microsoft.com/office/drawing/2014/main" id="{00000000-0008-0000-0500-000006000000}"/>
            </a:ext>
          </a:extLst>
        </xdr:cNvPr>
        <xdr:cNvSpPr>
          <a:spLocks noChangeArrowheads="1"/>
        </xdr:cNvSpPr>
      </xdr:nvSpPr>
      <xdr:spPr bwMode="auto">
        <a:xfrm>
          <a:off x="4644390" y="8058150"/>
          <a:ext cx="3745225" cy="0"/>
        </a:xfrm>
        <a:prstGeom prst="wedgeRoundRectCallout">
          <a:avLst>
            <a:gd name="adj1" fmla="val -92157"/>
            <a:gd name="adj2" fmla="val 18537"/>
            <a:gd name="adj3" fmla="val 16667"/>
          </a:avLst>
        </a:prstGeom>
        <a:solidFill>
          <a:srgbClr val="99CCFF"/>
        </a:solidFill>
        <a:ln w="9525">
          <a:solidFill>
            <a:srgbClr val="000000"/>
          </a:solidFill>
          <a:miter lim="800000"/>
          <a:headEnd/>
          <a:tailEnd/>
        </a:ln>
      </xdr:spPr>
      <xdr:txBody>
        <a:bodyPr vertOverflow="clip" wrap="square" lIns="36576" tIns="36576" rIns="36576" bIns="0" anchor="t" upright="1"/>
        <a:lstStyle/>
        <a:p>
          <a:pPr algn="ctr" rtl="0">
            <a:defRPr sz="1000"/>
          </a:pPr>
          <a:r>
            <a:rPr lang="es-CO" sz="1600" b="1" i="0" u="none" strike="noStrike" baseline="0">
              <a:solidFill>
                <a:srgbClr val="FF0000"/>
              </a:solidFill>
              <a:latin typeface="Calibri"/>
            </a:rPr>
            <a:t>no va</a:t>
          </a:r>
        </a:p>
      </xdr:txBody>
    </xdr:sp>
    <xdr:clientData/>
  </xdr:twoCellAnchor>
  <xdr:twoCellAnchor>
    <xdr:from>
      <xdr:col>0</xdr:col>
      <xdr:colOff>0</xdr:colOff>
      <xdr:row>31</xdr:row>
      <xdr:rowOff>24683</xdr:rowOff>
    </xdr:from>
    <xdr:to>
      <xdr:col>25</xdr:col>
      <xdr:colOff>466725</xdr:colOff>
      <xdr:row>31</xdr:row>
      <xdr:rowOff>24683</xdr:rowOff>
    </xdr:to>
    <xdr:sp macro="" textlink="">
      <xdr:nvSpPr>
        <xdr:cNvPr id="7" name="Line 74">
          <a:extLst>
            <a:ext uri="{FF2B5EF4-FFF2-40B4-BE49-F238E27FC236}">
              <a16:creationId xmlns:a16="http://schemas.microsoft.com/office/drawing/2014/main" id="{00000000-0008-0000-0500-000007000000}"/>
            </a:ext>
          </a:extLst>
        </xdr:cNvPr>
        <xdr:cNvSpPr>
          <a:spLocks noChangeShapeType="1"/>
        </xdr:cNvSpPr>
      </xdr:nvSpPr>
      <xdr:spPr bwMode="auto">
        <a:xfrm>
          <a:off x="0" y="6177833"/>
          <a:ext cx="22536150" cy="0"/>
        </a:xfrm>
        <a:prstGeom prst="line">
          <a:avLst/>
        </a:prstGeom>
        <a:noFill/>
        <a:ln w="3175">
          <a:solidFill>
            <a:srgbClr val="993366"/>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628650</xdr:colOff>
      <xdr:row>20</xdr:row>
      <xdr:rowOff>133349</xdr:rowOff>
    </xdr:from>
    <xdr:to>
      <xdr:col>10</xdr:col>
      <xdr:colOff>695325</xdr:colOff>
      <xdr:row>94</xdr:row>
      <xdr:rowOff>161924</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762000</xdr:colOff>
      <xdr:row>51</xdr:row>
      <xdr:rowOff>66675</xdr:rowOff>
    </xdr:from>
    <xdr:to>
      <xdr:col>12</xdr:col>
      <xdr:colOff>609600</xdr:colOff>
      <xdr:row>62</xdr:row>
      <xdr:rowOff>180975</xdr:rowOff>
    </xdr:to>
    <xdr:graphicFrame macro="">
      <xdr:nvGraphicFramePr>
        <xdr:cNvPr id="3" name="3 Gráfico">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990600</xdr:colOff>
      <xdr:row>77</xdr:row>
      <xdr:rowOff>123825</xdr:rowOff>
    </xdr:from>
    <xdr:to>
      <xdr:col>13</xdr:col>
      <xdr:colOff>38100</xdr:colOff>
      <xdr:row>89</xdr:row>
      <xdr:rowOff>123825</xdr:rowOff>
    </xdr:to>
    <xdr:graphicFrame macro="">
      <xdr:nvGraphicFramePr>
        <xdr:cNvPr id="4" name="5 Gráfico">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567690</xdr:colOff>
      <xdr:row>41</xdr:row>
      <xdr:rowOff>0</xdr:rowOff>
    </xdr:from>
    <xdr:to>
      <xdr:col>7</xdr:col>
      <xdr:colOff>209575</xdr:colOff>
      <xdr:row>41</xdr:row>
      <xdr:rowOff>0</xdr:rowOff>
    </xdr:to>
    <xdr:sp macro="" textlink="">
      <xdr:nvSpPr>
        <xdr:cNvPr id="5" name="AutoShape 82">
          <a:extLst>
            <a:ext uri="{FF2B5EF4-FFF2-40B4-BE49-F238E27FC236}">
              <a16:creationId xmlns:a16="http://schemas.microsoft.com/office/drawing/2014/main" id="{00000000-0008-0000-0600-000005000000}"/>
            </a:ext>
          </a:extLst>
        </xdr:cNvPr>
        <xdr:cNvSpPr>
          <a:spLocks noChangeArrowheads="1"/>
        </xdr:cNvSpPr>
      </xdr:nvSpPr>
      <xdr:spPr bwMode="auto">
        <a:xfrm>
          <a:off x="3434715" y="8134350"/>
          <a:ext cx="3394735" cy="0"/>
        </a:xfrm>
        <a:prstGeom prst="wedgeRoundRectCallout">
          <a:avLst>
            <a:gd name="adj1" fmla="val -50981"/>
            <a:gd name="adj2" fmla="val 93819"/>
            <a:gd name="adj3" fmla="val 16667"/>
          </a:avLst>
        </a:prstGeom>
        <a:solidFill>
          <a:srgbClr val="99CCFF"/>
        </a:solidFill>
        <a:ln w="9525">
          <a:solidFill>
            <a:srgbClr val="000000"/>
          </a:solidFill>
          <a:miter lim="800000"/>
          <a:headEnd/>
          <a:tailEnd/>
        </a:ln>
      </xdr:spPr>
      <xdr:txBody>
        <a:bodyPr vertOverflow="clip" wrap="square" lIns="36576" tIns="36576" rIns="36576" bIns="0" anchor="t" upright="1"/>
        <a:lstStyle/>
        <a:p>
          <a:pPr algn="ctr" rtl="0">
            <a:defRPr sz="1000"/>
          </a:pPr>
          <a:r>
            <a:rPr lang="es-CO" sz="1600" b="1" i="0" u="none" strike="noStrike" baseline="0">
              <a:solidFill>
                <a:srgbClr val="FF0000"/>
              </a:solidFill>
              <a:latin typeface="Calibri"/>
            </a:rPr>
            <a:t>no va</a:t>
          </a:r>
        </a:p>
      </xdr:txBody>
    </xdr:sp>
    <xdr:clientData/>
  </xdr:twoCellAnchor>
  <xdr:twoCellAnchor>
    <xdr:from>
      <xdr:col>4</xdr:col>
      <xdr:colOff>462915</xdr:colOff>
      <xdr:row>41</xdr:row>
      <xdr:rowOff>0</xdr:rowOff>
    </xdr:from>
    <xdr:to>
      <xdr:col>8</xdr:col>
      <xdr:colOff>114278</xdr:colOff>
      <xdr:row>41</xdr:row>
      <xdr:rowOff>0</xdr:rowOff>
    </xdr:to>
    <xdr:sp macro="" textlink="">
      <xdr:nvSpPr>
        <xdr:cNvPr id="6" name="AutoShape 83">
          <a:extLst>
            <a:ext uri="{FF2B5EF4-FFF2-40B4-BE49-F238E27FC236}">
              <a16:creationId xmlns:a16="http://schemas.microsoft.com/office/drawing/2014/main" id="{00000000-0008-0000-0600-000006000000}"/>
            </a:ext>
          </a:extLst>
        </xdr:cNvPr>
        <xdr:cNvSpPr>
          <a:spLocks noChangeArrowheads="1"/>
        </xdr:cNvSpPr>
      </xdr:nvSpPr>
      <xdr:spPr bwMode="auto">
        <a:xfrm>
          <a:off x="4234815" y="8134350"/>
          <a:ext cx="3489938" cy="0"/>
        </a:xfrm>
        <a:prstGeom prst="wedgeRoundRectCallout">
          <a:avLst>
            <a:gd name="adj1" fmla="val -92157"/>
            <a:gd name="adj2" fmla="val 18537"/>
            <a:gd name="adj3" fmla="val 16667"/>
          </a:avLst>
        </a:prstGeom>
        <a:solidFill>
          <a:srgbClr val="99CCFF"/>
        </a:solidFill>
        <a:ln w="9525">
          <a:solidFill>
            <a:srgbClr val="000000"/>
          </a:solidFill>
          <a:miter lim="800000"/>
          <a:headEnd/>
          <a:tailEnd/>
        </a:ln>
      </xdr:spPr>
      <xdr:txBody>
        <a:bodyPr vertOverflow="clip" wrap="square" lIns="36576" tIns="36576" rIns="36576" bIns="0" anchor="t" upright="1"/>
        <a:lstStyle/>
        <a:p>
          <a:pPr algn="ctr" rtl="0">
            <a:defRPr sz="1000"/>
          </a:pPr>
          <a:r>
            <a:rPr lang="es-CO" sz="1600" b="1" i="0" u="none" strike="noStrike" baseline="0">
              <a:solidFill>
                <a:srgbClr val="FF0000"/>
              </a:solidFill>
              <a:latin typeface="Calibri"/>
            </a:rPr>
            <a:t>no va</a:t>
          </a:r>
        </a:p>
      </xdr:txBody>
    </xdr:sp>
    <xdr:clientData/>
  </xdr:twoCellAnchor>
  <xdr:twoCellAnchor>
    <xdr:from>
      <xdr:col>0</xdr:col>
      <xdr:colOff>0</xdr:colOff>
      <xdr:row>98</xdr:row>
      <xdr:rowOff>55399</xdr:rowOff>
    </xdr:from>
    <xdr:to>
      <xdr:col>24</xdr:col>
      <xdr:colOff>314325</xdr:colOff>
      <xdr:row>98</xdr:row>
      <xdr:rowOff>55399</xdr:rowOff>
    </xdr:to>
    <xdr:sp macro="" textlink="">
      <xdr:nvSpPr>
        <xdr:cNvPr id="7" name="Line 74">
          <a:extLst>
            <a:ext uri="{FF2B5EF4-FFF2-40B4-BE49-F238E27FC236}">
              <a16:creationId xmlns:a16="http://schemas.microsoft.com/office/drawing/2014/main" id="{00000000-0008-0000-0600-000007000000}"/>
            </a:ext>
          </a:extLst>
        </xdr:cNvPr>
        <xdr:cNvSpPr>
          <a:spLocks noChangeShapeType="1"/>
        </xdr:cNvSpPr>
      </xdr:nvSpPr>
      <xdr:spPr bwMode="auto">
        <a:xfrm>
          <a:off x="0" y="8951749"/>
          <a:ext cx="19411950" cy="0"/>
        </a:xfrm>
        <a:prstGeom prst="line">
          <a:avLst/>
        </a:prstGeom>
        <a:noFill/>
        <a:ln w="3175">
          <a:solidFill>
            <a:srgbClr val="993366"/>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596265</xdr:colOff>
      <xdr:row>21</xdr:row>
      <xdr:rowOff>114299</xdr:rowOff>
    </xdr:from>
    <xdr:to>
      <xdr:col>11</xdr:col>
      <xdr:colOff>510540</xdr:colOff>
      <xdr:row>100</xdr:row>
      <xdr:rowOff>85725</xdr:rowOff>
    </xdr:to>
    <xdr:graphicFrame macro="">
      <xdr:nvGraphicFramePr>
        <xdr:cNvPr id="2" name="1 Gráfico">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762000</xdr:colOff>
      <xdr:row>53</xdr:row>
      <xdr:rowOff>66675</xdr:rowOff>
    </xdr:from>
    <xdr:to>
      <xdr:col>12</xdr:col>
      <xdr:colOff>609600</xdr:colOff>
      <xdr:row>64</xdr:row>
      <xdr:rowOff>180975</xdr:rowOff>
    </xdr:to>
    <xdr:graphicFrame macro="">
      <xdr:nvGraphicFramePr>
        <xdr:cNvPr id="3" name="3 Gráfico">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990600</xdr:colOff>
      <xdr:row>79</xdr:row>
      <xdr:rowOff>123825</xdr:rowOff>
    </xdr:from>
    <xdr:to>
      <xdr:col>13</xdr:col>
      <xdr:colOff>38100</xdr:colOff>
      <xdr:row>91</xdr:row>
      <xdr:rowOff>123825</xdr:rowOff>
    </xdr:to>
    <xdr:graphicFrame macro="">
      <xdr:nvGraphicFramePr>
        <xdr:cNvPr id="4" name="5 Gráfico">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571500</xdr:colOff>
      <xdr:row>44</xdr:row>
      <xdr:rowOff>9525</xdr:rowOff>
    </xdr:from>
    <xdr:to>
      <xdr:col>7</xdr:col>
      <xdr:colOff>209550</xdr:colOff>
      <xdr:row>48</xdr:row>
      <xdr:rowOff>95250</xdr:rowOff>
    </xdr:to>
    <xdr:sp macro="" textlink="">
      <xdr:nvSpPr>
        <xdr:cNvPr id="5" name="AutoShape 82">
          <a:extLst>
            <a:ext uri="{FF2B5EF4-FFF2-40B4-BE49-F238E27FC236}">
              <a16:creationId xmlns:a16="http://schemas.microsoft.com/office/drawing/2014/main" id="{00000000-0008-0000-0700-000005000000}"/>
            </a:ext>
          </a:extLst>
        </xdr:cNvPr>
        <xdr:cNvSpPr>
          <a:spLocks noChangeArrowheads="1"/>
        </xdr:cNvSpPr>
      </xdr:nvSpPr>
      <xdr:spPr bwMode="auto">
        <a:xfrm>
          <a:off x="3581400" y="8343900"/>
          <a:ext cx="3314700" cy="0"/>
        </a:xfrm>
        <a:prstGeom prst="wedgeRoundRectCallout">
          <a:avLst>
            <a:gd name="adj1" fmla="val -50981"/>
            <a:gd name="adj2" fmla="val 93819"/>
            <a:gd name="adj3" fmla="val 16667"/>
          </a:avLst>
        </a:prstGeom>
        <a:solidFill>
          <a:srgbClr val="99CCFF"/>
        </a:solidFill>
        <a:ln w="9525">
          <a:solidFill>
            <a:srgbClr val="000000"/>
          </a:solidFill>
          <a:miter lim="800000"/>
          <a:headEnd/>
          <a:tailEnd/>
        </a:ln>
      </xdr:spPr>
      <xdr:txBody>
        <a:bodyPr vertOverflow="clip" wrap="square" lIns="36576" tIns="36576" rIns="36576" bIns="0" anchor="t" upright="1"/>
        <a:lstStyle/>
        <a:p>
          <a:pPr algn="ctr" rtl="0">
            <a:defRPr sz="1000"/>
          </a:pPr>
          <a:r>
            <a:rPr lang="es-CO" sz="1600" b="1" i="0" u="none" strike="noStrike" baseline="0">
              <a:solidFill>
                <a:srgbClr val="FF0000"/>
              </a:solidFill>
              <a:latin typeface="Calibri"/>
            </a:rPr>
            <a:t>no va</a:t>
          </a:r>
        </a:p>
      </xdr:txBody>
    </xdr:sp>
    <xdr:clientData/>
  </xdr:twoCellAnchor>
  <xdr:twoCellAnchor>
    <xdr:from>
      <xdr:col>4</xdr:col>
      <xdr:colOff>462915</xdr:colOff>
      <xdr:row>43</xdr:row>
      <xdr:rowOff>0</xdr:rowOff>
    </xdr:from>
    <xdr:to>
      <xdr:col>8</xdr:col>
      <xdr:colOff>114264</xdr:colOff>
      <xdr:row>43</xdr:row>
      <xdr:rowOff>0</xdr:rowOff>
    </xdr:to>
    <xdr:sp macro="" textlink="">
      <xdr:nvSpPr>
        <xdr:cNvPr id="6" name="AutoShape 83">
          <a:extLst>
            <a:ext uri="{FF2B5EF4-FFF2-40B4-BE49-F238E27FC236}">
              <a16:creationId xmlns:a16="http://schemas.microsoft.com/office/drawing/2014/main" id="{00000000-0008-0000-0700-000006000000}"/>
            </a:ext>
          </a:extLst>
        </xdr:cNvPr>
        <xdr:cNvSpPr>
          <a:spLocks noChangeArrowheads="1"/>
        </xdr:cNvSpPr>
      </xdr:nvSpPr>
      <xdr:spPr bwMode="auto">
        <a:xfrm>
          <a:off x="4091940" y="8343900"/>
          <a:ext cx="4185249" cy="0"/>
        </a:xfrm>
        <a:prstGeom prst="wedgeRoundRectCallout">
          <a:avLst>
            <a:gd name="adj1" fmla="val -92157"/>
            <a:gd name="adj2" fmla="val 18537"/>
            <a:gd name="adj3" fmla="val 16667"/>
          </a:avLst>
        </a:prstGeom>
        <a:solidFill>
          <a:srgbClr val="99CCFF"/>
        </a:solidFill>
        <a:ln w="9525">
          <a:solidFill>
            <a:srgbClr val="000000"/>
          </a:solidFill>
          <a:miter lim="800000"/>
          <a:headEnd/>
          <a:tailEnd/>
        </a:ln>
      </xdr:spPr>
      <xdr:txBody>
        <a:bodyPr vertOverflow="clip" wrap="square" lIns="36576" tIns="36576" rIns="36576" bIns="0" anchor="t" upright="1"/>
        <a:lstStyle/>
        <a:p>
          <a:pPr algn="ctr" rtl="0">
            <a:defRPr sz="1000"/>
          </a:pPr>
          <a:r>
            <a:rPr lang="es-CO" sz="1600" b="1" i="0" u="none" strike="noStrike" baseline="0">
              <a:solidFill>
                <a:srgbClr val="FF0000"/>
              </a:solidFill>
              <a:latin typeface="Calibri"/>
            </a:rPr>
            <a:t>no va</a:t>
          </a:r>
        </a:p>
      </xdr:txBody>
    </xdr:sp>
    <xdr:clientData/>
  </xdr:twoCellAnchor>
  <xdr:twoCellAnchor>
    <xdr:from>
      <xdr:col>0</xdr:col>
      <xdr:colOff>0</xdr:colOff>
      <xdr:row>105</xdr:row>
      <xdr:rowOff>750</xdr:rowOff>
    </xdr:from>
    <xdr:to>
      <xdr:col>24</xdr:col>
      <xdr:colOff>161925</xdr:colOff>
      <xdr:row>105</xdr:row>
      <xdr:rowOff>750</xdr:rowOff>
    </xdr:to>
    <xdr:sp macro="" textlink="">
      <xdr:nvSpPr>
        <xdr:cNvPr id="7" name="Line 74">
          <a:extLst>
            <a:ext uri="{FF2B5EF4-FFF2-40B4-BE49-F238E27FC236}">
              <a16:creationId xmlns:a16="http://schemas.microsoft.com/office/drawing/2014/main" id="{00000000-0008-0000-0700-000007000000}"/>
            </a:ext>
          </a:extLst>
        </xdr:cNvPr>
        <xdr:cNvSpPr>
          <a:spLocks noChangeShapeType="1"/>
        </xdr:cNvSpPr>
      </xdr:nvSpPr>
      <xdr:spPr bwMode="auto">
        <a:xfrm>
          <a:off x="0" y="10059150"/>
          <a:ext cx="19773900" cy="0"/>
        </a:xfrm>
        <a:prstGeom prst="line">
          <a:avLst/>
        </a:prstGeom>
        <a:noFill/>
        <a:ln w="3175">
          <a:solidFill>
            <a:srgbClr val="993366"/>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esp00\data$\DOCUME~1\mprats.ARG\CONFIG~1\Temp\notesE8F9BA\EJ_00\08\ANEXOS\CR-Agosto.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Worksheet%20in%205310%20Deudores%20pruebas%20Y&amp;R"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JD\2020\PT_ERI%20Consolidado%20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festo\Funciones%20Personal%20Impuestos\Documents%20and%20Settings\cmendozaj\Configuraci&#243;n%20local\Archivos%20temporales%20de%20Internet\OLK115\Documents%20and%20Settings\jpardo\Mis%20documentos\Proyecto%20Corfinsura\Inversi"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5310%20Deudores%20pruebas%20Y&amp;R%20Diciembre%202003"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5635%20Activos%20fijos%20-%20C&#233;dula%20sumaria%20y%20pruebas%20a%20Septiembre%2030%20de%202004"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nts%20and%20Settings\JOPEREZ\My%20Documents\CLIENTES\CIRCULO%20DE%20LECTORES\PRUEBAS%20TERMINADAS\Activos%20fijos%20Detalle.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5640%20Activos%20Fijos%20septiembre"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5302%20Conciliacion%20Intercompany%20-Dic%202002"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Worksheet%20in%205311%20Conciliaci&#243;n%20con%20vinculadas%20-Diciembre%20de%20200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itan\S_Reuniones\HOME\MESACON\AUXILIAR%20OPERATIVO%20DIVISAS\CONTAB%20MANUALES\Swap%20Fanalca%20revis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mhfw3k03\documentos\Mis%20Documentos%201\USUARIOS\ARCHIVOS\EXCEL\Invergp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is%20Documentos%201\USUARIOS\ARCHIVOS\EXCEL\Invergp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windows\TEMP\PRESU98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Worksheet%20in%208540%20Cuentas%20de%20orden%20-%20Cedula%20sumaria%20y%20prueba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GA\2018\09.SEP2018\EEFF\Archivos%20consolidacion\2018%20-%20Lista%20de%20notas%20trimestrales%20subsidiarias%20v5_3Q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DDuque\Documents\PC_NW\dduque\TempLocalXLClient\GRUPO_ARGOS\Consolidaci&#243;nIFRS\eEXCEL\REPORTS\R24-Estado%20de%20Resultados%20consolidad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ebarrios\Documents\PC_NW\ebarrios\TempLocalXLClient\GRUPO_ARGOS\Consolidaci&#243;nIFRS\eEXCEL\R19-Gastos%20administracion%20y%20ven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ummary"/>
      <sheetName val="EXPLICACION VS PPTO"/>
      <sheetName val="EXPLICACION VS D"/>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CARTERA X EDADES (1305)"/>
      <sheetName val="MMA (1305)"/>
      <sheetName val="CTAS CORRIENTES CIALES (1310)"/>
      <sheetName val="VINCULADAS (1320)"/>
      <sheetName val="ANTICIPOS Y AVANCES (1330)"/>
      <sheetName val="ANTICIPO DE INGRESOS (1345)"/>
      <sheetName val="ANTICIPO DE IMPUESTOS (1355)"/>
      <sheetName val="D. VARIOS (1380)"/>
      <sheetName val="PROVISIONES (1399)"/>
      <sheetName val="Tickmarks"/>
      <sheetName val="XREF"/>
      <sheetName val="CxP"/>
      <sheetName val="CXC"/>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Resumen"/>
      <sheetName val="Var. ING-CAO"/>
      <sheetName val="Var. OEOI"/>
      <sheetName val="Var. FRO"/>
      <sheetName val="Var. IMPTO"/>
      <sheetName val="ERI"/>
      <sheetName val="ERI_Act"/>
      <sheetName val="ERI_Ant"/>
      <sheetName val="ERI Ppto"/>
      <sheetName val="ERI Ppto_BD"/>
      <sheetName val="| IBYS |"/>
      <sheetName val="| IAFR | (A)"/>
      <sheetName val="| IAFR | (B)"/>
      <sheetName val="| INMB | (A)"/>
      <sheetName val="| INMB | (B)"/>
      <sheetName val="| MPP |"/>
      <sheetName val="| DEV |"/>
      <sheetName val="| CAO | (A)"/>
      <sheetName val="| CAO | (B)"/>
      <sheetName val="| GDA | (A)"/>
      <sheetName val="| GDA | (B)"/>
      <sheetName val="| OEGR | (A)"/>
      <sheetName val="| OEGR | (B)"/>
      <sheetName val="| OEGR | (C)"/>
      <sheetName val="| OING | (A)"/>
      <sheetName val="| OING | (B)"/>
      <sheetName val="| OING | (C)"/>
      <sheetName val="| OEOI |"/>
      <sheetName val="| OEOI | (2)"/>
      <sheetName val="OEOI CO02"/>
      <sheetName val="| FRO |"/>
      <sheetName val="| DIFC |"/>
      <sheetName val="| IMPTO | (A)"/>
      <sheetName val="| IMPTO | (B)"/>
      <sheetName val="| PNC |"/>
      <sheetName val="Var. MPP"/>
    </sheetNames>
    <sheetDataSet>
      <sheetData sheetId="0">
        <row r="3">
          <cell r="E3" t="str">
            <v>2020.09</v>
          </cell>
        </row>
        <row r="4">
          <cell r="E4" t="str">
            <v>2019.09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 1999"/>
      <sheetName val="Total org."/>
      <sheetName val="Por destino"/>
      <sheetName val="Negocio con Corfin."/>
      <sheetName val="Alt. 2"/>
      <sheetName val="Alt. 1"/>
      <sheetName val="Ofreci."/>
      <sheetName val="Hospital"/>
      <sheetName val="Hospital 2"/>
      <sheetName val="Flujo"/>
      <sheetName val="Coltabaco"/>
      <sheetName val="Corfinsura"/>
      <sheetName val="Chocolates"/>
      <sheetName val="Sura"/>
    </sheetNames>
    <sheetDataSet>
      <sheetData sheetId="0">
        <row r="7">
          <cell r="AF7">
            <v>537064634.25182045</v>
          </cell>
        </row>
        <row r="8">
          <cell r="AF8">
            <v>241799904.07949999</v>
          </cell>
        </row>
        <row r="9">
          <cell r="AF9">
            <v>225743747.66940001</v>
          </cell>
        </row>
        <row r="10">
          <cell r="AF10">
            <v>203089101.99944001</v>
          </cell>
        </row>
        <row r="11">
          <cell r="AF11">
            <v>186070040.62151998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
      <sheetName val="Grafico Cartera"/>
      <sheetName val="CARTERA X EDADES "/>
      <sheetName val="PROVISIONES (1399)"/>
      <sheetName val="MMA (1305) Circularizacion"/>
      <sheetName val="Control-circularización cliente"/>
      <sheetName val="CTAS CORRIENTES CIALES (1310)"/>
      <sheetName val="VINCULADAS (1320)"/>
      <sheetName val="ANTICIPOS Y AVANCES (1330)"/>
      <sheetName val="INGRESOS POR COBRAR (1345)"/>
      <sheetName val="ANTICIPO DE IMPUESTOS (1355)"/>
      <sheetName val="D. VARIOS (1380)"/>
      <sheetName val="XREF"/>
      <sheetName val="Tickmarks"/>
      <sheetName val="Control Circularizacion"/>
      <sheetName val="Egresos"/>
      <sheetName val="Cálculo Detallado"/>
      <sheetName val="Worksheet in 5310 Deudores prue"/>
      <sheetName val="MAYO.19-30"/>
      <sheetName val="TR"/>
      <sheetName val="wartości"/>
      <sheetName val="Projet"/>
      <sheetName val="Ingresos"/>
      <sheetName val="Cto de Patrimonio y Capital"/>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Prueba Global Act Fijos"/>
      <sheetName val="Límite de error"/>
      <sheetName val="Tickmarks"/>
      <sheetName val="1"/>
      <sheetName val="Adiciones de AF"/>
      <sheetName val="ANTICIPO DE IMPUESTOS (1355)"/>
      <sheetName val="D. VARIOS (1380)"/>
      <sheetName val="PROVISIONES (1399)"/>
      <sheetName val="XREF"/>
      <sheetName val="(2)Anali. Depr.y Ajus X Inf"/>
      <sheetName val="Egresos"/>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álculo Detallado"/>
      <sheetName val="#REF"/>
      <sheetName val="Avaluos"/>
    </sheetNames>
    <sheetDataSet>
      <sheetData sheetId="0">
        <row r="33">
          <cell r="H33">
            <v>130794.56200000001</v>
          </cell>
        </row>
        <row r="112">
          <cell r="J112">
            <v>27893265</v>
          </cell>
          <cell r="L112">
            <v>-568615321</v>
          </cell>
        </row>
      </sheetData>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Cálculo Global final"/>
      <sheetName val="Tickmarks"/>
      <sheetName val="Límite de error"/>
      <sheetName val="XREF"/>
      <sheetName val="Prueba Global Act Fijos"/>
      <sheetName val="ANTICIPO DE IMPUESTOS (1355)"/>
      <sheetName val="D. VARIOS (1380)"/>
      <sheetName val="PROVISIONES (1399)"/>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sheetName val="CxP"/>
      <sheetName val="CXC"/>
      <sheetName val="Antiguedad"/>
      <sheetName val="Totales D&amp;TT"/>
      <sheetName val="Jwt-Perú"/>
      <sheetName val="Mind-Peru"/>
      <sheetName val="Mind-Usa"/>
      <sheetName val="Mind-Vnz"/>
      <sheetName val="Jwt-Vnz"/>
      <sheetName val="Ogilviperu"/>
      <sheetName val="Ogilvy-Peru"/>
      <sheetName val="Serv-Portland"/>
      <sheetName val="Ogilvy One"/>
      <sheetName val="MEDIA EDGE"/>
      <sheetName val="JWT COLOMBIA"/>
      <sheetName val="MS USA"/>
      <sheetName val="WOW FACT"/>
      <sheetName val="MS MADRID"/>
      <sheetName val="WOW FACT (2)"/>
      <sheetName val="NORLOP THOMPSON)"/>
      <sheetName val="MSJAPON"/>
      <sheetName val="MSCORPUS"/>
      <sheetName val="MSMEXICO)"/>
      <sheetName val="XREF"/>
      <sheetName val="Prueba Global Act Fijo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sheetName val="CXC"/>
      <sheetName val="consolidado"/>
      <sheetName val="CxP"/>
      <sheetName val="XREF"/>
      <sheetName val="ANTICIPO DE IMPUESTOS (1355)"/>
      <sheetName val="D. VARIOS (1380)"/>
      <sheetName val="PROVISIONES (1399)"/>
      <sheetName val="Selección "/>
    </sheetNames>
    <sheetDataSet>
      <sheetData sheetId="0" refreshError="1"/>
      <sheetData sheetId="1"/>
      <sheetData sheetId="2" refreshError="1"/>
      <sheetData sheetId="3"/>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sheetName val="Libor"/>
      <sheetName val="DTF"/>
      <sheetName val="Hoja1"/>
      <sheetName val="COMPENSACIONES"/>
      <sheetName val="Hoja2"/>
      <sheetName val="ACUMULADOS"/>
      <sheetName val="1. Presentación"/>
      <sheetName val="110000. Portada"/>
      <sheetName val="BASE"/>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menteras"/>
      <sheetName val="0tras"/>
      <sheetName val="Vr.-ARGOS"/>
      <sheetName val="Vr.-CARIBE"/>
      <sheetName val="Vr.-CAIRO"/>
      <sheetName val="Vr.-NARE"/>
      <sheetName val="Vr.-VALLE"/>
      <sheetName val="Vr.-COLCLINKER"/>
      <sheetName val="Vr.-RIOCLARO"/>
      <sheetName val="Vr.-TOLCEMENTO"/>
      <sheetName val="TOTAL GRUPO"/>
      <sheetName val="INVERGPO"/>
      <sheetName val="A JUNIO2000"/>
      <sheetName val="septmbre00"/>
      <sheetName val="DICIEMBRE"/>
      <sheetName val="MARZO-01"/>
      <sheetName val="Junio-01"/>
      <sheetName val="SEP-01"/>
      <sheetName val="DIC-01"/>
      <sheetName val="Mar-02-Actualizar sobre este"/>
      <sheetName val="Jun-02-no actualizar"/>
      <sheetName val="Agosto"/>
      <sheetName val="SEPT. 30.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F7">
            <v>540958434.21695995</v>
          </cell>
        </row>
        <row r="8">
          <cell r="AF8">
            <v>241799904.07949999</v>
          </cell>
        </row>
        <row r="9">
          <cell r="AF9">
            <v>225743747.66940001</v>
          </cell>
        </row>
        <row r="10">
          <cell r="AF10">
            <v>203089101.99944001</v>
          </cell>
        </row>
        <row r="11">
          <cell r="AF11">
            <v>186070040.62151998</v>
          </cell>
        </row>
        <row r="24">
          <cell r="B24" t="str">
            <v xml:space="preserve">TOLCEMENTO </v>
          </cell>
          <cell r="F24">
            <v>28483612</v>
          </cell>
          <cell r="G24">
            <v>40843015974</v>
          </cell>
          <cell r="H24">
            <v>71.210000236253222</v>
          </cell>
          <cell r="O24">
            <v>4003686</v>
          </cell>
          <cell r="P24">
            <v>1434940000</v>
          </cell>
          <cell r="Q24">
            <v>10.009351377412518</v>
          </cell>
          <cell r="AA24">
            <v>32487298</v>
          </cell>
          <cell r="AB24">
            <v>42277955974</v>
          </cell>
          <cell r="AC24">
            <v>81.219351613665737</v>
          </cell>
          <cell r="AD24">
            <v>39999455</v>
          </cell>
          <cell r="AE24">
            <v>2547.0800000014042</v>
          </cell>
          <cell r="AF24">
            <v>82747746.989885613</v>
          </cell>
        </row>
        <row r="25">
          <cell r="B25" t="str">
            <v>CORPORACIÓN DE CEMENTO ANDINO S.A.</v>
          </cell>
          <cell r="F25">
            <v>33423008</v>
          </cell>
          <cell r="G25">
            <v>41533003144</v>
          </cell>
          <cell r="H25">
            <v>80</v>
          </cell>
          <cell r="AA25">
            <v>33423008</v>
          </cell>
          <cell r="AB25">
            <v>41533003144</v>
          </cell>
          <cell r="AC25">
            <v>80</v>
          </cell>
          <cell r="AD25">
            <v>41778760</v>
          </cell>
          <cell r="AE25">
            <v>2186.3829001676922</v>
          </cell>
          <cell r="AF25">
            <v>73075493.163367987</v>
          </cell>
        </row>
        <row r="26">
          <cell r="B26" t="str">
            <v>VALLE CEMENT INVESTMENT</v>
          </cell>
          <cell r="O26">
            <v>1</v>
          </cell>
          <cell r="P26">
            <v>43636630000</v>
          </cell>
          <cell r="Q26">
            <v>100</v>
          </cell>
          <cell r="AA26">
            <v>1</v>
          </cell>
          <cell r="AB26">
            <v>43636630000</v>
          </cell>
          <cell r="AC26">
            <v>100</v>
          </cell>
          <cell r="AD26">
            <v>1</v>
          </cell>
          <cell r="AE26">
            <v>66223912</v>
          </cell>
          <cell r="AF26">
            <v>66223912</v>
          </cell>
        </row>
        <row r="27">
          <cell r="B27" t="str">
            <v>BANCOLOMBIA S.A.</v>
          </cell>
          <cell r="C27">
            <v>24375687</v>
          </cell>
          <cell r="D27">
            <v>7433119936</v>
          </cell>
          <cell r="E27">
            <v>7.1894310820651537</v>
          </cell>
          <cell r="L27">
            <v>752657</v>
          </cell>
          <cell r="M27">
            <v>3401144920</v>
          </cell>
          <cell r="N27">
            <v>0.22199069219808709</v>
          </cell>
          <cell r="O27">
            <v>29658125</v>
          </cell>
          <cell r="P27">
            <v>32736470000</v>
          </cell>
          <cell r="Q27">
            <v>8.7474476395587786</v>
          </cell>
          <cell r="AA27">
            <v>54786469</v>
          </cell>
          <cell r="AB27">
            <v>43570734856</v>
          </cell>
          <cell r="AC27">
            <v>16.158869413822018</v>
          </cell>
          <cell r="AD27">
            <v>339048900</v>
          </cell>
          <cell r="AE27">
            <v>1057.42</v>
          </cell>
          <cell r="AF27">
            <v>57932308.04998</v>
          </cell>
        </row>
        <row r="28">
          <cell r="B28" t="str">
            <v>C O N A V I</v>
          </cell>
          <cell r="C28">
            <v>305333930</v>
          </cell>
          <cell r="D28">
            <v>479649994</v>
          </cell>
          <cell r="E28">
            <v>7.5418959326300925</v>
          </cell>
          <cell r="I28">
            <v>210117338</v>
          </cell>
          <cell r="J28">
            <v>31793089535</v>
          </cell>
          <cell r="K28">
            <v>5.1900000004495492</v>
          </cell>
          <cell r="AA28">
            <v>515451268</v>
          </cell>
          <cell r="AB28">
            <v>32272739529</v>
          </cell>
          <cell r="AC28">
            <v>12.731895933079642</v>
          </cell>
          <cell r="AD28">
            <v>4048503622</v>
          </cell>
          <cell r="AE28">
            <v>100</v>
          </cell>
          <cell r="AF28">
            <v>51545126.799999997</v>
          </cell>
        </row>
        <row r="29">
          <cell r="B29" t="str">
            <v>CIA. NACIONAL DE CHOCOLATES S.A.</v>
          </cell>
          <cell r="C29">
            <v>3198802</v>
          </cell>
          <cell r="D29">
            <v>2880329910</v>
          </cell>
          <cell r="E29">
            <v>3.6912681898527393</v>
          </cell>
          <cell r="I29">
            <v>289263</v>
          </cell>
          <cell r="J29">
            <v>468255551</v>
          </cell>
          <cell r="K29">
            <v>0.33379599937769605</v>
          </cell>
          <cell r="L29">
            <v>710202</v>
          </cell>
          <cell r="M29">
            <v>4758353400</v>
          </cell>
          <cell r="N29">
            <v>0.81953995619916298</v>
          </cell>
          <cell r="O29">
            <v>1851296</v>
          </cell>
          <cell r="P29">
            <v>1773730000</v>
          </cell>
          <cell r="Q29">
            <v>2.1363091666197582</v>
          </cell>
          <cell r="AA29">
            <v>6049563</v>
          </cell>
          <cell r="AB29">
            <v>9880668861</v>
          </cell>
          <cell r="AC29">
            <v>6.9809133120493563</v>
          </cell>
          <cell r="AD29">
            <v>86658618</v>
          </cell>
          <cell r="AE29">
            <v>7063.02</v>
          </cell>
          <cell r="AF29">
            <v>42728184.460260004</v>
          </cell>
        </row>
        <row r="30">
          <cell r="B30" t="str">
            <v>CEMENTOS PAZ DEL RIO S.A.</v>
          </cell>
          <cell r="C30">
            <v>24124594</v>
          </cell>
          <cell r="D30">
            <v>18565624578</v>
          </cell>
          <cell r="E30">
            <v>20.103828333333336</v>
          </cell>
          <cell r="F30">
            <v>218564</v>
          </cell>
          <cell r="G30">
            <v>44961296</v>
          </cell>
          <cell r="H30">
            <v>0.18213666666666667</v>
          </cell>
          <cell r="I30">
            <v>2985397</v>
          </cell>
          <cell r="J30">
            <v>1860367965</v>
          </cell>
          <cell r="K30">
            <v>2.4878308333333337</v>
          </cell>
          <cell r="L30">
            <v>2909476</v>
          </cell>
          <cell r="M30">
            <v>1630130277</v>
          </cell>
          <cell r="N30">
            <v>2.4245633333333334</v>
          </cell>
          <cell r="O30">
            <v>1320993</v>
          </cell>
          <cell r="P30">
            <v>2132920000</v>
          </cell>
          <cell r="Q30">
            <v>1.1008275000000001</v>
          </cell>
          <cell r="R30">
            <v>3000000</v>
          </cell>
          <cell r="T30">
            <v>2.5</v>
          </cell>
          <cell r="U30">
            <v>5137782</v>
          </cell>
          <cell r="V30">
            <v>1121118400</v>
          </cell>
          <cell r="W30">
            <v>4.281485</v>
          </cell>
          <cell r="AA30">
            <v>39696806</v>
          </cell>
          <cell r="AB30">
            <v>25355122516</v>
          </cell>
          <cell r="AC30">
            <v>33.080671666666674</v>
          </cell>
          <cell r="AD30">
            <v>120000000</v>
          </cell>
          <cell r="AE30">
            <v>839.48</v>
          </cell>
          <cell r="AF30">
            <v>33324674.700880002</v>
          </cell>
        </row>
        <row r="31">
          <cell r="B31" t="str">
            <v>COLCARIBE HOLDING</v>
          </cell>
          <cell r="F31">
            <v>85000</v>
          </cell>
          <cell r="G31">
            <v>72963466168</v>
          </cell>
          <cell r="H31">
            <v>29.310344827586203</v>
          </cell>
          <cell r="R31">
            <v>75000</v>
          </cell>
          <cell r="S31">
            <v>7780750000</v>
          </cell>
          <cell r="T31">
            <v>25.862068965517242</v>
          </cell>
          <cell r="AA31">
            <v>160000</v>
          </cell>
          <cell r="AB31">
            <v>80744216168</v>
          </cell>
          <cell r="AC31">
            <v>55.172413793103445</v>
          </cell>
          <cell r="AD31">
            <v>290000</v>
          </cell>
          <cell r="AE31">
            <v>181479.67095294117</v>
          </cell>
          <cell r="AF31">
            <v>29036747.352470588</v>
          </cell>
        </row>
        <row r="32">
          <cell r="B32" t="str">
            <v>CIA. COMERCIAL. FABRICATO y TEJICONDOR</v>
          </cell>
          <cell r="C32">
            <v>963662</v>
          </cell>
          <cell r="E32">
            <v>13.217396409011226</v>
          </cell>
          <cell r="O32">
            <v>1029659</v>
          </cell>
          <cell r="Q32">
            <v>14.122598140329378</v>
          </cell>
          <cell r="AA32">
            <v>1993321</v>
          </cell>
          <cell r="AB32">
            <v>0</v>
          </cell>
          <cell r="AC32">
            <v>27.339994549340602</v>
          </cell>
          <cell r="AD32">
            <v>7290861</v>
          </cell>
          <cell r="AE32">
            <v>13622.23</v>
          </cell>
          <cell r="AF32">
            <v>27153477.125829998</v>
          </cell>
        </row>
        <row r="33">
          <cell r="B33" t="str">
            <v>C.I. FABRICATO y TEJICONDOR</v>
          </cell>
          <cell r="C33">
            <v>963663</v>
          </cell>
          <cell r="E33">
            <v>13.675742881621023</v>
          </cell>
          <cell r="O33">
            <v>1029661</v>
          </cell>
          <cell r="Q33">
            <v>14.612347979773826</v>
          </cell>
          <cell r="AA33">
            <v>1993324</v>
          </cell>
          <cell r="AB33">
            <v>0</v>
          </cell>
          <cell r="AC33">
            <v>28.288090861394849</v>
          </cell>
          <cell r="AD33">
            <v>7046513</v>
          </cell>
          <cell r="AE33">
            <v>13164.59</v>
          </cell>
          <cell r="AF33">
            <v>26241293.197159998</v>
          </cell>
        </row>
        <row r="34">
          <cell r="B34" t="str">
            <v>CARBONES DEL CARIBE S.A.</v>
          </cell>
          <cell r="C34">
            <v>260000</v>
          </cell>
          <cell r="D34">
            <v>32613768972</v>
          </cell>
          <cell r="E34">
            <v>3.4666666666666663</v>
          </cell>
          <cell r="F34">
            <v>3670000</v>
          </cell>
          <cell r="G34">
            <v>21864849123</v>
          </cell>
          <cell r="H34">
            <v>48.933333333333337</v>
          </cell>
          <cell r="I34">
            <v>325000</v>
          </cell>
          <cell r="J34">
            <v>3549836130</v>
          </cell>
          <cell r="K34">
            <v>4.3333333333333339</v>
          </cell>
          <cell r="L34">
            <v>28887</v>
          </cell>
          <cell r="M34">
            <v>331908587</v>
          </cell>
          <cell r="N34">
            <v>0.38516</v>
          </cell>
          <cell r="O34">
            <v>258580</v>
          </cell>
          <cell r="P34">
            <v>4614990000</v>
          </cell>
          <cell r="Q34">
            <v>3.4477333333333333</v>
          </cell>
          <cell r="X34">
            <v>0</v>
          </cell>
          <cell r="AA34">
            <v>4542467</v>
          </cell>
          <cell r="AB34">
            <v>62975352812</v>
          </cell>
          <cell r="AC34">
            <v>60.566226666666672</v>
          </cell>
          <cell r="AD34">
            <v>7500000</v>
          </cell>
          <cell r="AE34">
            <v>4989.3</v>
          </cell>
          <cell r="AF34">
            <v>22663730.603100002</v>
          </cell>
        </row>
        <row r="35">
          <cell r="B35" t="str">
            <v>CARTON DE COLOMBIA S.A.</v>
          </cell>
          <cell r="I35">
            <v>1279159</v>
          </cell>
          <cell r="J35">
            <v>1738991498</v>
          </cell>
          <cell r="K35">
            <v>1.1683509486547461</v>
          </cell>
          <cell r="O35">
            <v>2380225</v>
          </cell>
          <cell r="P35">
            <v>3043010000</v>
          </cell>
          <cell r="Q35">
            <v>2.174036329152</v>
          </cell>
          <cell r="AA35">
            <v>3659384</v>
          </cell>
          <cell r="AB35">
            <v>4782001498</v>
          </cell>
          <cell r="AC35">
            <v>3.342387277806746</v>
          </cell>
          <cell r="AD35">
            <v>109484141</v>
          </cell>
          <cell r="AE35">
            <v>5310.02</v>
          </cell>
          <cell r="AF35">
            <v>19431402.227680001</v>
          </cell>
        </row>
        <row r="36">
          <cell r="B36" t="str">
            <v>LA CEMENTO NACIONAL C.A. (ECUADOR)</v>
          </cell>
          <cell r="C36">
            <v>24105</v>
          </cell>
          <cell r="D36">
            <v>6437167036</v>
          </cell>
          <cell r="E36">
            <v>1.7583583111882066</v>
          </cell>
          <cell r="O36">
            <v>21186</v>
          </cell>
          <cell r="P36">
            <v>7878220000</v>
          </cell>
          <cell r="Q36">
            <v>1.545429544942267</v>
          </cell>
          <cell r="AA36">
            <v>45291</v>
          </cell>
          <cell r="AB36">
            <v>14315387036</v>
          </cell>
          <cell r="AC36">
            <v>3.3037878561304739</v>
          </cell>
          <cell r="AD36">
            <v>1370881</v>
          </cell>
          <cell r="AE36">
            <v>419112.09105994605</v>
          </cell>
          <cell r="AF36">
            <v>18982005.716196019</v>
          </cell>
        </row>
        <row r="37">
          <cell r="B37" t="str">
            <v>CONCRETOS DEL CAUCA LTDA</v>
          </cell>
          <cell r="C37">
            <v>105323</v>
          </cell>
          <cell r="D37">
            <v>724440000</v>
          </cell>
          <cell r="E37">
            <v>10.019034863003208</v>
          </cell>
          <cell r="O37">
            <v>915434</v>
          </cell>
          <cell r="P37">
            <v>11142810000</v>
          </cell>
          <cell r="Q37">
            <v>87.082262761015912</v>
          </cell>
          <cell r="AA37">
            <v>1020757</v>
          </cell>
          <cell r="AB37">
            <v>11867250000</v>
          </cell>
          <cell r="AC37">
            <v>97.101297624019125</v>
          </cell>
          <cell r="AD37">
            <v>1051229</v>
          </cell>
          <cell r="AE37">
            <v>16483.587257467581</v>
          </cell>
          <cell r="AF37">
            <v>16825737.078170836</v>
          </cell>
        </row>
        <row r="38">
          <cell r="B38" t="str">
            <v>CIA. DE CEMENTO ARGOS S.A.</v>
          </cell>
          <cell r="R38">
            <v>3244408</v>
          </cell>
          <cell r="S38">
            <v>1166591173</v>
          </cell>
          <cell r="T38">
            <v>1.9931782408086598</v>
          </cell>
          <cell r="AA38">
            <v>3244408</v>
          </cell>
          <cell r="AB38">
            <v>1166591173</v>
          </cell>
          <cell r="AC38">
            <v>1.9931782408086598</v>
          </cell>
          <cell r="AD38">
            <v>162775608</v>
          </cell>
          <cell r="AE38">
            <v>4802</v>
          </cell>
          <cell r="AF38">
            <v>15579647.216</v>
          </cell>
        </row>
        <row r="39">
          <cell r="B39" t="str">
            <v>CORP. FINANCIERA DEL VALLE S.A.</v>
          </cell>
          <cell r="O39">
            <v>1814087</v>
          </cell>
          <cell r="P39">
            <v>8623990000</v>
          </cell>
          <cell r="Q39">
            <v>2.9636519314936516</v>
          </cell>
          <cell r="AA39">
            <v>1814087</v>
          </cell>
          <cell r="AB39">
            <v>8623990000</v>
          </cell>
          <cell r="AC39">
            <v>2.9636519314936516</v>
          </cell>
          <cell r="AD39">
            <v>61211203</v>
          </cell>
          <cell r="AE39">
            <v>6680.3</v>
          </cell>
          <cell r="AF39">
            <v>12118645.3861</v>
          </cell>
        </row>
        <row r="40">
          <cell r="B40" t="str">
            <v>COMERCIALIZA. INT. DEL MAR CARIBE S.A.</v>
          </cell>
          <cell r="F40">
            <v>949750</v>
          </cell>
          <cell r="G40">
            <v>3192682230</v>
          </cell>
          <cell r="H40">
            <v>37.99</v>
          </cell>
          <cell r="R40">
            <v>949750</v>
          </cell>
          <cell r="S40">
            <v>3852758412</v>
          </cell>
          <cell r="T40">
            <v>37.99</v>
          </cell>
          <cell r="X40">
            <v>250000</v>
          </cell>
          <cell r="Z40">
            <v>10</v>
          </cell>
          <cell r="AA40">
            <v>2149500</v>
          </cell>
          <cell r="AB40">
            <v>7045440642</v>
          </cell>
          <cell r="AC40">
            <v>85.98</v>
          </cell>
          <cell r="AD40">
            <v>2500000</v>
          </cell>
          <cell r="AE40">
            <v>5311.32</v>
          </cell>
          <cell r="AF40">
            <v>11416682.34</v>
          </cell>
        </row>
        <row r="41">
          <cell r="B41" t="str">
            <v>CORFINSURA</v>
          </cell>
          <cell r="C41">
            <v>4108220</v>
          </cell>
          <cell r="D41">
            <v>7716777019</v>
          </cell>
          <cell r="E41">
            <v>3.1700388541225699</v>
          </cell>
          <cell r="F41">
            <v>1082537</v>
          </cell>
          <cell r="G41">
            <v>632377707</v>
          </cell>
          <cell r="H41">
            <v>0.83532146550702857</v>
          </cell>
          <cell r="I41">
            <v>2866396</v>
          </cell>
          <cell r="J41">
            <v>4465347340</v>
          </cell>
          <cell r="K41">
            <v>2.2118062546069877</v>
          </cell>
          <cell r="O41">
            <v>1276092</v>
          </cell>
          <cell r="P41">
            <v>1701420000</v>
          </cell>
          <cell r="Q41">
            <v>0.98467492525594513</v>
          </cell>
          <cell r="AA41">
            <v>9333245</v>
          </cell>
          <cell r="AB41">
            <v>14515922066</v>
          </cell>
          <cell r="AC41">
            <v>7.2018414994925308</v>
          </cell>
          <cell r="AD41">
            <v>129595257</v>
          </cell>
          <cell r="AE41">
            <v>1126.94</v>
          </cell>
          <cell r="AF41">
            <v>10518007.120300001</v>
          </cell>
        </row>
        <row r="42">
          <cell r="B42" t="str">
            <v>CÍA. DE INVERSIONES LA MERCED S.A.</v>
          </cell>
          <cell r="C42">
            <v>39620</v>
          </cell>
          <cell r="D42">
            <v>102016726</v>
          </cell>
          <cell r="E42">
            <v>33.016666666666666</v>
          </cell>
          <cell r="AA42">
            <v>39620</v>
          </cell>
          <cell r="AB42">
            <v>102016726</v>
          </cell>
          <cell r="AC42">
            <v>33.016666666666666</v>
          </cell>
          <cell r="AD42">
            <v>120000</v>
          </cell>
          <cell r="AE42">
            <v>252259.59</v>
          </cell>
          <cell r="AF42">
            <v>9994524.9557999987</v>
          </cell>
        </row>
        <row r="43">
          <cell r="B43" t="str">
            <v>ENKA DE COLOMBIA S.A.</v>
          </cell>
          <cell r="O43">
            <v>107921200</v>
          </cell>
          <cell r="P43">
            <v>1226170000</v>
          </cell>
          <cell r="Q43">
            <v>2.4589252160488333</v>
          </cell>
          <cell r="AA43">
            <v>107921200</v>
          </cell>
          <cell r="AB43">
            <v>1226170000</v>
          </cell>
          <cell r="AC43">
            <v>2.4589252160488333</v>
          </cell>
          <cell r="AD43">
            <v>4388958204</v>
          </cell>
          <cell r="AE43">
            <v>85.98</v>
          </cell>
          <cell r="AF43">
            <v>9279064.7760000005</v>
          </cell>
        </row>
        <row r="44">
          <cell r="B44" t="str">
            <v>CIA. COLOMBIANA DE TABACO S.A.</v>
          </cell>
          <cell r="C44">
            <v>1155559</v>
          </cell>
          <cell r="D44">
            <v>251329615</v>
          </cell>
          <cell r="E44">
            <v>1.8186324434355892</v>
          </cell>
          <cell r="L44">
            <v>184636</v>
          </cell>
          <cell r="M44">
            <v>592681560</v>
          </cell>
          <cell r="N44">
            <v>0.29058232407533791</v>
          </cell>
          <cell r="O44">
            <v>1786002</v>
          </cell>
          <cell r="P44">
            <v>3267150000</v>
          </cell>
          <cell r="Q44">
            <v>2.8108311053272477</v>
          </cell>
          <cell r="AA44">
            <v>3126197</v>
          </cell>
          <cell r="AB44">
            <v>4111161175</v>
          </cell>
          <cell r="AC44">
            <v>4.9200458728381751</v>
          </cell>
          <cell r="AD44">
            <v>63539997</v>
          </cell>
          <cell r="AE44">
            <v>2537.06</v>
          </cell>
          <cell r="AF44">
            <v>7931349.3608200001</v>
          </cell>
        </row>
        <row r="45">
          <cell r="B45" t="str">
            <v>CONCRETOS DE OCCIDENTE LTDA</v>
          </cell>
          <cell r="C45">
            <v>200550</v>
          </cell>
          <cell r="D45">
            <v>329897838</v>
          </cell>
          <cell r="E45">
            <v>10</v>
          </cell>
          <cell r="O45">
            <v>802200</v>
          </cell>
          <cell r="P45">
            <v>1423550000</v>
          </cell>
          <cell r="Q45">
            <v>40</v>
          </cell>
          <cell r="AA45">
            <v>1002750</v>
          </cell>
          <cell r="AB45">
            <v>1753447838</v>
          </cell>
          <cell r="AC45">
            <v>50</v>
          </cell>
          <cell r="AD45">
            <v>2005500</v>
          </cell>
          <cell r="AE45">
            <v>7714.918972824732</v>
          </cell>
          <cell r="AF45">
            <v>7736135</v>
          </cell>
        </row>
        <row r="46">
          <cell r="B46" t="str">
            <v>CANTERAS  y  DERIVADOS S.A.</v>
          </cell>
          <cell r="C46">
            <v>30000</v>
          </cell>
          <cell r="D46">
            <v>10760552443</v>
          </cell>
          <cell r="E46">
            <v>50</v>
          </cell>
          <cell r="AA46">
            <v>30000</v>
          </cell>
          <cell r="AB46">
            <v>10760552443</v>
          </cell>
          <cell r="AC46">
            <v>50</v>
          </cell>
          <cell r="AD46">
            <v>60000</v>
          </cell>
          <cell r="AE46">
            <v>213442.58</v>
          </cell>
          <cell r="AF46">
            <v>6403277.4000000004</v>
          </cell>
        </row>
        <row r="47">
          <cell r="B47" t="str">
            <v>PROMOTORA DE HOTELES  MEDELLÍN S.A.</v>
          </cell>
          <cell r="C47">
            <v>4219382</v>
          </cell>
          <cell r="D47">
            <v>556743886</v>
          </cell>
          <cell r="E47">
            <v>20.852246422278125</v>
          </cell>
          <cell r="AA47">
            <v>4219382</v>
          </cell>
          <cell r="AB47">
            <v>556743886</v>
          </cell>
          <cell r="AC47">
            <v>20.852246422278125</v>
          </cell>
          <cell r="AD47">
            <v>20234664</v>
          </cell>
          <cell r="AE47">
            <v>1504.67</v>
          </cell>
          <cell r="AF47">
            <v>6348777.5139400009</v>
          </cell>
        </row>
        <row r="48">
          <cell r="B48" t="str">
            <v xml:space="preserve">METROCONCRETO </v>
          </cell>
          <cell r="I48">
            <v>10257</v>
          </cell>
          <cell r="J48">
            <v>76207504</v>
          </cell>
          <cell r="K48">
            <v>0.54732986589697907</v>
          </cell>
          <cell r="L48">
            <v>129838</v>
          </cell>
          <cell r="M48">
            <v>27234743</v>
          </cell>
          <cell r="N48">
            <v>6.9283625941632021</v>
          </cell>
          <cell r="U48">
            <v>824938</v>
          </cell>
          <cell r="V48">
            <v>3991621711</v>
          </cell>
          <cell r="W48">
            <v>44.020006328685007</v>
          </cell>
          <cell r="AA48">
            <v>965033</v>
          </cell>
          <cell r="AB48">
            <v>4095063958</v>
          </cell>
          <cell r="AC48">
            <v>51.495698788745187</v>
          </cell>
          <cell r="AD48">
            <v>1874007</v>
          </cell>
          <cell r="AE48">
            <v>6392.786199288902</v>
          </cell>
          <cell r="AF48">
            <v>6169249.6442583669</v>
          </cell>
        </row>
        <row r="49">
          <cell r="B49" t="str">
            <v>HOTEL DE PEREIRA S.A.</v>
          </cell>
          <cell r="C49">
            <v>2266468</v>
          </cell>
          <cell r="D49">
            <v>1853807379</v>
          </cell>
          <cell r="E49">
            <v>31.708924610879901</v>
          </cell>
          <cell r="AA49">
            <v>2266468</v>
          </cell>
          <cell r="AB49">
            <v>1853807379</v>
          </cell>
          <cell r="AC49">
            <v>31.708924610879901</v>
          </cell>
          <cell r="AD49">
            <v>7147729</v>
          </cell>
          <cell r="AE49">
            <v>2444.9</v>
          </cell>
          <cell r="AF49">
            <v>5541287.6131999996</v>
          </cell>
        </row>
        <row r="50">
          <cell r="B50" t="str">
            <v>TEMPO LTDA</v>
          </cell>
          <cell r="L50">
            <v>200</v>
          </cell>
          <cell r="M50">
            <v>14671159</v>
          </cell>
          <cell r="N50">
            <v>20</v>
          </cell>
          <cell r="O50">
            <v>400</v>
          </cell>
          <cell r="P50">
            <v>1716470000</v>
          </cell>
          <cell r="Q50">
            <v>40</v>
          </cell>
          <cell r="AA50">
            <v>600</v>
          </cell>
          <cell r="AB50">
            <v>1731141159</v>
          </cell>
          <cell r="AC50">
            <v>60</v>
          </cell>
          <cell r="AD50">
            <v>1000</v>
          </cell>
          <cell r="AE50">
            <v>7584495</v>
          </cell>
          <cell r="AF50">
            <v>4550697</v>
          </cell>
        </row>
        <row r="51">
          <cell r="B51" t="str">
            <v>TLC  INTERNATIONAL  LDC</v>
          </cell>
          <cell r="C51">
            <v>1</v>
          </cell>
          <cell r="D51">
            <v>2853387050</v>
          </cell>
          <cell r="E51">
            <v>5</v>
          </cell>
          <cell r="AA51">
            <v>1</v>
          </cell>
          <cell r="AB51">
            <v>2853387050</v>
          </cell>
          <cell r="AC51">
            <v>5</v>
          </cell>
          <cell r="AD51">
            <v>20</v>
          </cell>
          <cell r="AE51">
            <v>4379872.1679999996</v>
          </cell>
          <cell r="AF51">
            <v>4379872.1679999996</v>
          </cell>
        </row>
        <row r="52">
          <cell r="B52" t="str">
            <v>C O L O M B A T E S</v>
          </cell>
          <cell r="C52">
            <v>2402</v>
          </cell>
          <cell r="D52">
            <v>16230042</v>
          </cell>
          <cell r="E52">
            <v>4.3987034629259982</v>
          </cell>
          <cell r="F52">
            <v>75</v>
          </cell>
          <cell r="G52">
            <v>602525</v>
          </cell>
          <cell r="H52">
            <v>0.13734502902558282</v>
          </cell>
          <cell r="I52">
            <v>24</v>
          </cell>
          <cell r="J52">
            <v>166043</v>
          </cell>
          <cell r="K52">
            <v>4.3950409288186498E-2</v>
          </cell>
          <cell r="L52">
            <v>246</v>
          </cell>
          <cell r="M52">
            <v>138990507</v>
          </cell>
          <cell r="N52">
            <v>0.45049169520391164</v>
          </cell>
          <cell r="O52">
            <v>3126</v>
          </cell>
          <cell r="P52">
            <v>25540000</v>
          </cell>
          <cell r="Q52">
            <v>5.7245408097862907</v>
          </cell>
          <cell r="X52">
            <v>32</v>
          </cell>
          <cell r="Z52">
            <v>5.8600545717581998E-2</v>
          </cell>
          <cell r="AA52">
            <v>5905</v>
          </cell>
          <cell r="AB52">
            <v>181529117</v>
          </cell>
          <cell r="AC52">
            <v>10.813631951947551</v>
          </cell>
          <cell r="AD52">
            <v>54607</v>
          </cell>
          <cell r="AE52">
            <v>695775.03</v>
          </cell>
          <cell r="AF52">
            <v>4108551.5521499999</v>
          </cell>
        </row>
        <row r="53">
          <cell r="B53" t="str">
            <v>COLOIDALES S.A.</v>
          </cell>
          <cell r="I53">
            <v>215928</v>
          </cell>
          <cell r="J53">
            <v>3371482590</v>
          </cell>
          <cell r="K53">
            <v>24.209997578192972</v>
          </cell>
          <cell r="L53">
            <v>18804</v>
          </cell>
          <cell r="M53">
            <v>226100000</v>
          </cell>
          <cell r="N53">
            <v>2.1083175616888066</v>
          </cell>
          <cell r="O53">
            <v>222258</v>
          </cell>
          <cell r="P53">
            <v>4309430000</v>
          </cell>
          <cell r="Q53">
            <v>24.919721581888471</v>
          </cell>
          <cell r="AA53">
            <v>456990</v>
          </cell>
          <cell r="AB53">
            <v>7907012590</v>
          </cell>
          <cell r="AC53">
            <v>51.23803672177025</v>
          </cell>
          <cell r="AD53">
            <v>891896</v>
          </cell>
          <cell r="AE53">
            <v>8488</v>
          </cell>
          <cell r="AF53">
            <v>3878931.12</v>
          </cell>
        </row>
        <row r="54">
          <cell r="B54" t="str">
            <v>INDUSTRIAS ALIMENTICIAS NOEL S.A.</v>
          </cell>
          <cell r="O54">
            <v>1004366</v>
          </cell>
          <cell r="P54">
            <v>2481850000</v>
          </cell>
          <cell r="Q54">
            <v>1.6833366322976595</v>
          </cell>
          <cell r="AA54">
            <v>1004366</v>
          </cell>
          <cell r="AB54">
            <v>2481850000</v>
          </cell>
          <cell r="AC54">
            <v>1.6833366322976595</v>
          </cell>
          <cell r="AD54">
            <v>59665190</v>
          </cell>
          <cell r="AE54">
            <v>3750</v>
          </cell>
          <cell r="AF54">
            <v>3766372.5</v>
          </cell>
        </row>
        <row r="55">
          <cell r="B55" t="str">
            <v xml:space="preserve">SETAS COLOMBIANAS S.A. </v>
          </cell>
          <cell r="C55">
            <v>41418101</v>
          </cell>
          <cell r="D55">
            <v>3747266152</v>
          </cell>
          <cell r="E55">
            <v>16.139607993499936</v>
          </cell>
          <cell r="O55">
            <v>4743825</v>
          </cell>
          <cell r="P55">
            <v>1520280000</v>
          </cell>
          <cell r="Q55">
            <v>1.8485510933918683</v>
          </cell>
          <cell r="AA55">
            <v>46161926</v>
          </cell>
          <cell r="AB55">
            <v>5267546152</v>
          </cell>
          <cell r="AC55">
            <v>17.988159086891805</v>
          </cell>
          <cell r="AD55">
            <v>256623959</v>
          </cell>
          <cell r="AE55">
            <v>75.209999999999994</v>
          </cell>
          <cell r="AF55">
            <v>3471838.4544599997</v>
          </cell>
        </row>
        <row r="56">
          <cell r="B56" t="str">
            <v>D I C E N T E  LTDA.</v>
          </cell>
          <cell r="I56">
            <v>400</v>
          </cell>
          <cell r="J56">
            <v>90111376</v>
          </cell>
          <cell r="K56">
            <v>40</v>
          </cell>
          <cell r="L56">
            <v>100</v>
          </cell>
          <cell r="M56">
            <v>22060178</v>
          </cell>
          <cell r="N56">
            <v>10</v>
          </cell>
          <cell r="O56">
            <v>400</v>
          </cell>
          <cell r="P56">
            <v>92920000</v>
          </cell>
          <cell r="Q56">
            <v>40</v>
          </cell>
          <cell r="AA56">
            <v>900</v>
          </cell>
          <cell r="AB56">
            <v>205091554</v>
          </cell>
          <cell r="AC56">
            <v>90</v>
          </cell>
          <cell r="AD56">
            <v>1000</v>
          </cell>
          <cell r="AE56">
            <v>3744716</v>
          </cell>
          <cell r="AF56">
            <v>3370244.4</v>
          </cell>
        </row>
        <row r="57">
          <cell r="B57" t="str">
            <v>OCCIDENTAL DE EMPAQUES  S.A.</v>
          </cell>
          <cell r="C57">
            <v>1075500</v>
          </cell>
          <cell r="D57">
            <v>134612672</v>
          </cell>
          <cell r="E57">
            <v>49.791666666666664</v>
          </cell>
          <cell r="I57">
            <v>2250</v>
          </cell>
          <cell r="J57">
            <v>2222598</v>
          </cell>
          <cell r="K57">
            <v>0.10416666666666667</v>
          </cell>
          <cell r="L57">
            <v>2250</v>
          </cell>
          <cell r="M57">
            <v>3019520</v>
          </cell>
          <cell r="N57">
            <v>0.10416666666666667</v>
          </cell>
          <cell r="AA57">
            <v>1080000</v>
          </cell>
          <cell r="AB57">
            <v>139854790</v>
          </cell>
          <cell r="AC57">
            <v>49.999999999999993</v>
          </cell>
          <cell r="AD57">
            <v>2160000</v>
          </cell>
          <cell r="AE57">
            <v>2820.56</v>
          </cell>
          <cell r="AF57">
            <v>3046204.8</v>
          </cell>
        </row>
        <row r="58">
          <cell r="B58" t="str">
            <v>PROYECTO ENERGÉTICO DEL CAUCA S.A..</v>
          </cell>
          <cell r="O58">
            <v>20776</v>
          </cell>
          <cell r="Q58">
            <v>2.0775999999999999</v>
          </cell>
          <cell r="AA58">
            <v>20776</v>
          </cell>
          <cell r="AB58">
            <v>0</v>
          </cell>
          <cell r="AC58">
            <v>2.0775999999999999</v>
          </cell>
          <cell r="AD58">
            <v>1000000</v>
          </cell>
          <cell r="AE58">
            <v>144397.3815941471</v>
          </cell>
          <cell r="AF58">
            <v>3000000</v>
          </cell>
        </row>
        <row r="59">
          <cell r="B59" t="str">
            <v>ETERNIT PACIFICO  S.A.</v>
          </cell>
          <cell r="C59">
            <v>806313</v>
          </cell>
          <cell r="D59">
            <v>1099479189</v>
          </cell>
          <cell r="E59">
            <v>15.976949020622671</v>
          </cell>
          <cell r="AA59">
            <v>806313</v>
          </cell>
          <cell r="AB59">
            <v>1099479189</v>
          </cell>
          <cell r="AC59">
            <v>15.976949020622671</v>
          </cell>
          <cell r="AD59">
            <v>5046727</v>
          </cell>
          <cell r="AE59">
            <v>3701.07</v>
          </cell>
          <cell r="AF59">
            <v>2984220.8549100002</v>
          </cell>
        </row>
        <row r="60">
          <cell r="B60" t="str">
            <v>REFORESTADORA EL GUASIMO</v>
          </cell>
          <cell r="C60">
            <v>21433751</v>
          </cell>
          <cell r="D60">
            <v>225279169</v>
          </cell>
          <cell r="E60">
            <v>7.5756098579926006</v>
          </cell>
          <cell r="K60">
            <v>0</v>
          </cell>
          <cell r="L60">
            <v>1761591</v>
          </cell>
          <cell r="M60">
            <v>4615047</v>
          </cell>
          <cell r="N60">
            <v>0.62262205739681498</v>
          </cell>
          <cell r="AA60">
            <v>23195342</v>
          </cell>
          <cell r="AB60">
            <v>229894216</v>
          </cell>
          <cell r="AC60">
            <v>8.1982319153894156</v>
          </cell>
          <cell r="AD60">
            <v>282931030</v>
          </cell>
          <cell r="AE60">
            <v>118.37</v>
          </cell>
          <cell r="AF60">
            <v>2745632.6325400001</v>
          </cell>
        </row>
        <row r="61">
          <cell r="B61" t="str">
            <v>REFORESTADORA DEL CARIBE S.A.</v>
          </cell>
          <cell r="F61">
            <v>217244</v>
          </cell>
          <cell r="G61">
            <v>211858747</v>
          </cell>
          <cell r="H61">
            <v>43.448799999999999</v>
          </cell>
          <cell r="R61">
            <v>148000</v>
          </cell>
          <cell r="S61">
            <v>191696345</v>
          </cell>
          <cell r="T61">
            <v>29.599999999999998</v>
          </cell>
          <cell r="X61">
            <v>72443</v>
          </cell>
          <cell r="Z61">
            <v>14.488599999999998</v>
          </cell>
          <cell r="AA61">
            <v>437687</v>
          </cell>
          <cell r="AB61">
            <v>403555092</v>
          </cell>
          <cell r="AC61">
            <v>87.537399999999991</v>
          </cell>
          <cell r="AD61">
            <v>500000</v>
          </cell>
          <cell r="AE61">
            <v>5921.1301531918025</v>
          </cell>
          <cell r="AF61">
            <v>2591601.6933600609</v>
          </cell>
        </row>
        <row r="62">
          <cell r="B62" t="str">
            <v>DISTRIBUÍDORA COL. DE CEMENTO S.A.</v>
          </cell>
          <cell r="F62">
            <v>133067</v>
          </cell>
          <cell r="G62">
            <v>2236821227</v>
          </cell>
          <cell r="H62">
            <v>66.533500000000004</v>
          </cell>
          <cell r="X62">
            <v>66733</v>
          </cell>
          <cell r="Z62">
            <v>33.366500000000002</v>
          </cell>
          <cell r="AA62">
            <v>199800</v>
          </cell>
          <cell r="AB62">
            <v>2236821227</v>
          </cell>
          <cell r="AC62">
            <v>99.9</v>
          </cell>
          <cell r="AD62">
            <v>200000</v>
          </cell>
          <cell r="AE62">
            <v>12505.14</v>
          </cell>
          <cell r="AF62">
            <v>2498526.9720000001</v>
          </cell>
        </row>
        <row r="63">
          <cell r="B63" t="str">
            <v>TRANSATLANTIC CEMENT CARRIER</v>
          </cell>
          <cell r="F63">
            <v>4800</v>
          </cell>
          <cell r="G63">
            <v>527369979</v>
          </cell>
          <cell r="H63">
            <v>48</v>
          </cell>
          <cell r="AA63">
            <v>4800</v>
          </cell>
          <cell r="AB63">
            <v>527369979</v>
          </cell>
          <cell r="AC63">
            <v>48</v>
          </cell>
          <cell r="AD63">
            <v>10000</v>
          </cell>
          <cell r="AE63">
            <v>501552.01583333331</v>
          </cell>
          <cell r="AF63">
            <v>2407449.676</v>
          </cell>
        </row>
        <row r="64">
          <cell r="B64" t="str">
            <v xml:space="preserve">VIAS EN HORMIGON S.A.   </v>
          </cell>
          <cell r="C64">
            <v>638000</v>
          </cell>
          <cell r="D64">
            <v>659145939</v>
          </cell>
          <cell r="E64">
            <v>28.999999999999996</v>
          </cell>
          <cell r="I64">
            <v>638000</v>
          </cell>
          <cell r="J64">
            <v>765633028</v>
          </cell>
          <cell r="K64">
            <v>28.999999999999996</v>
          </cell>
          <cell r="L64">
            <v>220000</v>
          </cell>
          <cell r="M64">
            <v>263104800</v>
          </cell>
          <cell r="N64">
            <v>10</v>
          </cell>
          <cell r="U64">
            <v>638000</v>
          </cell>
          <cell r="V64">
            <v>629601310</v>
          </cell>
          <cell r="W64">
            <v>28.999999999999996</v>
          </cell>
          <cell r="AA64">
            <v>2134000</v>
          </cell>
          <cell r="AB64">
            <v>2317485077</v>
          </cell>
          <cell r="AC64">
            <v>97</v>
          </cell>
          <cell r="AD64">
            <v>2200000</v>
          </cell>
          <cell r="AE64">
            <v>1013.91</v>
          </cell>
          <cell r="AF64">
            <v>2163683.94</v>
          </cell>
        </row>
        <row r="65">
          <cell r="B65" t="str">
            <v>D I S C E M E N T O</v>
          </cell>
          <cell r="F65">
            <v>32500</v>
          </cell>
          <cell r="G65">
            <v>343295773</v>
          </cell>
          <cell r="H65">
            <v>65</v>
          </cell>
          <cell r="L65">
            <v>20</v>
          </cell>
          <cell r="M65">
            <v>73358</v>
          </cell>
          <cell r="N65">
            <v>0.04</v>
          </cell>
          <cell r="X65">
            <v>15000</v>
          </cell>
          <cell r="Z65">
            <v>30</v>
          </cell>
          <cell r="AA65">
            <v>47520</v>
          </cell>
          <cell r="AB65">
            <v>343369131</v>
          </cell>
          <cell r="AC65">
            <v>95.04</v>
          </cell>
          <cell r="AD65">
            <v>50000</v>
          </cell>
          <cell r="AE65">
            <v>43725.7</v>
          </cell>
          <cell r="AF65">
            <v>2077845.2639999997</v>
          </cell>
        </row>
        <row r="66">
          <cell r="B66" t="str">
            <v>PROMOTORA NAL. DE ZONAS FRANCAS S.A.</v>
          </cell>
          <cell r="C66">
            <v>63940688</v>
          </cell>
          <cell r="D66">
            <v>923277448</v>
          </cell>
          <cell r="E66">
            <v>16.7686451487262</v>
          </cell>
          <cell r="O66" t="str">
            <v xml:space="preserve"> </v>
          </cell>
          <cell r="AA66">
            <v>63940688</v>
          </cell>
          <cell r="AB66">
            <v>923277448</v>
          </cell>
          <cell r="AC66">
            <v>16.7686451487262</v>
          </cell>
          <cell r="AD66">
            <v>381310997</v>
          </cell>
          <cell r="AE66">
            <v>26.54</v>
          </cell>
          <cell r="AF66">
            <v>1696985.8595199999</v>
          </cell>
        </row>
        <row r="67">
          <cell r="B67" t="str">
            <v>URBANIZADORA VILLA SANTOS LTDA</v>
          </cell>
          <cell r="F67">
            <v>9000</v>
          </cell>
          <cell r="G67">
            <v>781801221</v>
          </cell>
          <cell r="H67">
            <v>90</v>
          </cell>
          <cell r="AA67">
            <v>9000</v>
          </cell>
          <cell r="AB67">
            <v>781801221</v>
          </cell>
          <cell r="AC67">
            <v>90</v>
          </cell>
          <cell r="AD67">
            <v>10000</v>
          </cell>
          <cell r="AE67">
            <v>176113.63</v>
          </cell>
          <cell r="AF67">
            <v>1585022.67</v>
          </cell>
        </row>
        <row r="68">
          <cell r="B68" t="str">
            <v xml:space="preserve">C O N C R E N A L   </v>
          </cell>
          <cell r="D68">
            <v>0</v>
          </cell>
          <cell r="L68">
            <v>400000</v>
          </cell>
          <cell r="M68">
            <v>1076206578</v>
          </cell>
          <cell r="N68">
            <v>6.666666666666667</v>
          </cell>
          <cell r="O68">
            <v>800000</v>
          </cell>
          <cell r="P68">
            <v>1106300000</v>
          </cell>
          <cell r="Q68">
            <v>13.333333333333334</v>
          </cell>
          <cell r="U68">
            <v>600000</v>
          </cell>
          <cell r="V68">
            <v>50179509</v>
          </cell>
          <cell r="W68">
            <v>10</v>
          </cell>
          <cell r="AA68">
            <v>1800000</v>
          </cell>
          <cell r="AB68">
            <v>2232686087</v>
          </cell>
          <cell r="AC68">
            <v>30</v>
          </cell>
          <cell r="AD68">
            <v>6000000</v>
          </cell>
          <cell r="AE68">
            <v>878.47</v>
          </cell>
          <cell r="AF68">
            <v>1581246</v>
          </cell>
        </row>
        <row r="69">
          <cell r="B69" t="str">
            <v>ANTIOQUIA CELULAR  S.A. - ANCEL</v>
          </cell>
          <cell r="C69">
            <v>471212</v>
          </cell>
          <cell r="D69">
            <v>1376094451</v>
          </cell>
          <cell r="E69">
            <v>3.1306979976533653</v>
          </cell>
          <cell r="AA69">
            <v>471212</v>
          </cell>
          <cell r="AB69">
            <v>1376094451</v>
          </cell>
          <cell r="AC69">
            <v>3.1306979976533653</v>
          </cell>
          <cell r="AD69">
            <v>15051340</v>
          </cell>
          <cell r="AE69">
            <v>3175.11</v>
          </cell>
          <cell r="AF69">
            <v>1496149.9333200001</v>
          </cell>
        </row>
        <row r="70">
          <cell r="B70" t="str">
            <v>C E M C A R</v>
          </cell>
          <cell r="R70">
            <v>202335</v>
          </cell>
          <cell r="S70">
            <v>881425724</v>
          </cell>
          <cell r="T70">
            <v>90.826046361302133</v>
          </cell>
          <cell r="AA70">
            <v>202335</v>
          </cell>
          <cell r="AB70">
            <v>881425724</v>
          </cell>
          <cell r="AC70">
            <v>90.826046361302133</v>
          </cell>
          <cell r="AD70">
            <v>222772</v>
          </cell>
          <cell r="AE70">
            <v>6613.0649022660436</v>
          </cell>
          <cell r="AF70">
            <v>1338054.487</v>
          </cell>
        </row>
        <row r="71">
          <cell r="B71" t="str">
            <v>CANTERAS  DE COLOMBIA S.A.</v>
          </cell>
          <cell r="C71">
            <v>50000</v>
          </cell>
          <cell r="D71">
            <v>54549428</v>
          </cell>
          <cell r="E71">
            <v>50</v>
          </cell>
          <cell r="AA71">
            <v>50000</v>
          </cell>
          <cell r="AB71">
            <v>54549428</v>
          </cell>
          <cell r="AC71">
            <v>50</v>
          </cell>
          <cell r="AD71">
            <v>100000</v>
          </cell>
          <cell r="AE71">
            <v>24188.41</v>
          </cell>
          <cell r="AF71">
            <v>1209420.5</v>
          </cell>
        </row>
        <row r="72">
          <cell r="B72" t="str">
            <v>SUCROMILES S.A.</v>
          </cell>
          <cell r="O72">
            <v>8716</v>
          </cell>
          <cell r="P72">
            <v>55610000</v>
          </cell>
          <cell r="Q72">
            <v>1.3206060606060606</v>
          </cell>
          <cell r="AA72">
            <v>8716</v>
          </cell>
          <cell r="AB72">
            <v>55610000</v>
          </cell>
          <cell r="AC72">
            <v>1.3206060606060606</v>
          </cell>
          <cell r="AD72">
            <v>660000</v>
          </cell>
          <cell r="AE72">
            <v>131219.81</v>
          </cell>
          <cell r="AF72">
            <v>1143711.86396</v>
          </cell>
        </row>
        <row r="73">
          <cell r="B73" t="str">
            <v>TRANSMETANO</v>
          </cell>
          <cell r="C73">
            <v>31764859</v>
          </cell>
          <cell r="D73">
            <v>1347539600</v>
          </cell>
          <cell r="E73">
            <v>2.1665026312589646</v>
          </cell>
          <cell r="AA73">
            <v>31764859</v>
          </cell>
          <cell r="AB73">
            <v>1347539600</v>
          </cell>
          <cell r="AC73">
            <v>2.1665026312589646</v>
          </cell>
          <cell r="AD73">
            <v>1466181418</v>
          </cell>
          <cell r="AE73">
            <v>27.03</v>
          </cell>
          <cell r="AF73">
            <v>858604.13876999996</v>
          </cell>
        </row>
        <row r="74">
          <cell r="B74" t="str">
            <v>PROELECTRICA S.A.</v>
          </cell>
          <cell r="R74">
            <v>25008</v>
          </cell>
          <cell r="S74">
            <v>307151058</v>
          </cell>
          <cell r="T74">
            <v>13.770015197233661</v>
          </cell>
          <cell r="AA74">
            <v>25008</v>
          </cell>
          <cell r="AB74">
            <v>307151058</v>
          </cell>
          <cell r="AC74">
            <v>13.770015197233661</v>
          </cell>
          <cell r="AD74">
            <v>181612</v>
          </cell>
          <cell r="AE74">
            <v>32861.78</v>
          </cell>
          <cell r="AF74">
            <v>821807.39424000005</v>
          </cell>
        </row>
        <row r="75">
          <cell r="B75" t="str">
            <v>SOCIEDAD REGIONAL DE BUENAVENTURA</v>
          </cell>
          <cell r="I75">
            <v>34715</v>
          </cell>
          <cell r="J75">
            <v>26364319</v>
          </cell>
          <cell r="K75">
            <v>0.19800252158763632</v>
          </cell>
          <cell r="L75">
            <v>59002</v>
          </cell>
          <cell r="M75">
            <v>137360463</v>
          </cell>
          <cell r="N75">
            <v>0.33652728730271403</v>
          </cell>
          <cell r="O75">
            <v>176321</v>
          </cell>
          <cell r="P75">
            <v>81547000</v>
          </cell>
          <cell r="Q75">
            <v>1.0056748555049293</v>
          </cell>
          <cell r="AA75">
            <v>270038</v>
          </cell>
          <cell r="AB75">
            <v>245271782</v>
          </cell>
          <cell r="AC75">
            <v>1.5402046643952796</v>
          </cell>
          <cell r="AD75">
            <v>17532605</v>
          </cell>
          <cell r="AE75">
            <v>3020.01</v>
          </cell>
          <cell r="AF75">
            <v>815517.46038000006</v>
          </cell>
        </row>
        <row r="76">
          <cell r="B76" t="str">
            <v>PIEDRAS Y DERIVADOS</v>
          </cell>
          <cell r="C76">
            <v>99868</v>
          </cell>
          <cell r="D76">
            <v>771858924</v>
          </cell>
          <cell r="E76">
            <v>76.947021296267764</v>
          </cell>
          <cell r="L76">
            <v>650</v>
          </cell>
          <cell r="N76">
            <v>0.50081671649150916</v>
          </cell>
          <cell r="U76">
            <v>1663</v>
          </cell>
          <cell r="V76">
            <v>564483</v>
          </cell>
          <cell r="W76">
            <v>1.2813203069621228</v>
          </cell>
          <cell r="AA76">
            <v>102181</v>
          </cell>
          <cell r="AB76">
            <v>772423407</v>
          </cell>
          <cell r="AC76">
            <v>78.729158319721407</v>
          </cell>
          <cell r="AD76">
            <v>129788</v>
          </cell>
          <cell r="AE76">
            <v>6733.75</v>
          </cell>
          <cell r="AF76">
            <v>688061.30874999997</v>
          </cell>
        </row>
        <row r="77">
          <cell r="B77" t="str">
            <v xml:space="preserve">TABLEROS Y MADERAS DE CALDAS S.A. </v>
          </cell>
          <cell r="C77">
            <v>81866333</v>
          </cell>
          <cell r="D77">
            <v>1769370098</v>
          </cell>
          <cell r="E77">
            <v>5.3180679208482795</v>
          </cell>
          <cell r="L77">
            <v>29462347</v>
          </cell>
          <cell r="M77">
            <v>834366909</v>
          </cell>
          <cell r="N77">
            <v>1.9138851920190505</v>
          </cell>
          <cell r="AA77">
            <v>111328680</v>
          </cell>
          <cell r="AB77">
            <v>2603737007</v>
          </cell>
          <cell r="AC77">
            <v>7.2319531128673304</v>
          </cell>
          <cell r="AD77">
            <v>1539399914</v>
          </cell>
          <cell r="AE77">
            <v>6.01</v>
          </cell>
          <cell r="AF77">
            <v>669085.36679999996</v>
          </cell>
        </row>
        <row r="78">
          <cell r="B78" t="str">
            <v>CORP. FINANCIERA COLOMBIANA  S.A.</v>
          </cell>
          <cell r="F78">
            <v>1176367</v>
          </cell>
          <cell r="G78">
            <v>363598916</v>
          </cell>
          <cell r="H78">
            <v>0.6031173737272939</v>
          </cell>
          <cell r="AA78">
            <v>1176367</v>
          </cell>
          <cell r="AB78">
            <v>363598916</v>
          </cell>
          <cell r="AC78">
            <v>0.6031173737272939</v>
          </cell>
          <cell r="AD78">
            <v>195047772</v>
          </cell>
          <cell r="AE78">
            <v>514.0199997109745</v>
          </cell>
          <cell r="AF78">
            <v>604676.16500000004</v>
          </cell>
        </row>
        <row r="79">
          <cell r="B79" t="str">
            <v>PREDIOS DEL SUR</v>
          </cell>
          <cell r="C79">
            <v>401065661</v>
          </cell>
          <cell r="D79">
            <v>484335980</v>
          </cell>
          <cell r="E79">
            <v>5.2186049218975628</v>
          </cell>
          <cell r="AA79">
            <v>401065661</v>
          </cell>
          <cell r="AB79">
            <v>484335980</v>
          </cell>
          <cell r="AC79">
            <v>5.2186049218975628</v>
          </cell>
          <cell r="AD79">
            <v>7685304157</v>
          </cell>
          <cell r="AE79">
            <v>1.43</v>
          </cell>
          <cell r="AF79">
            <v>573523.89523000002</v>
          </cell>
        </row>
        <row r="80">
          <cell r="B80" t="str">
            <v>MERILECTRICA, 1 S.A. &amp; CIA, SCA, ESP.</v>
          </cell>
          <cell r="C80">
            <v>419919</v>
          </cell>
          <cell r="D80">
            <v>277681050</v>
          </cell>
          <cell r="E80">
            <v>4.950027495634</v>
          </cell>
          <cell r="AA80">
            <v>419919</v>
          </cell>
          <cell r="AB80">
            <v>277681050</v>
          </cell>
          <cell r="AC80">
            <v>4.950027495634</v>
          </cell>
          <cell r="AD80">
            <v>8483165</v>
          </cell>
          <cell r="AE80">
            <v>1336.79</v>
          </cell>
          <cell r="AF80">
            <v>561343.52000999998</v>
          </cell>
        </row>
        <row r="81">
          <cell r="B81" t="str">
            <v>CARBONES NECHI  LTDA.</v>
          </cell>
          <cell r="O81">
            <v>29900</v>
          </cell>
          <cell r="P81">
            <v>455990000</v>
          </cell>
          <cell r="Q81">
            <v>46</v>
          </cell>
          <cell r="AA81">
            <v>29900</v>
          </cell>
          <cell r="AB81">
            <v>455990000</v>
          </cell>
          <cell r="AC81">
            <v>46</v>
          </cell>
          <cell r="AD81">
            <v>65000</v>
          </cell>
          <cell r="AE81">
            <v>18755.886287625421</v>
          </cell>
          <cell r="AF81">
            <v>560801.00000000012</v>
          </cell>
        </row>
        <row r="82">
          <cell r="B82" t="str">
            <v xml:space="preserve">S U I N M O B I  L I A R I A </v>
          </cell>
          <cell r="C82">
            <v>5003884</v>
          </cell>
          <cell r="D82">
            <v>2904114036</v>
          </cell>
          <cell r="E82">
            <v>17.705633550844514</v>
          </cell>
          <cell r="AA82">
            <v>5003884</v>
          </cell>
          <cell r="AB82">
            <v>2904114036</v>
          </cell>
          <cell r="AC82">
            <v>17.705633550844514</v>
          </cell>
          <cell r="AD82">
            <v>28261536</v>
          </cell>
          <cell r="AE82">
            <v>102.26</v>
          </cell>
          <cell r="AF82">
            <v>511697.17784000002</v>
          </cell>
        </row>
        <row r="83">
          <cell r="B83" t="str">
            <v>FLOTA FLUVIAL CARBONERA LTDA</v>
          </cell>
          <cell r="F83">
            <v>247745</v>
          </cell>
          <cell r="G83">
            <v>442097095</v>
          </cell>
          <cell r="H83">
            <v>41.290833333333332</v>
          </cell>
          <cell r="X83">
            <v>4510</v>
          </cell>
          <cell r="Z83">
            <v>0.75166666666666659</v>
          </cell>
          <cell r="AA83">
            <v>252255</v>
          </cell>
          <cell r="AB83">
            <v>442097095</v>
          </cell>
          <cell r="AC83">
            <v>42.042499999999997</v>
          </cell>
          <cell r="AD83">
            <v>600000</v>
          </cell>
          <cell r="AE83">
            <v>1886.1599991927183</v>
          </cell>
          <cell r="AF83">
            <v>475793.29059635912</v>
          </cell>
        </row>
        <row r="84">
          <cell r="B84" t="str">
            <v>PROCARBON DE OCCIDENTE</v>
          </cell>
          <cell r="O84">
            <v>1139924</v>
          </cell>
          <cell r="P84">
            <v>397410000</v>
          </cell>
          <cell r="Q84">
            <v>19.405703273824219</v>
          </cell>
          <cell r="AA84">
            <v>1139924</v>
          </cell>
          <cell r="AB84">
            <v>397410000</v>
          </cell>
          <cell r="AC84">
            <v>19.405703273824219</v>
          </cell>
          <cell r="AD84">
            <v>5874170</v>
          </cell>
          <cell r="AE84">
            <v>414.68</v>
          </cell>
          <cell r="AF84">
            <v>472703.68432</v>
          </cell>
        </row>
        <row r="85">
          <cell r="B85" t="str">
            <v>SOC. COL. DE TRANSP. FERROVIARIO  S.A.</v>
          </cell>
          <cell r="C85">
            <v>3330709</v>
          </cell>
          <cell r="D85">
            <v>440453773</v>
          </cell>
          <cell r="E85">
            <v>2.5795680192887689</v>
          </cell>
          <cell r="F85">
            <v>2715000</v>
          </cell>
          <cell r="G85">
            <v>403905064</v>
          </cell>
          <cell r="H85">
            <v>2.1027136181422659</v>
          </cell>
          <cell r="K85">
            <v>0</v>
          </cell>
          <cell r="AA85">
            <v>6045709</v>
          </cell>
          <cell r="AB85">
            <v>844358837</v>
          </cell>
          <cell r="AC85">
            <v>4.6822816374310348</v>
          </cell>
          <cell r="AD85">
            <v>129118867</v>
          </cell>
          <cell r="AE85">
            <v>76.09</v>
          </cell>
          <cell r="AF85">
            <v>460017.99781000003</v>
          </cell>
        </row>
        <row r="86">
          <cell r="B86" t="str">
            <v>SOC. AGREGADOS CALCAREOS  LTDA</v>
          </cell>
          <cell r="L86">
            <v>4000</v>
          </cell>
          <cell r="M86">
            <v>9660094</v>
          </cell>
          <cell r="N86">
            <v>10</v>
          </cell>
          <cell r="O86">
            <v>16400</v>
          </cell>
          <cell r="P86">
            <v>54660000</v>
          </cell>
          <cell r="Q86">
            <v>41</v>
          </cell>
          <cell r="AA86">
            <v>20400</v>
          </cell>
          <cell r="AB86">
            <v>64320094</v>
          </cell>
          <cell r="AC86">
            <v>51</v>
          </cell>
          <cell r="AD86">
            <v>40000</v>
          </cell>
          <cell r="AE86">
            <v>21230.914634146342</v>
          </cell>
          <cell r="AF86">
            <v>433110.6585365854</v>
          </cell>
        </row>
        <row r="87">
          <cell r="B87" t="str">
            <v>CORPORACIÓN FINANCIERA DEL NORTE  S.A.</v>
          </cell>
          <cell r="F87">
            <v>3126483</v>
          </cell>
          <cell r="G87">
            <v>205850865</v>
          </cell>
          <cell r="H87">
            <v>2.5</v>
          </cell>
          <cell r="R87">
            <v>354540</v>
          </cell>
          <cell r="S87">
            <v>32102701</v>
          </cell>
          <cell r="T87">
            <v>0.28349746344374815</v>
          </cell>
          <cell r="AA87">
            <v>3481023</v>
          </cell>
          <cell r="AB87">
            <v>237953566</v>
          </cell>
          <cell r="AC87">
            <v>2.7834974634437479</v>
          </cell>
          <cell r="AD87">
            <v>125059320</v>
          </cell>
          <cell r="AE87">
            <v>116.58303563460925</v>
          </cell>
          <cell r="AF87">
            <v>405828.22845389438</v>
          </cell>
        </row>
        <row r="88">
          <cell r="B88" t="str">
            <v>ETERNIT ATLANTICO S.A.</v>
          </cell>
          <cell r="C88">
            <v>86753</v>
          </cell>
          <cell r="D88">
            <v>8684294</v>
          </cell>
          <cell r="E88">
            <v>1.4394862564098478</v>
          </cell>
          <cell r="AA88">
            <v>86753</v>
          </cell>
          <cell r="AB88">
            <v>8684294</v>
          </cell>
          <cell r="AC88">
            <v>1.4394862564098478</v>
          </cell>
          <cell r="AD88">
            <v>6026664</v>
          </cell>
          <cell r="AE88">
            <v>4331.63</v>
          </cell>
          <cell r="AF88">
            <v>375781.89739</v>
          </cell>
        </row>
        <row r="89">
          <cell r="B89" t="str">
            <v>OTRAS INVERSIONES</v>
          </cell>
          <cell r="AF89">
            <v>3797976.3994258554</v>
          </cell>
        </row>
        <row r="90">
          <cell r="B90" t="str">
            <v>SUBTOTAL</v>
          </cell>
          <cell r="AF90">
            <v>1046250103.3587524</v>
          </cell>
        </row>
        <row r="91">
          <cell r="B91" t="str">
            <v>T O T A L</v>
          </cell>
          <cell r="AF91">
            <v>2572809243.9527526</v>
          </cell>
        </row>
        <row r="92">
          <cell r="B92" t="str">
            <v>(*) VALORIZADAS A VALOR INTRINSECO, SEGÚN CIRCULAR EXTERNA No. 001 DE 1996 DE LA SUPERINTENDENCIA DE VALORES.</v>
          </cell>
        </row>
        <row r="100">
          <cell r="B100" t="str">
            <v>ALMACENES ÉXITO</v>
          </cell>
          <cell r="D100">
            <v>0</v>
          </cell>
          <cell r="O100">
            <v>76975</v>
          </cell>
          <cell r="P100">
            <v>0</v>
          </cell>
          <cell r="Q100">
            <v>4.0451435178820383E-2</v>
          </cell>
          <cell r="AA100">
            <v>76975</v>
          </cell>
          <cell r="AB100">
            <v>0</v>
          </cell>
          <cell r="AC100">
            <v>4.0451435178820383E-2</v>
          </cell>
          <cell r="AD100">
            <v>190289911</v>
          </cell>
          <cell r="AE100">
            <v>4500</v>
          </cell>
          <cell r="AF100">
            <v>346387.5</v>
          </cell>
        </row>
        <row r="101">
          <cell r="B101" t="str">
            <v>INGENIO LA CABAÑA</v>
          </cell>
          <cell r="O101">
            <v>16204</v>
          </cell>
          <cell r="P101">
            <v>1000000000</v>
          </cell>
          <cell r="Q101">
            <v>0.13999999999999999</v>
          </cell>
          <cell r="AA101">
            <v>16204</v>
          </cell>
          <cell r="AB101">
            <v>1000000000</v>
          </cell>
          <cell r="AC101">
            <v>0.13999999999999999</v>
          </cell>
          <cell r="AD101">
            <v>11574285.714285715</v>
          </cell>
          <cell r="AE101">
            <v>15527.59</v>
          </cell>
          <cell r="AF101">
            <v>251609.06836</v>
          </cell>
        </row>
        <row r="102">
          <cell r="B102" t="str">
            <v>ACERIAS PAZ DEL RIO S.A.</v>
          </cell>
          <cell r="O102">
            <v>9006666</v>
          </cell>
          <cell r="P102">
            <v>219780000</v>
          </cell>
          <cell r="Q102">
            <v>9.4555037793220276E-2</v>
          </cell>
          <cell r="AA102">
            <v>9006666</v>
          </cell>
          <cell r="AB102">
            <v>219780000</v>
          </cell>
          <cell r="AC102">
            <v>9.4555037793220276E-2</v>
          </cell>
          <cell r="AD102">
            <v>9525315848</v>
          </cell>
          <cell r="AE102">
            <v>22.31</v>
          </cell>
          <cell r="AF102">
            <v>200938.71845999997</v>
          </cell>
        </row>
        <row r="103">
          <cell r="B103" t="str">
            <v>PROMOTORA PROY. DEL SUROCCIDENTE S.A.</v>
          </cell>
          <cell r="C103">
            <v>191000</v>
          </cell>
          <cell r="D103">
            <v>274705370</v>
          </cell>
          <cell r="E103">
            <v>20</v>
          </cell>
          <cell r="O103">
            <v>382000</v>
          </cell>
          <cell r="P103">
            <v>706810000</v>
          </cell>
          <cell r="Q103">
            <v>40</v>
          </cell>
          <cell r="AA103">
            <v>573000</v>
          </cell>
          <cell r="AB103">
            <v>981515370</v>
          </cell>
          <cell r="AC103">
            <v>60</v>
          </cell>
          <cell r="AD103">
            <v>955000</v>
          </cell>
          <cell r="AE103">
            <v>342.98</v>
          </cell>
          <cell r="AF103">
            <v>196527.54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menteras"/>
      <sheetName val="0tras"/>
      <sheetName val="Vr.-ARGOS"/>
      <sheetName val="Vr.-CARIBE"/>
      <sheetName val="Vr.-CAIRO"/>
      <sheetName val="Vr.-NARE"/>
      <sheetName val="Vr.-VALLE"/>
      <sheetName val="Vr.-COLCLINKER"/>
      <sheetName val="Vr.-RIOCLARO"/>
      <sheetName val="Vr.-TOLCEMENTO"/>
      <sheetName val="TOTAL GRUPO"/>
      <sheetName val="INVERGPO"/>
      <sheetName val="A JUNIO2000"/>
      <sheetName val="septmbre00"/>
      <sheetName val="DICIEMBRE"/>
      <sheetName val="MARZO-01"/>
      <sheetName val="Junio-01"/>
      <sheetName val="SEP-01"/>
      <sheetName val="DIC-01"/>
      <sheetName val="Mar-02-Actualizar sobre este"/>
      <sheetName val="Jun-02-no actualizar"/>
      <sheetName val="Agosto"/>
      <sheetName val="SEPT. 30.02"/>
      <sheetName val="E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F7">
            <v>540958434.21695995</v>
          </cell>
        </row>
        <row r="8">
          <cell r="AF8">
            <v>241799904.07949999</v>
          </cell>
        </row>
        <row r="9">
          <cell r="AF9">
            <v>225743747.66940001</v>
          </cell>
        </row>
        <row r="10">
          <cell r="AF10">
            <v>203089101.99944001</v>
          </cell>
        </row>
        <row r="11">
          <cell r="AF11">
            <v>186070040.62151998</v>
          </cell>
        </row>
        <row r="24">
          <cell r="B24" t="str">
            <v xml:space="preserve">TOLCEMENTO </v>
          </cell>
          <cell r="F24">
            <v>28483612</v>
          </cell>
          <cell r="G24">
            <v>40843015974</v>
          </cell>
          <cell r="H24">
            <v>71.210000236253222</v>
          </cell>
          <cell r="O24">
            <v>4003686</v>
          </cell>
          <cell r="P24">
            <v>1434940000</v>
          </cell>
          <cell r="Q24">
            <v>10.009351377412518</v>
          </cell>
          <cell r="AA24">
            <v>32487298</v>
          </cell>
          <cell r="AB24">
            <v>42277955974</v>
          </cell>
          <cell r="AC24">
            <v>81.219351613665737</v>
          </cell>
          <cell r="AD24">
            <v>39999455</v>
          </cell>
          <cell r="AE24">
            <v>2547.0800000014042</v>
          </cell>
          <cell r="AF24">
            <v>82747746.989885613</v>
          </cell>
        </row>
        <row r="25">
          <cell r="B25" t="str">
            <v>CORPORACIÓN DE CEMENTO ANDINO S.A.</v>
          </cell>
          <cell r="F25">
            <v>33423008</v>
          </cell>
          <cell r="G25">
            <v>41533003144</v>
          </cell>
          <cell r="H25">
            <v>80</v>
          </cell>
          <cell r="AA25">
            <v>33423008</v>
          </cell>
          <cell r="AB25">
            <v>41533003144</v>
          </cell>
          <cell r="AC25">
            <v>80</v>
          </cell>
          <cell r="AD25">
            <v>41778760</v>
          </cell>
          <cell r="AE25">
            <v>2186.3829001676922</v>
          </cell>
          <cell r="AF25">
            <v>73075493.163367987</v>
          </cell>
        </row>
        <row r="26">
          <cell r="B26" t="str">
            <v>VALLE CEMENT INVESTMENT</v>
          </cell>
          <cell r="O26">
            <v>1</v>
          </cell>
          <cell r="P26">
            <v>43636630000</v>
          </cell>
          <cell r="Q26">
            <v>100</v>
          </cell>
          <cell r="AA26">
            <v>1</v>
          </cell>
          <cell r="AB26">
            <v>43636630000</v>
          </cell>
          <cell r="AC26">
            <v>100</v>
          </cell>
          <cell r="AD26">
            <v>1</v>
          </cell>
          <cell r="AE26">
            <v>66223912</v>
          </cell>
          <cell r="AF26">
            <v>66223912</v>
          </cell>
        </row>
        <row r="27">
          <cell r="B27" t="str">
            <v>BANCOLOMBIA S.A.</v>
          </cell>
          <cell r="C27">
            <v>24375687</v>
          </cell>
          <cell r="D27">
            <v>7433119936</v>
          </cell>
          <cell r="E27">
            <v>7.1894310820651537</v>
          </cell>
          <cell r="L27">
            <v>752657</v>
          </cell>
          <cell r="M27">
            <v>3401144920</v>
          </cell>
          <cell r="N27">
            <v>0.22199069219808709</v>
          </cell>
          <cell r="O27">
            <v>29658125</v>
          </cell>
          <cell r="P27">
            <v>32736470000</v>
          </cell>
          <cell r="Q27">
            <v>8.7474476395587786</v>
          </cell>
          <cell r="AA27">
            <v>54786469</v>
          </cell>
          <cell r="AB27">
            <v>43570734856</v>
          </cell>
          <cell r="AC27">
            <v>16.158869413822018</v>
          </cell>
          <cell r="AD27">
            <v>339048900</v>
          </cell>
          <cell r="AE27">
            <v>1057.42</v>
          </cell>
          <cell r="AF27">
            <v>57932308.04998</v>
          </cell>
        </row>
        <row r="28">
          <cell r="B28" t="str">
            <v>C O N A V I</v>
          </cell>
          <cell r="C28">
            <v>305333930</v>
          </cell>
          <cell r="D28">
            <v>479649994</v>
          </cell>
          <cell r="E28">
            <v>7.5418959326300925</v>
          </cell>
          <cell r="I28">
            <v>210117338</v>
          </cell>
          <cell r="J28">
            <v>31793089535</v>
          </cell>
          <cell r="K28">
            <v>5.1900000004495492</v>
          </cell>
          <cell r="AA28">
            <v>515451268</v>
          </cell>
          <cell r="AB28">
            <v>32272739529</v>
          </cell>
          <cell r="AC28">
            <v>12.731895933079642</v>
          </cell>
          <cell r="AD28">
            <v>4048503622</v>
          </cell>
          <cell r="AE28">
            <v>100</v>
          </cell>
          <cell r="AF28">
            <v>51545126.799999997</v>
          </cell>
        </row>
        <row r="29">
          <cell r="B29" t="str">
            <v>CIA. NACIONAL DE CHOCOLATES S.A.</v>
          </cell>
          <cell r="C29">
            <v>3198802</v>
          </cell>
          <cell r="D29">
            <v>2880329910</v>
          </cell>
          <cell r="E29">
            <v>3.6912681898527393</v>
          </cell>
          <cell r="I29">
            <v>289263</v>
          </cell>
          <cell r="J29">
            <v>468255551</v>
          </cell>
          <cell r="K29">
            <v>0.33379599937769605</v>
          </cell>
          <cell r="L29">
            <v>710202</v>
          </cell>
          <cell r="M29">
            <v>4758353400</v>
          </cell>
          <cell r="N29">
            <v>0.81953995619916298</v>
          </cell>
          <cell r="O29">
            <v>1851296</v>
          </cell>
          <cell r="P29">
            <v>1773730000</v>
          </cell>
          <cell r="Q29">
            <v>2.1363091666197582</v>
          </cell>
          <cell r="AA29">
            <v>6049563</v>
          </cell>
          <cell r="AB29">
            <v>9880668861</v>
          </cell>
          <cell r="AC29">
            <v>6.9809133120493563</v>
          </cell>
          <cell r="AD29">
            <v>86658618</v>
          </cell>
          <cell r="AE29">
            <v>7063.02</v>
          </cell>
          <cell r="AF29">
            <v>42728184.460260004</v>
          </cell>
        </row>
        <row r="30">
          <cell r="B30" t="str">
            <v>CEMENTOS PAZ DEL RIO S.A.</v>
          </cell>
          <cell r="C30">
            <v>24124594</v>
          </cell>
          <cell r="D30">
            <v>18565624578</v>
          </cell>
          <cell r="E30">
            <v>20.103828333333336</v>
          </cell>
          <cell r="F30">
            <v>218564</v>
          </cell>
          <cell r="G30">
            <v>44961296</v>
          </cell>
          <cell r="H30">
            <v>0.18213666666666667</v>
          </cell>
          <cell r="I30">
            <v>2985397</v>
          </cell>
          <cell r="J30">
            <v>1860367965</v>
          </cell>
          <cell r="K30">
            <v>2.4878308333333337</v>
          </cell>
          <cell r="L30">
            <v>2909476</v>
          </cell>
          <cell r="M30">
            <v>1630130277</v>
          </cell>
          <cell r="N30">
            <v>2.4245633333333334</v>
          </cell>
          <cell r="O30">
            <v>1320993</v>
          </cell>
          <cell r="P30">
            <v>2132920000</v>
          </cell>
          <cell r="Q30">
            <v>1.1008275000000001</v>
          </cell>
          <cell r="R30">
            <v>3000000</v>
          </cell>
          <cell r="T30">
            <v>2.5</v>
          </cell>
          <cell r="U30">
            <v>5137782</v>
          </cell>
          <cell r="V30">
            <v>1121118400</v>
          </cell>
          <cell r="W30">
            <v>4.281485</v>
          </cell>
          <cell r="AA30">
            <v>39696806</v>
          </cell>
          <cell r="AB30">
            <v>25355122516</v>
          </cell>
          <cell r="AC30">
            <v>33.080671666666674</v>
          </cell>
          <cell r="AD30">
            <v>120000000</v>
          </cell>
          <cell r="AE30">
            <v>839.48</v>
          </cell>
          <cell r="AF30">
            <v>33324674.700880002</v>
          </cell>
        </row>
        <row r="31">
          <cell r="B31" t="str">
            <v>COLCARIBE HOLDING</v>
          </cell>
          <cell r="F31">
            <v>85000</v>
          </cell>
          <cell r="G31">
            <v>72963466168</v>
          </cell>
          <cell r="H31">
            <v>29.310344827586203</v>
          </cell>
          <cell r="R31">
            <v>75000</v>
          </cell>
          <cell r="S31">
            <v>7780750000</v>
          </cell>
          <cell r="T31">
            <v>25.862068965517242</v>
          </cell>
          <cell r="AA31">
            <v>160000</v>
          </cell>
          <cell r="AB31">
            <v>80744216168</v>
          </cell>
          <cell r="AC31">
            <v>55.172413793103445</v>
          </cell>
          <cell r="AD31">
            <v>290000</v>
          </cell>
          <cell r="AE31">
            <v>181479.67095294117</v>
          </cell>
          <cell r="AF31">
            <v>29036747.352470588</v>
          </cell>
        </row>
        <row r="32">
          <cell r="B32" t="str">
            <v>CIA. COMERCIAL. FABRICATO y TEJICONDOR</v>
          </cell>
          <cell r="C32">
            <v>963662</v>
          </cell>
          <cell r="E32">
            <v>13.217396409011226</v>
          </cell>
          <cell r="O32">
            <v>1029659</v>
          </cell>
          <cell r="Q32">
            <v>14.122598140329378</v>
          </cell>
          <cell r="AA32">
            <v>1993321</v>
          </cell>
          <cell r="AB32">
            <v>0</v>
          </cell>
          <cell r="AC32">
            <v>27.339994549340602</v>
          </cell>
          <cell r="AD32">
            <v>7290861</v>
          </cell>
          <cell r="AE32">
            <v>13622.23</v>
          </cell>
          <cell r="AF32">
            <v>27153477.125829998</v>
          </cell>
        </row>
        <row r="33">
          <cell r="B33" t="str">
            <v>C.I. FABRICATO y TEJICONDOR</v>
          </cell>
          <cell r="C33">
            <v>963663</v>
          </cell>
          <cell r="E33">
            <v>13.675742881621023</v>
          </cell>
          <cell r="O33">
            <v>1029661</v>
          </cell>
          <cell r="Q33">
            <v>14.612347979773826</v>
          </cell>
          <cell r="AA33">
            <v>1993324</v>
          </cell>
          <cell r="AB33">
            <v>0</v>
          </cell>
          <cell r="AC33">
            <v>28.288090861394849</v>
          </cell>
          <cell r="AD33">
            <v>7046513</v>
          </cell>
          <cell r="AE33">
            <v>13164.59</v>
          </cell>
          <cell r="AF33">
            <v>26241293.197159998</v>
          </cell>
        </row>
        <row r="34">
          <cell r="B34" t="str">
            <v>CARBONES DEL CARIBE S.A.</v>
          </cell>
          <cell r="C34">
            <v>260000</v>
          </cell>
          <cell r="D34">
            <v>32613768972</v>
          </cell>
          <cell r="E34">
            <v>3.4666666666666663</v>
          </cell>
          <cell r="F34">
            <v>3670000</v>
          </cell>
          <cell r="G34">
            <v>21864849123</v>
          </cell>
          <cell r="H34">
            <v>48.933333333333337</v>
          </cell>
          <cell r="I34">
            <v>325000</v>
          </cell>
          <cell r="J34">
            <v>3549836130</v>
          </cell>
          <cell r="K34">
            <v>4.3333333333333339</v>
          </cell>
          <cell r="L34">
            <v>28887</v>
          </cell>
          <cell r="M34">
            <v>331908587</v>
          </cell>
          <cell r="N34">
            <v>0.38516</v>
          </cell>
          <cell r="O34">
            <v>258580</v>
          </cell>
          <cell r="P34">
            <v>4614990000</v>
          </cell>
          <cell r="Q34">
            <v>3.4477333333333333</v>
          </cell>
          <cell r="X34">
            <v>0</v>
          </cell>
          <cell r="AA34">
            <v>4542467</v>
          </cell>
          <cell r="AB34">
            <v>62975352812</v>
          </cell>
          <cell r="AC34">
            <v>60.566226666666672</v>
          </cell>
          <cell r="AD34">
            <v>7500000</v>
          </cell>
          <cell r="AE34">
            <v>4989.3</v>
          </cell>
          <cell r="AF34">
            <v>22663730.603100002</v>
          </cell>
        </row>
        <row r="35">
          <cell r="B35" t="str">
            <v>CARTON DE COLOMBIA S.A.</v>
          </cell>
          <cell r="I35">
            <v>1279159</v>
          </cell>
          <cell r="J35">
            <v>1738991498</v>
          </cell>
          <cell r="K35">
            <v>1.1683509486547461</v>
          </cell>
          <cell r="O35">
            <v>2380225</v>
          </cell>
          <cell r="P35">
            <v>3043010000</v>
          </cell>
          <cell r="Q35">
            <v>2.174036329152</v>
          </cell>
          <cell r="AA35">
            <v>3659384</v>
          </cell>
          <cell r="AB35">
            <v>4782001498</v>
          </cell>
          <cell r="AC35">
            <v>3.342387277806746</v>
          </cell>
          <cell r="AD35">
            <v>109484141</v>
          </cell>
          <cell r="AE35">
            <v>5310.02</v>
          </cell>
          <cell r="AF35">
            <v>19431402.227680001</v>
          </cell>
        </row>
        <row r="36">
          <cell r="B36" t="str">
            <v>LA CEMENTO NACIONAL C.A. (ECUADOR)</v>
          </cell>
          <cell r="C36">
            <v>24105</v>
          </cell>
          <cell r="D36">
            <v>6437167036</v>
          </cell>
          <cell r="E36">
            <v>1.7583583111882066</v>
          </cell>
          <cell r="O36">
            <v>21186</v>
          </cell>
          <cell r="P36">
            <v>7878220000</v>
          </cell>
          <cell r="Q36">
            <v>1.545429544942267</v>
          </cell>
          <cell r="AA36">
            <v>45291</v>
          </cell>
          <cell r="AB36">
            <v>14315387036</v>
          </cell>
          <cell r="AC36">
            <v>3.3037878561304739</v>
          </cell>
          <cell r="AD36">
            <v>1370881</v>
          </cell>
          <cell r="AE36">
            <v>419112.09105994605</v>
          </cell>
          <cell r="AF36">
            <v>18982005.716196019</v>
          </cell>
        </row>
        <row r="37">
          <cell r="B37" t="str">
            <v>CONCRETOS DEL CAUCA LTDA</v>
          </cell>
          <cell r="C37">
            <v>105323</v>
          </cell>
          <cell r="D37">
            <v>724440000</v>
          </cell>
          <cell r="E37">
            <v>10.019034863003208</v>
          </cell>
          <cell r="O37">
            <v>915434</v>
          </cell>
          <cell r="P37">
            <v>11142810000</v>
          </cell>
          <cell r="Q37">
            <v>87.082262761015912</v>
          </cell>
          <cell r="AA37">
            <v>1020757</v>
          </cell>
          <cell r="AB37">
            <v>11867250000</v>
          </cell>
          <cell r="AC37">
            <v>97.101297624019125</v>
          </cell>
          <cell r="AD37">
            <v>1051229</v>
          </cell>
          <cell r="AE37">
            <v>16483.587257467581</v>
          </cell>
          <cell r="AF37">
            <v>16825737.078170836</v>
          </cell>
        </row>
        <row r="38">
          <cell r="B38" t="str">
            <v>CIA. DE CEMENTO ARGOS S.A.</v>
          </cell>
          <cell r="R38">
            <v>3244408</v>
          </cell>
          <cell r="S38">
            <v>1166591173</v>
          </cell>
          <cell r="T38">
            <v>1.9931782408086598</v>
          </cell>
          <cell r="AA38">
            <v>3244408</v>
          </cell>
          <cell r="AB38">
            <v>1166591173</v>
          </cell>
          <cell r="AC38">
            <v>1.9931782408086598</v>
          </cell>
          <cell r="AD38">
            <v>162775608</v>
          </cell>
          <cell r="AE38">
            <v>4802</v>
          </cell>
          <cell r="AF38">
            <v>15579647.216</v>
          </cell>
        </row>
        <row r="39">
          <cell r="B39" t="str">
            <v>CORP. FINANCIERA DEL VALLE S.A.</v>
          </cell>
          <cell r="O39">
            <v>1814087</v>
          </cell>
          <cell r="P39">
            <v>8623990000</v>
          </cell>
          <cell r="Q39">
            <v>2.9636519314936516</v>
          </cell>
          <cell r="AA39">
            <v>1814087</v>
          </cell>
          <cell r="AB39">
            <v>8623990000</v>
          </cell>
          <cell r="AC39">
            <v>2.9636519314936516</v>
          </cell>
          <cell r="AD39">
            <v>61211203</v>
          </cell>
          <cell r="AE39">
            <v>6680.3</v>
          </cell>
          <cell r="AF39">
            <v>12118645.3861</v>
          </cell>
        </row>
        <row r="40">
          <cell r="B40" t="str">
            <v>COMERCIALIZA. INT. DEL MAR CARIBE S.A.</v>
          </cell>
          <cell r="F40">
            <v>949750</v>
          </cell>
          <cell r="G40">
            <v>3192682230</v>
          </cell>
          <cell r="H40">
            <v>37.99</v>
          </cell>
          <cell r="R40">
            <v>949750</v>
          </cell>
          <cell r="S40">
            <v>3852758412</v>
          </cell>
          <cell r="T40">
            <v>37.99</v>
          </cell>
          <cell r="X40">
            <v>250000</v>
          </cell>
          <cell r="Z40">
            <v>10</v>
          </cell>
          <cell r="AA40">
            <v>2149500</v>
          </cell>
          <cell r="AB40">
            <v>7045440642</v>
          </cell>
          <cell r="AC40">
            <v>85.98</v>
          </cell>
          <cell r="AD40">
            <v>2500000</v>
          </cell>
          <cell r="AE40">
            <v>5311.32</v>
          </cell>
          <cell r="AF40">
            <v>11416682.34</v>
          </cell>
        </row>
        <row r="41">
          <cell r="B41" t="str">
            <v>CORFINSURA</v>
          </cell>
          <cell r="C41">
            <v>4108220</v>
          </cell>
          <cell r="D41">
            <v>7716777019</v>
          </cell>
          <cell r="E41">
            <v>3.1700388541225699</v>
          </cell>
          <cell r="F41">
            <v>1082537</v>
          </cell>
          <cell r="G41">
            <v>632377707</v>
          </cell>
          <cell r="H41">
            <v>0.83532146550702857</v>
          </cell>
          <cell r="I41">
            <v>2866396</v>
          </cell>
          <cell r="J41">
            <v>4465347340</v>
          </cell>
          <cell r="K41">
            <v>2.2118062546069877</v>
          </cell>
          <cell r="O41">
            <v>1276092</v>
          </cell>
          <cell r="P41">
            <v>1701420000</v>
          </cell>
          <cell r="Q41">
            <v>0.98467492525594513</v>
          </cell>
          <cell r="AA41">
            <v>9333245</v>
          </cell>
          <cell r="AB41">
            <v>14515922066</v>
          </cell>
          <cell r="AC41">
            <v>7.2018414994925308</v>
          </cell>
          <cell r="AD41">
            <v>129595257</v>
          </cell>
          <cell r="AE41">
            <v>1126.94</v>
          </cell>
          <cell r="AF41">
            <v>10518007.120300001</v>
          </cell>
        </row>
        <row r="42">
          <cell r="B42" t="str">
            <v>CÍA. DE INVERSIONES LA MERCED S.A.</v>
          </cell>
          <cell r="C42">
            <v>39620</v>
          </cell>
          <cell r="D42">
            <v>102016726</v>
          </cell>
          <cell r="E42">
            <v>33.016666666666666</v>
          </cell>
          <cell r="AA42">
            <v>39620</v>
          </cell>
          <cell r="AB42">
            <v>102016726</v>
          </cell>
          <cell r="AC42">
            <v>33.016666666666666</v>
          </cell>
          <cell r="AD42">
            <v>120000</v>
          </cell>
          <cell r="AE42">
            <v>252259.59</v>
          </cell>
          <cell r="AF42">
            <v>9994524.9557999987</v>
          </cell>
        </row>
        <row r="43">
          <cell r="B43" t="str">
            <v>ENKA DE COLOMBIA S.A.</v>
          </cell>
          <cell r="O43">
            <v>107921200</v>
          </cell>
          <cell r="P43">
            <v>1226170000</v>
          </cell>
          <cell r="Q43">
            <v>2.4589252160488333</v>
          </cell>
          <cell r="AA43">
            <v>107921200</v>
          </cell>
          <cell r="AB43">
            <v>1226170000</v>
          </cell>
          <cell r="AC43">
            <v>2.4589252160488333</v>
          </cell>
          <cell r="AD43">
            <v>4388958204</v>
          </cell>
          <cell r="AE43">
            <v>85.98</v>
          </cell>
          <cell r="AF43">
            <v>9279064.7760000005</v>
          </cell>
        </row>
        <row r="44">
          <cell r="B44" t="str">
            <v>CIA. COLOMBIANA DE TABACO S.A.</v>
          </cell>
          <cell r="C44">
            <v>1155559</v>
          </cell>
          <cell r="D44">
            <v>251329615</v>
          </cell>
          <cell r="E44">
            <v>1.8186324434355892</v>
          </cell>
          <cell r="L44">
            <v>184636</v>
          </cell>
          <cell r="M44">
            <v>592681560</v>
          </cell>
          <cell r="N44">
            <v>0.29058232407533791</v>
          </cell>
          <cell r="O44">
            <v>1786002</v>
          </cell>
          <cell r="P44">
            <v>3267150000</v>
          </cell>
          <cell r="Q44">
            <v>2.8108311053272477</v>
          </cell>
          <cell r="AA44">
            <v>3126197</v>
          </cell>
          <cell r="AB44">
            <v>4111161175</v>
          </cell>
          <cell r="AC44">
            <v>4.9200458728381751</v>
          </cell>
          <cell r="AD44">
            <v>63539997</v>
          </cell>
          <cell r="AE44">
            <v>2537.06</v>
          </cell>
          <cell r="AF44">
            <v>7931349.3608200001</v>
          </cell>
        </row>
        <row r="45">
          <cell r="B45" t="str">
            <v>CONCRETOS DE OCCIDENTE LTDA</v>
          </cell>
          <cell r="C45">
            <v>200550</v>
          </cell>
          <cell r="D45">
            <v>329897838</v>
          </cell>
          <cell r="E45">
            <v>10</v>
          </cell>
          <cell r="O45">
            <v>802200</v>
          </cell>
          <cell r="P45">
            <v>1423550000</v>
          </cell>
          <cell r="Q45">
            <v>40</v>
          </cell>
          <cell r="AA45">
            <v>1002750</v>
          </cell>
          <cell r="AB45">
            <v>1753447838</v>
          </cell>
          <cell r="AC45">
            <v>50</v>
          </cell>
          <cell r="AD45">
            <v>2005500</v>
          </cell>
          <cell r="AE45">
            <v>7714.918972824732</v>
          </cell>
          <cell r="AF45">
            <v>7736135</v>
          </cell>
        </row>
        <row r="46">
          <cell r="B46" t="str">
            <v>CANTERAS  y  DERIVADOS S.A.</v>
          </cell>
          <cell r="C46">
            <v>30000</v>
          </cell>
          <cell r="D46">
            <v>10760552443</v>
          </cell>
          <cell r="E46">
            <v>50</v>
          </cell>
          <cell r="AA46">
            <v>30000</v>
          </cell>
          <cell r="AB46">
            <v>10760552443</v>
          </cell>
          <cell r="AC46">
            <v>50</v>
          </cell>
          <cell r="AD46">
            <v>60000</v>
          </cell>
          <cell r="AE46">
            <v>213442.58</v>
          </cell>
          <cell r="AF46">
            <v>6403277.4000000004</v>
          </cell>
        </row>
        <row r="47">
          <cell r="B47" t="str">
            <v>PROMOTORA DE HOTELES  MEDELLÍN S.A.</v>
          </cell>
          <cell r="C47">
            <v>4219382</v>
          </cell>
          <cell r="D47">
            <v>556743886</v>
          </cell>
          <cell r="E47">
            <v>20.852246422278125</v>
          </cell>
          <cell r="AA47">
            <v>4219382</v>
          </cell>
          <cell r="AB47">
            <v>556743886</v>
          </cell>
          <cell r="AC47">
            <v>20.852246422278125</v>
          </cell>
          <cell r="AD47">
            <v>20234664</v>
          </cell>
          <cell r="AE47">
            <v>1504.67</v>
          </cell>
          <cell r="AF47">
            <v>6348777.5139400009</v>
          </cell>
        </row>
        <row r="48">
          <cell r="B48" t="str">
            <v xml:space="preserve">METROCONCRETO </v>
          </cell>
          <cell r="I48">
            <v>10257</v>
          </cell>
          <cell r="J48">
            <v>76207504</v>
          </cell>
          <cell r="K48">
            <v>0.54732986589697907</v>
          </cell>
          <cell r="L48">
            <v>129838</v>
          </cell>
          <cell r="M48">
            <v>27234743</v>
          </cell>
          <cell r="N48">
            <v>6.9283625941632021</v>
          </cell>
          <cell r="U48">
            <v>824938</v>
          </cell>
          <cell r="V48">
            <v>3991621711</v>
          </cell>
          <cell r="W48">
            <v>44.020006328685007</v>
          </cell>
          <cell r="AA48">
            <v>965033</v>
          </cell>
          <cell r="AB48">
            <v>4095063958</v>
          </cell>
          <cell r="AC48">
            <v>51.495698788745187</v>
          </cell>
          <cell r="AD48">
            <v>1874007</v>
          </cell>
          <cell r="AE48">
            <v>6392.786199288902</v>
          </cell>
          <cell r="AF48">
            <v>6169249.6442583669</v>
          </cell>
        </row>
        <row r="49">
          <cell r="B49" t="str">
            <v>HOTEL DE PEREIRA S.A.</v>
          </cell>
          <cell r="C49">
            <v>2266468</v>
          </cell>
          <cell r="D49">
            <v>1853807379</v>
          </cell>
          <cell r="E49">
            <v>31.708924610879901</v>
          </cell>
          <cell r="AA49">
            <v>2266468</v>
          </cell>
          <cell r="AB49">
            <v>1853807379</v>
          </cell>
          <cell r="AC49">
            <v>31.708924610879901</v>
          </cell>
          <cell r="AD49">
            <v>7147729</v>
          </cell>
          <cell r="AE49">
            <v>2444.9</v>
          </cell>
          <cell r="AF49">
            <v>5541287.6131999996</v>
          </cell>
        </row>
        <row r="50">
          <cell r="B50" t="str">
            <v>TEMPO LTDA</v>
          </cell>
          <cell r="L50">
            <v>200</v>
          </cell>
          <cell r="M50">
            <v>14671159</v>
          </cell>
          <cell r="N50">
            <v>20</v>
          </cell>
          <cell r="O50">
            <v>400</v>
          </cell>
          <cell r="P50">
            <v>1716470000</v>
          </cell>
          <cell r="Q50">
            <v>40</v>
          </cell>
          <cell r="AA50">
            <v>600</v>
          </cell>
          <cell r="AB50">
            <v>1731141159</v>
          </cell>
          <cell r="AC50">
            <v>60</v>
          </cell>
          <cell r="AD50">
            <v>1000</v>
          </cell>
          <cell r="AE50">
            <v>7584495</v>
          </cell>
          <cell r="AF50">
            <v>4550697</v>
          </cell>
        </row>
        <row r="51">
          <cell r="B51" t="str">
            <v>TLC  INTERNATIONAL  LDC</v>
          </cell>
          <cell r="C51">
            <v>1</v>
          </cell>
          <cell r="D51">
            <v>2853387050</v>
          </cell>
          <cell r="E51">
            <v>5</v>
          </cell>
          <cell r="AA51">
            <v>1</v>
          </cell>
          <cell r="AB51">
            <v>2853387050</v>
          </cell>
          <cell r="AC51">
            <v>5</v>
          </cell>
          <cell r="AD51">
            <v>20</v>
          </cell>
          <cell r="AE51">
            <v>4379872.1679999996</v>
          </cell>
          <cell r="AF51">
            <v>4379872.1679999996</v>
          </cell>
        </row>
        <row r="52">
          <cell r="B52" t="str">
            <v>C O L O M B A T E S</v>
          </cell>
          <cell r="C52">
            <v>2402</v>
          </cell>
          <cell r="D52">
            <v>16230042</v>
          </cell>
          <cell r="E52">
            <v>4.3987034629259982</v>
          </cell>
          <cell r="F52">
            <v>75</v>
          </cell>
          <cell r="G52">
            <v>602525</v>
          </cell>
          <cell r="H52">
            <v>0.13734502902558282</v>
          </cell>
          <cell r="I52">
            <v>24</v>
          </cell>
          <cell r="J52">
            <v>166043</v>
          </cell>
          <cell r="K52">
            <v>4.3950409288186498E-2</v>
          </cell>
          <cell r="L52">
            <v>246</v>
          </cell>
          <cell r="M52">
            <v>138990507</v>
          </cell>
          <cell r="N52">
            <v>0.45049169520391164</v>
          </cell>
          <cell r="O52">
            <v>3126</v>
          </cell>
          <cell r="P52">
            <v>25540000</v>
          </cell>
          <cell r="Q52">
            <v>5.7245408097862907</v>
          </cell>
          <cell r="X52">
            <v>32</v>
          </cell>
          <cell r="Z52">
            <v>5.8600545717581998E-2</v>
          </cell>
          <cell r="AA52">
            <v>5905</v>
          </cell>
          <cell r="AB52">
            <v>181529117</v>
          </cell>
          <cell r="AC52">
            <v>10.813631951947551</v>
          </cell>
          <cell r="AD52">
            <v>54607</v>
          </cell>
          <cell r="AE52">
            <v>695775.03</v>
          </cell>
          <cell r="AF52">
            <v>4108551.5521499999</v>
          </cell>
        </row>
        <row r="53">
          <cell r="B53" t="str">
            <v>COLOIDALES S.A.</v>
          </cell>
          <cell r="I53">
            <v>215928</v>
          </cell>
          <cell r="J53">
            <v>3371482590</v>
          </cell>
          <cell r="K53">
            <v>24.209997578192972</v>
          </cell>
          <cell r="L53">
            <v>18804</v>
          </cell>
          <cell r="M53">
            <v>226100000</v>
          </cell>
          <cell r="N53">
            <v>2.1083175616888066</v>
          </cell>
          <cell r="O53">
            <v>222258</v>
          </cell>
          <cell r="P53">
            <v>4309430000</v>
          </cell>
          <cell r="Q53">
            <v>24.919721581888471</v>
          </cell>
          <cell r="AA53">
            <v>456990</v>
          </cell>
          <cell r="AB53">
            <v>7907012590</v>
          </cell>
          <cell r="AC53">
            <v>51.23803672177025</v>
          </cell>
          <cell r="AD53">
            <v>891896</v>
          </cell>
          <cell r="AE53">
            <v>8488</v>
          </cell>
          <cell r="AF53">
            <v>3878931.12</v>
          </cell>
        </row>
        <row r="54">
          <cell r="B54" t="str">
            <v>INDUSTRIAS ALIMENTICIAS NOEL S.A.</v>
          </cell>
          <cell r="O54">
            <v>1004366</v>
          </cell>
          <cell r="P54">
            <v>2481850000</v>
          </cell>
          <cell r="Q54">
            <v>1.6833366322976595</v>
          </cell>
          <cell r="AA54">
            <v>1004366</v>
          </cell>
          <cell r="AB54">
            <v>2481850000</v>
          </cell>
          <cell r="AC54">
            <v>1.6833366322976595</v>
          </cell>
          <cell r="AD54">
            <v>59665190</v>
          </cell>
          <cell r="AE54">
            <v>3750</v>
          </cell>
          <cell r="AF54">
            <v>3766372.5</v>
          </cell>
        </row>
        <row r="55">
          <cell r="B55" t="str">
            <v xml:space="preserve">SETAS COLOMBIANAS S.A. </v>
          </cell>
          <cell r="C55">
            <v>41418101</v>
          </cell>
          <cell r="D55">
            <v>3747266152</v>
          </cell>
          <cell r="E55">
            <v>16.139607993499936</v>
          </cell>
          <cell r="O55">
            <v>4743825</v>
          </cell>
          <cell r="P55">
            <v>1520280000</v>
          </cell>
          <cell r="Q55">
            <v>1.8485510933918683</v>
          </cell>
          <cell r="AA55">
            <v>46161926</v>
          </cell>
          <cell r="AB55">
            <v>5267546152</v>
          </cell>
          <cell r="AC55">
            <v>17.988159086891805</v>
          </cell>
          <cell r="AD55">
            <v>256623959</v>
          </cell>
          <cell r="AE55">
            <v>75.209999999999994</v>
          </cell>
          <cell r="AF55">
            <v>3471838.4544599997</v>
          </cell>
        </row>
        <row r="56">
          <cell r="B56" t="str">
            <v>D I C E N T E  LTDA.</v>
          </cell>
          <cell r="I56">
            <v>400</v>
          </cell>
          <cell r="J56">
            <v>90111376</v>
          </cell>
          <cell r="K56">
            <v>40</v>
          </cell>
          <cell r="L56">
            <v>100</v>
          </cell>
          <cell r="M56">
            <v>22060178</v>
          </cell>
          <cell r="N56">
            <v>10</v>
          </cell>
          <cell r="O56">
            <v>400</v>
          </cell>
          <cell r="P56">
            <v>92920000</v>
          </cell>
          <cell r="Q56">
            <v>40</v>
          </cell>
          <cell r="AA56">
            <v>900</v>
          </cell>
          <cell r="AB56">
            <v>205091554</v>
          </cell>
          <cell r="AC56">
            <v>90</v>
          </cell>
          <cell r="AD56">
            <v>1000</v>
          </cell>
          <cell r="AE56">
            <v>3744716</v>
          </cell>
          <cell r="AF56">
            <v>3370244.4</v>
          </cell>
        </row>
        <row r="57">
          <cell r="B57" t="str">
            <v>OCCIDENTAL DE EMPAQUES  S.A.</v>
          </cell>
          <cell r="C57">
            <v>1075500</v>
          </cell>
          <cell r="D57">
            <v>134612672</v>
          </cell>
          <cell r="E57">
            <v>49.791666666666664</v>
          </cell>
          <cell r="I57">
            <v>2250</v>
          </cell>
          <cell r="J57">
            <v>2222598</v>
          </cell>
          <cell r="K57">
            <v>0.10416666666666667</v>
          </cell>
          <cell r="L57">
            <v>2250</v>
          </cell>
          <cell r="M57">
            <v>3019520</v>
          </cell>
          <cell r="N57">
            <v>0.10416666666666667</v>
          </cell>
          <cell r="AA57">
            <v>1080000</v>
          </cell>
          <cell r="AB57">
            <v>139854790</v>
          </cell>
          <cell r="AC57">
            <v>49.999999999999993</v>
          </cell>
          <cell r="AD57">
            <v>2160000</v>
          </cell>
          <cell r="AE57">
            <v>2820.56</v>
          </cell>
          <cell r="AF57">
            <v>3046204.8</v>
          </cell>
        </row>
        <row r="58">
          <cell r="B58" t="str">
            <v>PROYECTO ENERGÉTICO DEL CAUCA S.A..</v>
          </cell>
          <cell r="O58">
            <v>20776</v>
          </cell>
          <cell r="Q58">
            <v>2.0775999999999999</v>
          </cell>
          <cell r="AA58">
            <v>20776</v>
          </cell>
          <cell r="AB58">
            <v>0</v>
          </cell>
          <cell r="AC58">
            <v>2.0775999999999999</v>
          </cell>
          <cell r="AD58">
            <v>1000000</v>
          </cell>
          <cell r="AE58">
            <v>144397.3815941471</v>
          </cell>
          <cell r="AF58">
            <v>3000000</v>
          </cell>
        </row>
        <row r="59">
          <cell r="B59" t="str">
            <v>ETERNIT PACIFICO  S.A.</v>
          </cell>
          <cell r="C59">
            <v>806313</v>
          </cell>
          <cell r="D59">
            <v>1099479189</v>
          </cell>
          <cell r="E59">
            <v>15.976949020622671</v>
          </cell>
          <cell r="AA59">
            <v>806313</v>
          </cell>
          <cell r="AB59">
            <v>1099479189</v>
          </cell>
          <cell r="AC59">
            <v>15.976949020622671</v>
          </cell>
          <cell r="AD59">
            <v>5046727</v>
          </cell>
          <cell r="AE59">
            <v>3701.07</v>
          </cell>
          <cell r="AF59">
            <v>2984220.8549100002</v>
          </cell>
        </row>
        <row r="60">
          <cell r="B60" t="str">
            <v>REFORESTADORA EL GUASIMO</v>
          </cell>
          <cell r="C60">
            <v>21433751</v>
          </cell>
          <cell r="D60">
            <v>225279169</v>
          </cell>
          <cell r="E60">
            <v>7.5756098579926006</v>
          </cell>
          <cell r="K60">
            <v>0</v>
          </cell>
          <cell r="L60">
            <v>1761591</v>
          </cell>
          <cell r="M60">
            <v>4615047</v>
          </cell>
          <cell r="N60">
            <v>0.62262205739681498</v>
          </cell>
          <cell r="AA60">
            <v>23195342</v>
          </cell>
          <cell r="AB60">
            <v>229894216</v>
          </cell>
          <cell r="AC60">
            <v>8.1982319153894156</v>
          </cell>
          <cell r="AD60">
            <v>282931030</v>
          </cell>
          <cell r="AE60">
            <v>118.37</v>
          </cell>
          <cell r="AF60">
            <v>2745632.6325400001</v>
          </cell>
        </row>
        <row r="61">
          <cell r="B61" t="str">
            <v>REFORESTADORA DEL CARIBE S.A.</v>
          </cell>
          <cell r="F61">
            <v>217244</v>
          </cell>
          <cell r="G61">
            <v>211858747</v>
          </cell>
          <cell r="H61">
            <v>43.448799999999999</v>
          </cell>
          <cell r="R61">
            <v>148000</v>
          </cell>
          <cell r="S61">
            <v>191696345</v>
          </cell>
          <cell r="T61">
            <v>29.599999999999998</v>
          </cell>
          <cell r="X61">
            <v>72443</v>
          </cell>
          <cell r="Z61">
            <v>14.488599999999998</v>
          </cell>
          <cell r="AA61">
            <v>437687</v>
          </cell>
          <cell r="AB61">
            <v>403555092</v>
          </cell>
          <cell r="AC61">
            <v>87.537399999999991</v>
          </cell>
          <cell r="AD61">
            <v>500000</v>
          </cell>
          <cell r="AE61">
            <v>5921.1301531918025</v>
          </cell>
          <cell r="AF61">
            <v>2591601.6933600609</v>
          </cell>
        </row>
        <row r="62">
          <cell r="B62" t="str">
            <v>DISTRIBUÍDORA COL. DE CEMENTO S.A.</v>
          </cell>
          <cell r="F62">
            <v>133067</v>
          </cell>
          <cell r="G62">
            <v>2236821227</v>
          </cell>
          <cell r="H62">
            <v>66.533500000000004</v>
          </cell>
          <cell r="X62">
            <v>66733</v>
          </cell>
          <cell r="Z62">
            <v>33.366500000000002</v>
          </cell>
          <cell r="AA62">
            <v>199800</v>
          </cell>
          <cell r="AB62">
            <v>2236821227</v>
          </cell>
          <cell r="AC62">
            <v>99.9</v>
          </cell>
          <cell r="AD62">
            <v>200000</v>
          </cell>
          <cell r="AE62">
            <v>12505.14</v>
          </cell>
          <cell r="AF62">
            <v>2498526.9720000001</v>
          </cell>
        </row>
        <row r="63">
          <cell r="B63" t="str">
            <v>TRANSATLANTIC CEMENT CARRIER</v>
          </cell>
          <cell r="F63">
            <v>4800</v>
          </cell>
          <cell r="G63">
            <v>527369979</v>
          </cell>
          <cell r="H63">
            <v>48</v>
          </cell>
          <cell r="AA63">
            <v>4800</v>
          </cell>
          <cell r="AB63">
            <v>527369979</v>
          </cell>
          <cell r="AC63">
            <v>48</v>
          </cell>
          <cell r="AD63">
            <v>10000</v>
          </cell>
          <cell r="AE63">
            <v>501552.01583333331</v>
          </cell>
          <cell r="AF63">
            <v>2407449.676</v>
          </cell>
        </row>
        <row r="64">
          <cell r="B64" t="str">
            <v xml:space="preserve">VIAS EN HORMIGON S.A.   </v>
          </cell>
          <cell r="C64">
            <v>638000</v>
          </cell>
          <cell r="D64">
            <v>659145939</v>
          </cell>
          <cell r="E64">
            <v>28.999999999999996</v>
          </cell>
          <cell r="I64">
            <v>638000</v>
          </cell>
          <cell r="J64">
            <v>765633028</v>
          </cell>
          <cell r="K64">
            <v>28.999999999999996</v>
          </cell>
          <cell r="L64">
            <v>220000</v>
          </cell>
          <cell r="M64">
            <v>263104800</v>
          </cell>
          <cell r="N64">
            <v>10</v>
          </cell>
          <cell r="U64">
            <v>638000</v>
          </cell>
          <cell r="V64">
            <v>629601310</v>
          </cell>
          <cell r="W64">
            <v>28.999999999999996</v>
          </cell>
          <cell r="AA64">
            <v>2134000</v>
          </cell>
          <cell r="AB64">
            <v>2317485077</v>
          </cell>
          <cell r="AC64">
            <v>97</v>
          </cell>
          <cell r="AD64">
            <v>2200000</v>
          </cell>
          <cell r="AE64">
            <v>1013.91</v>
          </cell>
          <cell r="AF64">
            <v>2163683.94</v>
          </cell>
        </row>
        <row r="65">
          <cell r="B65" t="str">
            <v>D I S C E M E N T O</v>
          </cell>
          <cell r="F65">
            <v>32500</v>
          </cell>
          <cell r="G65">
            <v>343295773</v>
          </cell>
          <cell r="H65">
            <v>65</v>
          </cell>
          <cell r="L65">
            <v>20</v>
          </cell>
          <cell r="M65">
            <v>73358</v>
          </cell>
          <cell r="N65">
            <v>0.04</v>
          </cell>
          <cell r="X65">
            <v>15000</v>
          </cell>
          <cell r="Z65">
            <v>30</v>
          </cell>
          <cell r="AA65">
            <v>47520</v>
          </cell>
          <cell r="AB65">
            <v>343369131</v>
          </cell>
          <cell r="AC65">
            <v>95.04</v>
          </cell>
          <cell r="AD65">
            <v>50000</v>
          </cell>
          <cell r="AE65">
            <v>43725.7</v>
          </cell>
          <cell r="AF65">
            <v>2077845.2639999997</v>
          </cell>
        </row>
        <row r="66">
          <cell r="B66" t="str">
            <v>PROMOTORA NAL. DE ZONAS FRANCAS S.A.</v>
          </cell>
          <cell r="C66">
            <v>63940688</v>
          </cell>
          <cell r="D66">
            <v>923277448</v>
          </cell>
          <cell r="E66">
            <v>16.7686451487262</v>
          </cell>
          <cell r="O66" t="str">
            <v xml:space="preserve"> </v>
          </cell>
          <cell r="AA66">
            <v>63940688</v>
          </cell>
          <cell r="AB66">
            <v>923277448</v>
          </cell>
          <cell r="AC66">
            <v>16.7686451487262</v>
          </cell>
          <cell r="AD66">
            <v>381310997</v>
          </cell>
          <cell r="AE66">
            <v>26.54</v>
          </cell>
          <cell r="AF66">
            <v>1696985.8595199999</v>
          </cell>
        </row>
        <row r="67">
          <cell r="B67" t="str">
            <v>URBANIZADORA VILLA SANTOS LTDA</v>
          </cell>
          <cell r="F67">
            <v>9000</v>
          </cell>
          <cell r="G67">
            <v>781801221</v>
          </cell>
          <cell r="H67">
            <v>90</v>
          </cell>
          <cell r="AA67">
            <v>9000</v>
          </cell>
          <cell r="AB67">
            <v>781801221</v>
          </cell>
          <cell r="AC67">
            <v>90</v>
          </cell>
          <cell r="AD67">
            <v>10000</v>
          </cell>
          <cell r="AE67">
            <v>176113.63</v>
          </cell>
          <cell r="AF67">
            <v>1585022.67</v>
          </cell>
        </row>
        <row r="68">
          <cell r="B68" t="str">
            <v xml:space="preserve">C O N C R E N A L   </v>
          </cell>
          <cell r="D68">
            <v>0</v>
          </cell>
          <cell r="L68">
            <v>400000</v>
          </cell>
          <cell r="M68">
            <v>1076206578</v>
          </cell>
          <cell r="N68">
            <v>6.666666666666667</v>
          </cell>
          <cell r="O68">
            <v>800000</v>
          </cell>
          <cell r="P68">
            <v>1106300000</v>
          </cell>
          <cell r="Q68">
            <v>13.333333333333334</v>
          </cell>
          <cell r="U68">
            <v>600000</v>
          </cell>
          <cell r="V68">
            <v>50179509</v>
          </cell>
          <cell r="W68">
            <v>10</v>
          </cell>
          <cell r="AA68">
            <v>1800000</v>
          </cell>
          <cell r="AB68">
            <v>2232686087</v>
          </cell>
          <cell r="AC68">
            <v>30</v>
          </cell>
          <cell r="AD68">
            <v>6000000</v>
          </cell>
          <cell r="AE68">
            <v>878.47</v>
          </cell>
          <cell r="AF68">
            <v>1581246</v>
          </cell>
        </row>
        <row r="69">
          <cell r="B69" t="str">
            <v>ANTIOQUIA CELULAR  S.A. - ANCEL</v>
          </cell>
          <cell r="C69">
            <v>471212</v>
          </cell>
          <cell r="D69">
            <v>1376094451</v>
          </cell>
          <cell r="E69">
            <v>3.1306979976533653</v>
          </cell>
          <cell r="AA69">
            <v>471212</v>
          </cell>
          <cell r="AB69">
            <v>1376094451</v>
          </cell>
          <cell r="AC69">
            <v>3.1306979976533653</v>
          </cell>
          <cell r="AD69">
            <v>15051340</v>
          </cell>
          <cell r="AE69">
            <v>3175.11</v>
          </cell>
          <cell r="AF69">
            <v>1496149.9333200001</v>
          </cell>
        </row>
        <row r="70">
          <cell r="B70" t="str">
            <v>C E M C A R</v>
          </cell>
          <cell r="R70">
            <v>202335</v>
          </cell>
          <cell r="S70">
            <v>881425724</v>
          </cell>
          <cell r="T70">
            <v>90.826046361302133</v>
          </cell>
          <cell r="AA70">
            <v>202335</v>
          </cell>
          <cell r="AB70">
            <v>881425724</v>
          </cell>
          <cell r="AC70">
            <v>90.826046361302133</v>
          </cell>
          <cell r="AD70">
            <v>222772</v>
          </cell>
          <cell r="AE70">
            <v>6613.0649022660436</v>
          </cell>
          <cell r="AF70">
            <v>1338054.487</v>
          </cell>
        </row>
        <row r="71">
          <cell r="B71" t="str">
            <v>CANTERAS  DE COLOMBIA S.A.</v>
          </cell>
          <cell r="C71">
            <v>50000</v>
          </cell>
          <cell r="D71">
            <v>54549428</v>
          </cell>
          <cell r="E71">
            <v>50</v>
          </cell>
          <cell r="AA71">
            <v>50000</v>
          </cell>
          <cell r="AB71">
            <v>54549428</v>
          </cell>
          <cell r="AC71">
            <v>50</v>
          </cell>
          <cell r="AD71">
            <v>100000</v>
          </cell>
          <cell r="AE71">
            <v>24188.41</v>
          </cell>
          <cell r="AF71">
            <v>1209420.5</v>
          </cell>
        </row>
        <row r="72">
          <cell r="B72" t="str">
            <v>SUCROMILES S.A.</v>
          </cell>
          <cell r="O72">
            <v>8716</v>
          </cell>
          <cell r="P72">
            <v>55610000</v>
          </cell>
          <cell r="Q72">
            <v>1.3206060606060606</v>
          </cell>
          <cell r="AA72">
            <v>8716</v>
          </cell>
          <cell r="AB72">
            <v>55610000</v>
          </cell>
          <cell r="AC72">
            <v>1.3206060606060606</v>
          </cell>
          <cell r="AD72">
            <v>660000</v>
          </cell>
          <cell r="AE72">
            <v>131219.81</v>
          </cell>
          <cell r="AF72">
            <v>1143711.86396</v>
          </cell>
        </row>
        <row r="73">
          <cell r="B73" t="str">
            <v>TRANSMETANO</v>
          </cell>
          <cell r="C73">
            <v>31764859</v>
          </cell>
          <cell r="D73">
            <v>1347539600</v>
          </cell>
          <cell r="E73">
            <v>2.1665026312589646</v>
          </cell>
          <cell r="AA73">
            <v>31764859</v>
          </cell>
          <cell r="AB73">
            <v>1347539600</v>
          </cell>
          <cell r="AC73">
            <v>2.1665026312589646</v>
          </cell>
          <cell r="AD73">
            <v>1466181418</v>
          </cell>
          <cell r="AE73">
            <v>27.03</v>
          </cell>
          <cell r="AF73">
            <v>858604.13876999996</v>
          </cell>
        </row>
        <row r="74">
          <cell r="B74" t="str">
            <v>PROELECTRICA S.A.</v>
          </cell>
          <cell r="R74">
            <v>25008</v>
          </cell>
          <cell r="S74">
            <v>307151058</v>
          </cell>
          <cell r="T74">
            <v>13.770015197233661</v>
          </cell>
          <cell r="AA74">
            <v>25008</v>
          </cell>
          <cell r="AB74">
            <v>307151058</v>
          </cell>
          <cell r="AC74">
            <v>13.770015197233661</v>
          </cell>
          <cell r="AD74">
            <v>181612</v>
          </cell>
          <cell r="AE74">
            <v>32861.78</v>
          </cell>
          <cell r="AF74">
            <v>821807.39424000005</v>
          </cell>
        </row>
        <row r="75">
          <cell r="B75" t="str">
            <v>SOCIEDAD REGIONAL DE BUENAVENTURA</v>
          </cell>
          <cell r="I75">
            <v>34715</v>
          </cell>
          <cell r="J75">
            <v>26364319</v>
          </cell>
          <cell r="K75">
            <v>0.19800252158763632</v>
          </cell>
          <cell r="L75">
            <v>59002</v>
          </cell>
          <cell r="M75">
            <v>137360463</v>
          </cell>
          <cell r="N75">
            <v>0.33652728730271403</v>
          </cell>
          <cell r="O75">
            <v>176321</v>
          </cell>
          <cell r="P75">
            <v>81547000</v>
          </cell>
          <cell r="Q75">
            <v>1.0056748555049293</v>
          </cell>
          <cell r="AA75">
            <v>270038</v>
          </cell>
          <cell r="AB75">
            <v>245271782</v>
          </cell>
          <cell r="AC75">
            <v>1.5402046643952796</v>
          </cell>
          <cell r="AD75">
            <v>17532605</v>
          </cell>
          <cell r="AE75">
            <v>3020.01</v>
          </cell>
          <cell r="AF75">
            <v>815517.46038000006</v>
          </cell>
        </row>
        <row r="76">
          <cell r="B76" t="str">
            <v>PIEDRAS Y DERIVADOS</v>
          </cell>
          <cell r="C76">
            <v>99868</v>
          </cell>
          <cell r="D76">
            <v>771858924</v>
          </cell>
          <cell r="E76">
            <v>76.947021296267764</v>
          </cell>
          <cell r="L76">
            <v>650</v>
          </cell>
          <cell r="N76">
            <v>0.50081671649150916</v>
          </cell>
          <cell r="U76">
            <v>1663</v>
          </cell>
          <cell r="V76">
            <v>564483</v>
          </cell>
          <cell r="W76">
            <v>1.2813203069621228</v>
          </cell>
          <cell r="AA76">
            <v>102181</v>
          </cell>
          <cell r="AB76">
            <v>772423407</v>
          </cell>
          <cell r="AC76">
            <v>78.729158319721407</v>
          </cell>
          <cell r="AD76">
            <v>129788</v>
          </cell>
          <cell r="AE76">
            <v>6733.75</v>
          </cell>
          <cell r="AF76">
            <v>688061.30874999997</v>
          </cell>
        </row>
        <row r="77">
          <cell r="B77" t="str">
            <v xml:space="preserve">TABLEROS Y MADERAS DE CALDAS S.A. </v>
          </cell>
          <cell r="C77">
            <v>81866333</v>
          </cell>
          <cell r="D77">
            <v>1769370098</v>
          </cell>
          <cell r="E77">
            <v>5.3180679208482795</v>
          </cell>
          <cell r="L77">
            <v>29462347</v>
          </cell>
          <cell r="M77">
            <v>834366909</v>
          </cell>
          <cell r="N77">
            <v>1.9138851920190505</v>
          </cell>
          <cell r="AA77">
            <v>111328680</v>
          </cell>
          <cell r="AB77">
            <v>2603737007</v>
          </cell>
          <cell r="AC77">
            <v>7.2319531128673304</v>
          </cell>
          <cell r="AD77">
            <v>1539399914</v>
          </cell>
          <cell r="AE77">
            <v>6.01</v>
          </cell>
          <cell r="AF77">
            <v>669085.36679999996</v>
          </cell>
        </row>
        <row r="78">
          <cell r="B78" t="str">
            <v>CORP. FINANCIERA COLOMBIANA  S.A.</v>
          </cell>
          <cell r="F78">
            <v>1176367</v>
          </cell>
          <cell r="G78">
            <v>363598916</v>
          </cell>
          <cell r="H78">
            <v>0.6031173737272939</v>
          </cell>
          <cell r="AA78">
            <v>1176367</v>
          </cell>
          <cell r="AB78">
            <v>363598916</v>
          </cell>
          <cell r="AC78">
            <v>0.6031173737272939</v>
          </cell>
          <cell r="AD78">
            <v>195047772</v>
          </cell>
          <cell r="AE78">
            <v>514.0199997109745</v>
          </cell>
          <cell r="AF78">
            <v>604676.16500000004</v>
          </cell>
        </row>
        <row r="79">
          <cell r="B79" t="str">
            <v>PREDIOS DEL SUR</v>
          </cell>
          <cell r="C79">
            <v>401065661</v>
          </cell>
          <cell r="D79">
            <v>484335980</v>
          </cell>
          <cell r="E79">
            <v>5.2186049218975628</v>
          </cell>
          <cell r="AA79">
            <v>401065661</v>
          </cell>
          <cell r="AB79">
            <v>484335980</v>
          </cell>
          <cell r="AC79">
            <v>5.2186049218975628</v>
          </cell>
          <cell r="AD79">
            <v>7685304157</v>
          </cell>
          <cell r="AE79">
            <v>1.43</v>
          </cell>
          <cell r="AF79">
            <v>573523.89523000002</v>
          </cell>
        </row>
        <row r="80">
          <cell r="B80" t="str">
            <v>MERILECTRICA, 1 S.A. &amp; CIA, SCA, ESP.</v>
          </cell>
          <cell r="C80">
            <v>419919</v>
          </cell>
          <cell r="D80">
            <v>277681050</v>
          </cell>
          <cell r="E80">
            <v>4.950027495634</v>
          </cell>
          <cell r="AA80">
            <v>419919</v>
          </cell>
          <cell r="AB80">
            <v>277681050</v>
          </cell>
          <cell r="AC80">
            <v>4.950027495634</v>
          </cell>
          <cell r="AD80">
            <v>8483165</v>
          </cell>
          <cell r="AE80">
            <v>1336.79</v>
          </cell>
          <cell r="AF80">
            <v>561343.52000999998</v>
          </cell>
        </row>
        <row r="81">
          <cell r="B81" t="str">
            <v>CARBONES NECHI  LTDA.</v>
          </cell>
          <cell r="O81">
            <v>29900</v>
          </cell>
          <cell r="P81">
            <v>455990000</v>
          </cell>
          <cell r="Q81">
            <v>46</v>
          </cell>
          <cell r="AA81">
            <v>29900</v>
          </cell>
          <cell r="AB81">
            <v>455990000</v>
          </cell>
          <cell r="AC81">
            <v>46</v>
          </cell>
          <cell r="AD81">
            <v>65000</v>
          </cell>
          <cell r="AE81">
            <v>18755.886287625421</v>
          </cell>
          <cell r="AF81">
            <v>560801.00000000012</v>
          </cell>
        </row>
        <row r="82">
          <cell r="B82" t="str">
            <v xml:space="preserve">S U I N M O B I  L I A R I A </v>
          </cell>
          <cell r="C82">
            <v>5003884</v>
          </cell>
          <cell r="D82">
            <v>2904114036</v>
          </cell>
          <cell r="E82">
            <v>17.705633550844514</v>
          </cell>
          <cell r="AA82">
            <v>5003884</v>
          </cell>
          <cell r="AB82">
            <v>2904114036</v>
          </cell>
          <cell r="AC82">
            <v>17.705633550844514</v>
          </cell>
          <cell r="AD82">
            <v>28261536</v>
          </cell>
          <cell r="AE82">
            <v>102.26</v>
          </cell>
          <cell r="AF82">
            <v>511697.17784000002</v>
          </cell>
        </row>
        <row r="83">
          <cell r="B83" t="str">
            <v>FLOTA FLUVIAL CARBONERA LTDA</v>
          </cell>
          <cell r="F83">
            <v>247745</v>
          </cell>
          <cell r="G83">
            <v>442097095</v>
          </cell>
          <cell r="H83">
            <v>41.290833333333332</v>
          </cell>
          <cell r="X83">
            <v>4510</v>
          </cell>
          <cell r="Z83">
            <v>0.75166666666666659</v>
          </cell>
          <cell r="AA83">
            <v>252255</v>
          </cell>
          <cell r="AB83">
            <v>442097095</v>
          </cell>
          <cell r="AC83">
            <v>42.042499999999997</v>
          </cell>
          <cell r="AD83">
            <v>600000</v>
          </cell>
          <cell r="AE83">
            <v>1886.1599991927183</v>
          </cell>
          <cell r="AF83">
            <v>475793.29059635912</v>
          </cell>
        </row>
        <row r="84">
          <cell r="B84" t="str">
            <v>PROCARBON DE OCCIDENTE</v>
          </cell>
          <cell r="O84">
            <v>1139924</v>
          </cell>
          <cell r="P84">
            <v>397410000</v>
          </cell>
          <cell r="Q84">
            <v>19.405703273824219</v>
          </cell>
          <cell r="AA84">
            <v>1139924</v>
          </cell>
          <cell r="AB84">
            <v>397410000</v>
          </cell>
          <cell r="AC84">
            <v>19.405703273824219</v>
          </cell>
          <cell r="AD84">
            <v>5874170</v>
          </cell>
          <cell r="AE84">
            <v>414.68</v>
          </cell>
          <cell r="AF84">
            <v>472703.68432</v>
          </cell>
        </row>
        <row r="85">
          <cell r="B85" t="str">
            <v>SOC. COL. DE TRANSP. FERROVIARIO  S.A.</v>
          </cell>
          <cell r="C85">
            <v>3330709</v>
          </cell>
          <cell r="D85">
            <v>440453773</v>
          </cell>
          <cell r="E85">
            <v>2.5795680192887689</v>
          </cell>
          <cell r="F85">
            <v>2715000</v>
          </cell>
          <cell r="G85">
            <v>403905064</v>
          </cell>
          <cell r="H85">
            <v>2.1027136181422659</v>
          </cell>
          <cell r="K85">
            <v>0</v>
          </cell>
          <cell r="AA85">
            <v>6045709</v>
          </cell>
          <cell r="AB85">
            <v>844358837</v>
          </cell>
          <cell r="AC85">
            <v>4.6822816374310348</v>
          </cell>
          <cell r="AD85">
            <v>129118867</v>
          </cell>
          <cell r="AE85">
            <v>76.09</v>
          </cell>
          <cell r="AF85">
            <v>460017.99781000003</v>
          </cell>
        </row>
        <row r="86">
          <cell r="B86" t="str">
            <v>SOC. AGREGADOS CALCAREOS  LTDA</v>
          </cell>
          <cell r="L86">
            <v>4000</v>
          </cell>
          <cell r="M86">
            <v>9660094</v>
          </cell>
          <cell r="N86">
            <v>10</v>
          </cell>
          <cell r="O86">
            <v>16400</v>
          </cell>
          <cell r="P86">
            <v>54660000</v>
          </cell>
          <cell r="Q86">
            <v>41</v>
          </cell>
          <cell r="AA86">
            <v>20400</v>
          </cell>
          <cell r="AB86">
            <v>64320094</v>
          </cell>
          <cell r="AC86">
            <v>51</v>
          </cell>
          <cell r="AD86">
            <v>40000</v>
          </cell>
          <cell r="AE86">
            <v>21230.914634146342</v>
          </cell>
          <cell r="AF86">
            <v>433110.6585365854</v>
          </cell>
        </row>
        <row r="87">
          <cell r="B87" t="str">
            <v>CORPORACIÓN FINANCIERA DEL NORTE  S.A.</v>
          </cell>
          <cell r="F87">
            <v>3126483</v>
          </cell>
          <cell r="G87">
            <v>205850865</v>
          </cell>
          <cell r="H87">
            <v>2.5</v>
          </cell>
          <cell r="R87">
            <v>354540</v>
          </cell>
          <cell r="S87">
            <v>32102701</v>
          </cell>
          <cell r="T87">
            <v>0.28349746344374815</v>
          </cell>
          <cell r="AA87">
            <v>3481023</v>
          </cell>
          <cell r="AB87">
            <v>237953566</v>
          </cell>
          <cell r="AC87">
            <v>2.7834974634437479</v>
          </cell>
          <cell r="AD87">
            <v>125059320</v>
          </cell>
          <cell r="AE87">
            <v>116.58303563460925</v>
          </cell>
          <cell r="AF87">
            <v>405828.22845389438</v>
          </cell>
        </row>
        <row r="88">
          <cell r="B88" t="str">
            <v>ETERNIT ATLANTICO S.A.</v>
          </cell>
          <cell r="C88">
            <v>86753</v>
          </cell>
          <cell r="D88">
            <v>8684294</v>
          </cell>
          <cell r="E88">
            <v>1.4394862564098478</v>
          </cell>
          <cell r="AA88">
            <v>86753</v>
          </cell>
          <cell r="AB88">
            <v>8684294</v>
          </cell>
          <cell r="AC88">
            <v>1.4394862564098478</v>
          </cell>
          <cell r="AD88">
            <v>6026664</v>
          </cell>
          <cell r="AE88">
            <v>4331.63</v>
          </cell>
          <cell r="AF88">
            <v>375781.89739</v>
          </cell>
        </row>
        <row r="89">
          <cell r="B89" t="str">
            <v>OTRAS INVERSIONES</v>
          </cell>
          <cell r="AF89">
            <v>3797976.3994258554</v>
          </cell>
        </row>
        <row r="90">
          <cell r="B90" t="str">
            <v>SUBTOTAL</v>
          </cell>
          <cell r="AF90">
            <v>1046250103.3587524</v>
          </cell>
        </row>
        <row r="91">
          <cell r="B91" t="str">
            <v>T O T A L</v>
          </cell>
          <cell r="AF91">
            <v>2572809243.9527526</v>
          </cell>
        </row>
        <row r="92">
          <cell r="B92" t="str">
            <v>(*) VALORIZADAS A VALOR INTRINSECO, SEGÚN CIRCULAR EXTERNA No. 001 DE 1996 DE LA SUPERINTENDENCIA DE VALORES.</v>
          </cell>
        </row>
        <row r="100">
          <cell r="B100" t="str">
            <v>ALMACENES ÉXITO</v>
          </cell>
          <cell r="D100">
            <v>0</v>
          </cell>
          <cell r="O100">
            <v>76975</v>
          </cell>
          <cell r="P100">
            <v>0</v>
          </cell>
          <cell r="Q100">
            <v>4.0451435178820383E-2</v>
          </cell>
          <cell r="AA100">
            <v>76975</v>
          </cell>
          <cell r="AB100">
            <v>0</v>
          </cell>
          <cell r="AC100">
            <v>4.0451435178820383E-2</v>
          </cell>
          <cell r="AD100">
            <v>190289911</v>
          </cell>
          <cell r="AE100">
            <v>4500</v>
          </cell>
          <cell r="AF100">
            <v>346387.5</v>
          </cell>
        </row>
        <row r="101">
          <cell r="B101" t="str">
            <v>INGENIO LA CABAÑA</v>
          </cell>
          <cell r="O101">
            <v>16204</v>
          </cell>
          <cell r="P101">
            <v>1000000000</v>
          </cell>
          <cell r="Q101">
            <v>0.13999999999999999</v>
          </cell>
          <cell r="AA101">
            <v>16204</v>
          </cell>
          <cell r="AB101">
            <v>1000000000</v>
          </cell>
          <cell r="AC101">
            <v>0.13999999999999999</v>
          </cell>
          <cell r="AD101">
            <v>11574285.714285715</v>
          </cell>
          <cell r="AE101">
            <v>15527.59</v>
          </cell>
          <cell r="AF101">
            <v>251609.06836</v>
          </cell>
        </row>
        <row r="102">
          <cell r="B102" t="str">
            <v>ACERIAS PAZ DEL RIO S.A.</v>
          </cell>
          <cell r="O102">
            <v>9006666</v>
          </cell>
          <cell r="P102">
            <v>219780000</v>
          </cell>
          <cell r="Q102">
            <v>9.4555037793220276E-2</v>
          </cell>
          <cell r="AA102">
            <v>9006666</v>
          </cell>
          <cell r="AB102">
            <v>219780000</v>
          </cell>
          <cell r="AC102">
            <v>9.4555037793220276E-2</v>
          </cell>
          <cell r="AD102">
            <v>9525315848</v>
          </cell>
          <cell r="AE102">
            <v>22.31</v>
          </cell>
          <cell r="AF102">
            <v>200938.71845999997</v>
          </cell>
        </row>
        <row r="103">
          <cell r="B103" t="str">
            <v>PROMOTORA PROY. DEL SUROCCIDENTE S.A.</v>
          </cell>
          <cell r="C103">
            <v>191000</v>
          </cell>
          <cell r="D103">
            <v>274705370</v>
          </cell>
          <cell r="E103">
            <v>20</v>
          </cell>
          <cell r="O103">
            <v>382000</v>
          </cell>
          <cell r="P103">
            <v>706810000</v>
          </cell>
          <cell r="Q103">
            <v>40</v>
          </cell>
          <cell r="AA103">
            <v>573000</v>
          </cell>
          <cell r="AB103">
            <v>981515370</v>
          </cell>
          <cell r="AC103">
            <v>60</v>
          </cell>
          <cell r="AD103">
            <v>955000</v>
          </cell>
          <cell r="AE103">
            <v>342.98</v>
          </cell>
          <cell r="AF103">
            <v>196527.54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GOTA"/>
      <sheetName val="resumen-mes"/>
      <sheetName val="resumen"/>
      <sheetName val="INVERGPO"/>
      <sheetName val="EMPAQUE"/>
      <sheetName val="Datos"/>
      <sheetName val="Detalle Viaje"/>
      <sheetName val="ResumenViaje"/>
      <sheetName val="VISA"/>
      <sheetName val="AMEX"/>
      <sheetName val="CtaAhorros"/>
      <sheetName val="CtaAhoEDA"/>
      <sheetName val="VisaNew"/>
      <sheetName val="Listas"/>
      <sheetName val="Sheet1"/>
      <sheetName val="Hoja de 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XREF"/>
      <sheetName val="PPC1"/>
      <sheetName val="PPC2"/>
      <sheetName val="PPC3"/>
      <sheetName val="PPC4"/>
      <sheetName val="ENVIOCALI"/>
      <sheetName val="T. DINAMICA"/>
    </sheetNames>
    <sheetDataSet>
      <sheetData sheetId="0">
        <row r="1">
          <cell r="D1" t="str">
            <v>(Cifras expresadas en miles de pesos)</v>
          </cell>
        </row>
      </sheetData>
      <sheetData sheetId="1">
        <row r="1">
          <cell r="A1" t="str">
            <v>(reserved)</v>
          </cell>
        </row>
      </sheetData>
      <sheetData sheetId="2">
        <row r="5">
          <cell r="B5" t="str">
            <v>De acuerdo al kardex obtenido del módulo de activos fijos el saldo al 31 de diciembre de 2006,se encuentra adecuado. Ver PPC1.</v>
          </cell>
        </row>
      </sheetData>
      <sheetData sheetId="3">
        <row r="2">
          <cell r="A2">
            <v>40966031</v>
          </cell>
        </row>
      </sheetData>
      <sheetData sheetId="4">
        <row r="27980">
          <cell r="D27980" t="str">
            <v>Para efectos de cruce</v>
          </cell>
        </row>
      </sheetData>
      <sheetData sheetId="5">
        <row r="7">
          <cell r="F7" t="str">
            <v>N/S</v>
          </cell>
        </row>
      </sheetData>
      <sheetData sheetId="6"/>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ones"/>
      <sheetName val="Cronograma"/>
      <sheetName val="Entidad"/>
      <sheetName val="ESF"/>
      <sheetName val="ECP"/>
      <sheetName val="EFE"/>
      <sheetName val="Nota 6 Efectivo"/>
      <sheetName val="Nota 7.1 Acuerdos Préstamos"/>
      <sheetName val="Nota 7.2 Clasificación Act. Fro"/>
      <sheetName val="Nota 7.3 Valor razonable Fros"/>
      <sheetName val="Nota 8 Inventario"/>
      <sheetName val="Nota 9 ANCMV"/>
      <sheetName val="Nota 10 Intangibles"/>
      <sheetName val="Nota 11 PPE Mod. Revaluación"/>
      <sheetName val="Nota 12 Propiedades de Inv."/>
      <sheetName val="Nota 13 Inv Asoc Nc"/>
      <sheetName val="Nota 14 Subsidiarias"/>
      <sheetName val="Nota 15 Deterioro Activos"/>
      <sheetName val="Nota 16 Provisiones"/>
      <sheetName val="Nota 17 Deuda o Capital"/>
      <sheetName val="Nota 18 Capital Social"/>
      <sheetName val="Nota 19.1 Reservas y ORI"/>
      <sheetName val="Nota 19.2 ORI"/>
      <sheetName val="Nota 20 Otros Comp"/>
      <sheetName val="Nota 21 Dividendos"/>
      <sheetName val="Nota 23 Ing. Act. Ordinarias"/>
      <sheetName val="Nota 24 Costo Act."/>
      <sheetName val="Nota 29 Ganancias por Acción"/>
      <sheetName val="Nota 30 Segmentos"/>
      <sheetName val="Nota 31 Partes relacionadas"/>
      <sheetName val="Nota 32 Comb Neg"/>
      <sheetName val="Nota 33 Activos Pasivos Contig."/>
      <sheetName val="Nota 34 Hechos post"/>
    </sheetNames>
    <sheetDataSet>
      <sheetData sheetId="0" refreshError="1"/>
      <sheetData sheetId="1" refreshError="1"/>
      <sheetData sheetId="2" refreshError="1"/>
      <sheetData sheetId="3">
        <row r="9">
          <cell r="C9" t="str">
            <v>30 de septiembre de 2018</v>
          </cell>
        </row>
        <row r="10">
          <cell r="C10" t="str">
            <v>30 de septiembre de 2017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MFormattingSheet"/>
      <sheetName val="ERI"/>
      <sheetName val="Listas"/>
    </sheetNames>
    <sheetDataSet>
      <sheetData sheetId="0"/>
      <sheetData sheetId="1">
        <row r="2">
          <cell r="A2" t="str">
            <v>Natural</v>
          </cell>
        </row>
        <row r="3">
          <cell r="A3" t="str">
            <v>Miles</v>
          </cell>
        </row>
        <row r="4">
          <cell r="A4" t="str">
            <v>Millones</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MFormattingSheet"/>
      <sheetName val="Consolidado"/>
      <sheetName val="Todas las compañias"/>
    </sheetNames>
    <sheetDataSet>
      <sheetData sheetId="0"/>
      <sheetData sheetId="1">
        <row r="2">
          <cell r="A2" t="str">
            <v>Natural</v>
          </cell>
        </row>
        <row r="3">
          <cell r="A3" t="str">
            <v>Miles</v>
          </cell>
        </row>
        <row r="4">
          <cell r="A4" t="str">
            <v>Millones</v>
          </cell>
        </row>
      </sheetData>
      <sheetData sheetId="2">
        <row r="2">
          <cell r="A2" t="str">
            <v>Natural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6" Type="http://schemas.openxmlformats.org/officeDocument/2006/relationships/image" Target="../media/image2.emf"/><Relationship Id="rId5" Type="http://schemas.openxmlformats.org/officeDocument/2006/relationships/control" Target="../activeX/activeX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6">
    <pageSetUpPr fitToPage="1"/>
  </sheetPr>
  <dimension ref="A1:AX112"/>
  <sheetViews>
    <sheetView showGridLines="0" zoomScaleNormal="100" workbookViewId="0">
      <pane xSplit="2" ySplit="9" topLeftCell="AS10" activePane="bottomRight" state="frozen"/>
      <selection activeCell="D38" sqref="D38"/>
      <selection pane="topRight" activeCell="D38" sqref="D38"/>
      <selection pane="bottomLeft" activeCell="D38" sqref="D38"/>
      <selection pane="bottomRight" activeCell="AW5" sqref="AW5"/>
    </sheetView>
  </sheetViews>
  <sheetFormatPr baseColWidth="10" defaultColWidth="13" defaultRowHeight="12.5"/>
  <cols>
    <col min="1" max="1" width="13" style="24" hidden="1" customWidth="1"/>
    <col min="2" max="2" width="60.81640625" style="20" bestFit="1" customWidth="1"/>
    <col min="3" max="3" width="11.81640625" style="171" bestFit="1" customWidth="1"/>
    <col min="4" max="4" width="1.54296875" style="171" customWidth="1"/>
    <col min="5" max="8" width="11.81640625" style="36" bestFit="1" customWidth="1"/>
    <col min="9" max="9" width="1.54296875" style="20" customWidth="1"/>
    <col min="10" max="10" width="11.81640625" style="37" bestFit="1" customWidth="1"/>
    <col min="11" max="11" width="11.81640625" style="20" bestFit="1" customWidth="1"/>
    <col min="12" max="12" width="11.81640625" style="24" bestFit="1" customWidth="1"/>
    <col min="13" max="13" width="11.81640625" style="204" bestFit="1" customWidth="1"/>
    <col min="14" max="14" width="14.453125" style="199" bestFit="1" customWidth="1"/>
    <col min="15" max="15" width="1.54296875" style="24" customWidth="1"/>
    <col min="16" max="16" width="11.81640625" style="176" bestFit="1" customWidth="1"/>
    <col min="17" max="17" width="14.7265625" style="214" customWidth="1"/>
    <col min="18" max="18" width="11.81640625" style="184" bestFit="1" customWidth="1"/>
    <col min="19" max="19" width="14.1796875" style="262" bestFit="1" customWidth="1"/>
    <col min="20" max="20" width="11.81640625" style="195" bestFit="1" customWidth="1"/>
    <col min="21" max="21" width="14.1796875" style="269" customWidth="1"/>
    <col min="22" max="22" width="13" style="24"/>
    <col min="23" max="23" width="1.54296875" style="24" customWidth="1"/>
    <col min="24" max="27" width="13" style="24"/>
    <col min="28" max="28" width="1.54296875" style="14" customWidth="1"/>
    <col min="29" max="29" width="13" style="24"/>
    <col min="30" max="30" width="13" style="284"/>
    <col min="31" max="31" width="13" style="24"/>
    <col min="32" max="32" width="13" style="286"/>
    <col min="33" max="33" width="13" style="295"/>
    <col min="34" max="34" width="1.54296875" style="289" customWidth="1"/>
    <col min="35" max="35" width="13" style="291"/>
    <col min="36" max="38" width="13" style="295"/>
    <col min="39" max="39" width="1.54296875" style="295" customWidth="1"/>
    <col min="40" max="42" width="13" style="295"/>
    <col min="43" max="43" width="13" style="24"/>
    <col min="44" max="44" width="1.54296875" style="295" customWidth="1"/>
    <col min="45" max="48" width="13" style="24"/>
    <col min="49" max="49" width="1.54296875" style="295" customWidth="1"/>
    <col min="50" max="16384" width="13" style="24"/>
  </cols>
  <sheetData>
    <row r="1" spans="2:50" ht="22.5">
      <c r="B1" s="406" t="s">
        <v>0</v>
      </c>
      <c r="C1" s="415"/>
      <c r="D1" s="415"/>
      <c r="E1" s="415"/>
      <c r="F1" s="415"/>
      <c r="G1" s="415"/>
      <c r="H1" s="415"/>
      <c r="I1" s="415"/>
      <c r="J1" s="415"/>
      <c r="K1" s="415"/>
      <c r="L1" s="415"/>
      <c r="M1" s="202"/>
      <c r="N1" s="209"/>
    </row>
    <row r="2" spans="2:50" ht="19">
      <c r="B2" s="408" t="s">
        <v>308</v>
      </c>
      <c r="C2" s="415"/>
      <c r="D2" s="415"/>
      <c r="E2" s="415"/>
      <c r="F2" s="415"/>
      <c r="G2" s="415"/>
      <c r="H2" s="415"/>
      <c r="I2" s="415"/>
      <c r="J2" s="415"/>
      <c r="K2" s="415"/>
      <c r="L2" s="415"/>
      <c r="M2" s="202"/>
      <c r="N2" s="209"/>
    </row>
    <row r="3" spans="2:50" ht="13.5">
      <c r="B3" s="405" t="s">
        <v>1</v>
      </c>
      <c r="C3" s="414"/>
      <c r="D3" s="414"/>
      <c r="E3" s="414"/>
      <c r="F3" s="414"/>
      <c r="G3" s="414"/>
      <c r="H3" s="414"/>
      <c r="I3" s="414"/>
      <c r="J3" s="414"/>
      <c r="K3" s="414"/>
      <c r="L3" s="414"/>
      <c r="M3" s="203"/>
      <c r="N3" s="174"/>
      <c r="AS3" s="452"/>
    </row>
    <row r="4" spans="2:50" ht="12.75" customHeight="1">
      <c r="B4" s="35"/>
      <c r="C4" s="172"/>
      <c r="D4" s="172"/>
      <c r="E4" s="35"/>
      <c r="F4" s="35"/>
      <c r="G4" s="125"/>
      <c r="H4" s="161"/>
      <c r="I4" s="35"/>
      <c r="J4" s="35"/>
      <c r="K4" s="35"/>
      <c r="N4" s="14"/>
      <c r="AQ4" s="294"/>
      <c r="AS4" s="294"/>
      <c r="AU4" s="294"/>
      <c r="AV4" s="294"/>
    </row>
    <row r="5" spans="2:50">
      <c r="N5" s="14"/>
      <c r="U5" s="14"/>
      <c r="V5" s="14"/>
      <c r="Z5" s="14"/>
      <c r="AF5" s="289"/>
    </row>
    <row r="6" spans="2:50" ht="21.75" customHeight="1">
      <c r="C6" s="173">
        <v>2013</v>
      </c>
      <c r="E6" s="424" t="s">
        <v>101</v>
      </c>
      <c r="F6" s="425"/>
      <c r="G6" s="425"/>
      <c r="H6" s="425"/>
      <c r="J6" s="424" t="s">
        <v>102</v>
      </c>
      <c r="K6" s="425"/>
      <c r="L6" s="425"/>
      <c r="M6" s="425"/>
      <c r="N6" s="425"/>
      <c r="P6" s="423" t="s">
        <v>179</v>
      </c>
      <c r="Q6" s="423"/>
      <c r="R6" s="423"/>
      <c r="S6" s="423"/>
      <c r="T6" s="423"/>
      <c r="U6" s="423"/>
      <c r="V6" s="423"/>
      <c r="X6" s="422" t="s">
        <v>196</v>
      </c>
      <c r="Y6" s="423"/>
      <c r="Z6" s="423"/>
      <c r="AA6" s="423"/>
      <c r="AB6" s="175"/>
      <c r="AC6" s="422" t="s">
        <v>233</v>
      </c>
      <c r="AD6" s="423"/>
      <c r="AE6" s="423"/>
      <c r="AF6" s="423"/>
      <c r="AG6" s="316"/>
      <c r="AI6" s="422" t="s">
        <v>255</v>
      </c>
      <c r="AJ6" s="423"/>
      <c r="AK6" s="423"/>
      <c r="AL6" s="423"/>
      <c r="AN6" s="422">
        <v>2020</v>
      </c>
      <c r="AO6" s="423"/>
      <c r="AP6" s="423"/>
      <c r="AQ6" s="423"/>
      <c r="AS6" s="422" t="s">
        <v>303</v>
      </c>
      <c r="AT6" s="423"/>
      <c r="AU6" s="423"/>
      <c r="AV6" s="423"/>
      <c r="AW6" s="419"/>
      <c r="AX6" s="418">
        <v>2022</v>
      </c>
    </row>
    <row r="7" spans="2:50" ht="4.5" customHeight="1" thickBot="1">
      <c r="E7" s="20"/>
      <c r="F7" s="20"/>
      <c r="G7" s="126"/>
      <c r="H7" s="160"/>
      <c r="J7" s="20"/>
      <c r="AS7" s="419"/>
      <c r="AT7" s="419"/>
      <c r="AU7" s="419"/>
      <c r="AV7" s="419"/>
      <c r="AW7" s="419"/>
      <c r="AX7" s="419"/>
    </row>
    <row r="8" spans="2:50" s="262" customFormat="1" ht="27.75" customHeight="1" thickTop="1" thickBot="1">
      <c r="B8" s="261"/>
      <c r="C8" s="263">
        <v>41609</v>
      </c>
      <c r="D8" s="261"/>
      <c r="E8" s="263">
        <v>41699</v>
      </c>
      <c r="F8" s="263">
        <v>41791</v>
      </c>
      <c r="G8" s="263">
        <v>41883</v>
      </c>
      <c r="H8" s="263">
        <v>41974</v>
      </c>
      <c r="I8" s="261"/>
      <c r="J8" s="263">
        <v>42064</v>
      </c>
      <c r="K8" s="263">
        <v>42156</v>
      </c>
      <c r="L8" s="263">
        <v>42248</v>
      </c>
      <c r="M8" s="263">
        <v>42339</v>
      </c>
      <c r="N8" s="263" t="s">
        <v>208</v>
      </c>
      <c r="P8" s="263">
        <v>42430</v>
      </c>
      <c r="Q8" s="263" t="s">
        <v>209</v>
      </c>
      <c r="R8" s="263">
        <v>42522</v>
      </c>
      <c r="S8" s="263" t="s">
        <v>210</v>
      </c>
      <c r="T8" s="263">
        <v>42614</v>
      </c>
      <c r="U8" s="270" t="s">
        <v>213</v>
      </c>
      <c r="V8" s="273">
        <v>42705</v>
      </c>
      <c r="X8" s="263">
        <v>42795</v>
      </c>
      <c r="Y8" s="263">
        <v>42887</v>
      </c>
      <c r="Z8" s="270">
        <v>42979</v>
      </c>
      <c r="AA8" s="273">
        <v>43070</v>
      </c>
      <c r="AB8" s="150"/>
      <c r="AC8" s="275">
        <v>43160</v>
      </c>
      <c r="AD8" s="283">
        <v>43252</v>
      </c>
      <c r="AE8" s="285">
        <v>43344</v>
      </c>
      <c r="AF8" s="288">
        <v>43435</v>
      </c>
      <c r="AG8" s="317" t="s">
        <v>283</v>
      </c>
      <c r="AH8" s="289"/>
      <c r="AI8" s="290">
        <v>43525</v>
      </c>
      <c r="AJ8" s="296">
        <v>43617</v>
      </c>
      <c r="AK8" s="311">
        <v>43709</v>
      </c>
      <c r="AL8" s="315">
        <v>43800</v>
      </c>
      <c r="AM8" s="295"/>
      <c r="AN8" s="362">
        <v>43891</v>
      </c>
      <c r="AO8" s="371">
        <v>43983</v>
      </c>
      <c r="AP8" s="398">
        <v>44075</v>
      </c>
      <c r="AQ8" s="398">
        <v>44166</v>
      </c>
      <c r="AR8" s="295"/>
      <c r="AS8" s="420">
        <v>44256</v>
      </c>
      <c r="AT8" s="420">
        <v>44348</v>
      </c>
      <c r="AU8" s="420">
        <v>44440</v>
      </c>
      <c r="AV8" s="420">
        <v>44531</v>
      </c>
      <c r="AW8" s="419"/>
      <c r="AX8" s="420">
        <v>44621</v>
      </c>
    </row>
    <row r="9" spans="2:50" ht="3.75" customHeight="1" thickTop="1">
      <c r="C9" s="36"/>
      <c r="D9" s="36"/>
      <c r="J9" s="36"/>
      <c r="K9" s="36"/>
      <c r="M9" s="162"/>
      <c r="N9" s="197"/>
      <c r="V9" s="207"/>
      <c r="Z9" s="269"/>
      <c r="AA9" s="272"/>
      <c r="AE9" s="286"/>
      <c r="AF9" s="289"/>
      <c r="AG9" s="14"/>
      <c r="AQ9" s="295"/>
      <c r="AS9" s="419"/>
      <c r="AT9" s="419"/>
      <c r="AU9" s="419"/>
      <c r="AV9" s="419"/>
      <c r="AW9" s="419"/>
      <c r="AX9" s="419"/>
    </row>
    <row r="10" spans="2:50" ht="16.5" customHeight="1">
      <c r="B10" s="15" t="s">
        <v>36</v>
      </c>
      <c r="C10" s="38">
        <v>731275</v>
      </c>
      <c r="D10" s="38"/>
      <c r="E10" s="38">
        <v>559273</v>
      </c>
      <c r="F10" s="38">
        <v>391924</v>
      </c>
      <c r="G10" s="38">
        <v>1049937</v>
      </c>
      <c r="H10" s="38">
        <v>995507</v>
      </c>
      <c r="I10" s="29"/>
      <c r="J10" s="38">
        <v>1072937</v>
      </c>
      <c r="K10" s="38">
        <v>585852</v>
      </c>
      <c r="L10" s="38">
        <v>1464840</v>
      </c>
      <c r="M10" s="38">
        <f>1628603+43215</f>
        <v>1671818</v>
      </c>
      <c r="N10" s="38">
        <f>1685187+155132</f>
        <v>1840319</v>
      </c>
      <c r="P10" s="133">
        <v>1519586</v>
      </c>
      <c r="Q10" s="133">
        <v>1519586</v>
      </c>
      <c r="R10" s="133">
        <v>1266602</v>
      </c>
      <c r="S10" s="133">
        <v>1266602</v>
      </c>
      <c r="T10" s="133">
        <v>1585276</v>
      </c>
      <c r="U10" s="133">
        <v>1910581</v>
      </c>
      <c r="V10" s="133">
        <f>1774072+147400</f>
        <v>1921472</v>
      </c>
      <c r="X10" s="133">
        <v>2450429</v>
      </c>
      <c r="Y10" s="133">
        <v>2422442</v>
      </c>
      <c r="Z10" s="133">
        <v>2356012</v>
      </c>
      <c r="AA10" s="133">
        <v>2625892</v>
      </c>
      <c r="AB10" s="133"/>
      <c r="AC10" s="133">
        <v>2492791</v>
      </c>
      <c r="AD10" s="133">
        <v>2591478</v>
      </c>
      <c r="AE10" s="133">
        <v>2498186</v>
      </c>
      <c r="AF10" s="133">
        <v>2647532</v>
      </c>
      <c r="AG10" s="133">
        <v>2647532</v>
      </c>
      <c r="AI10" s="133">
        <v>2404519</v>
      </c>
      <c r="AJ10" s="133">
        <v>2335279</v>
      </c>
      <c r="AK10" s="133">
        <v>2662535</v>
      </c>
      <c r="AL10" s="133">
        <v>2474008</v>
      </c>
      <c r="AM10" s="133"/>
      <c r="AN10" s="133">
        <v>3103516</v>
      </c>
      <c r="AO10" s="133">
        <v>3290226</v>
      </c>
      <c r="AP10" s="133">
        <v>2996482</v>
      </c>
      <c r="AQ10" s="148">
        <v>2701096</v>
      </c>
      <c r="AR10" s="402"/>
      <c r="AS10" s="148">
        <v>2660351</v>
      </c>
      <c r="AT10" s="148">
        <v>2557910</v>
      </c>
      <c r="AU10" s="148">
        <v>2511583</v>
      </c>
      <c r="AV10" s="148">
        <v>2683143</v>
      </c>
      <c r="AW10" s="402"/>
      <c r="AX10" s="148">
        <v>2765035</v>
      </c>
    </row>
    <row r="11" spans="2:50" ht="16.5" customHeight="1">
      <c r="B11" s="15" t="s">
        <v>83</v>
      </c>
      <c r="C11" s="38">
        <v>2681</v>
      </c>
      <c r="D11" s="38"/>
      <c r="E11" s="38">
        <v>5597</v>
      </c>
      <c r="F11" s="38">
        <v>0</v>
      </c>
      <c r="G11" s="38">
        <v>4906</v>
      </c>
      <c r="H11" s="38">
        <v>23067</v>
      </c>
      <c r="I11" s="29"/>
      <c r="J11" s="38">
        <v>2696</v>
      </c>
      <c r="K11" s="38">
        <v>1184</v>
      </c>
      <c r="L11" s="38">
        <v>17393</v>
      </c>
      <c r="M11" s="38">
        <v>38054</v>
      </c>
      <c r="N11" s="38">
        <v>38054</v>
      </c>
      <c r="P11" s="133">
        <v>17830</v>
      </c>
      <c r="Q11" s="133">
        <v>17830</v>
      </c>
      <c r="R11" s="133">
        <v>18728</v>
      </c>
      <c r="S11" s="133">
        <v>18728</v>
      </c>
      <c r="T11" s="133">
        <v>14068</v>
      </c>
      <c r="U11" s="133">
        <v>14068</v>
      </c>
      <c r="V11" s="133">
        <v>1420</v>
      </c>
      <c r="X11" s="133">
        <v>7884</v>
      </c>
      <c r="Y11" s="133">
        <v>98</v>
      </c>
      <c r="Z11" s="133">
        <v>157</v>
      </c>
      <c r="AA11" s="133">
        <v>176</v>
      </c>
      <c r="AB11" s="133"/>
      <c r="AC11" s="133">
        <v>0</v>
      </c>
      <c r="AD11" s="133">
        <v>12735</v>
      </c>
      <c r="AE11" s="133">
        <v>14919</v>
      </c>
      <c r="AF11" s="133">
        <v>10392</v>
      </c>
      <c r="AG11" s="133">
        <v>10392</v>
      </c>
      <c r="AI11" s="133">
        <v>10528</v>
      </c>
      <c r="AJ11" s="133">
        <v>18719</v>
      </c>
      <c r="AK11" s="133">
        <v>20360</v>
      </c>
      <c r="AL11" s="133">
        <v>5786</v>
      </c>
      <c r="AM11" s="133"/>
      <c r="AN11" s="133">
        <v>113734</v>
      </c>
      <c r="AO11" s="133">
        <v>16135</v>
      </c>
      <c r="AP11" s="133">
        <v>29317</v>
      </c>
      <c r="AQ11" s="148">
        <v>6354</v>
      </c>
      <c r="AR11" s="402"/>
      <c r="AS11" s="148">
        <v>24970</v>
      </c>
      <c r="AT11" s="148">
        <v>16681</v>
      </c>
      <c r="AU11" s="148">
        <v>18905</v>
      </c>
      <c r="AV11" s="148">
        <v>20856</v>
      </c>
      <c r="AW11" s="402"/>
      <c r="AX11" s="148">
        <v>5534</v>
      </c>
    </row>
    <row r="12" spans="2:50" s="128" customFormat="1" ht="16.5" customHeight="1">
      <c r="B12" s="15" t="s">
        <v>226</v>
      </c>
      <c r="C12" s="38">
        <v>764104</v>
      </c>
      <c r="D12" s="38"/>
      <c r="E12" s="38">
        <v>1145546</v>
      </c>
      <c r="F12" s="38">
        <v>967407</v>
      </c>
      <c r="G12" s="38">
        <v>680829</v>
      </c>
      <c r="H12" s="38">
        <v>332545</v>
      </c>
      <c r="I12" s="127"/>
      <c r="J12" s="38">
        <v>371179</v>
      </c>
      <c r="K12" s="38">
        <v>210459</v>
      </c>
      <c r="L12" s="38">
        <v>117563</v>
      </c>
      <c r="M12" s="38">
        <v>212681</v>
      </c>
      <c r="N12" s="38">
        <f>199338-155132</f>
        <v>44206</v>
      </c>
      <c r="P12" s="133">
        <v>246961</v>
      </c>
      <c r="Q12" s="133">
        <v>246961</v>
      </c>
      <c r="R12" s="133">
        <v>376377</v>
      </c>
      <c r="S12" s="133">
        <v>376377</v>
      </c>
      <c r="T12" s="133">
        <v>360910</v>
      </c>
      <c r="U12" s="133">
        <v>35605</v>
      </c>
      <c r="V12" s="133">
        <f>149703-147400</f>
        <v>2303</v>
      </c>
      <c r="X12" s="133">
        <v>22702</v>
      </c>
      <c r="Y12" s="133">
        <v>47722</v>
      </c>
      <c r="Z12" s="133">
        <v>197273</v>
      </c>
      <c r="AA12" s="133">
        <v>45371</v>
      </c>
      <c r="AB12" s="133"/>
      <c r="AC12" s="133">
        <v>19983</v>
      </c>
      <c r="AD12" s="133">
        <v>3799</v>
      </c>
      <c r="AE12" s="133">
        <v>4943</v>
      </c>
      <c r="AF12" s="133">
        <f>72949-1</f>
        <v>72948</v>
      </c>
      <c r="AG12" s="133">
        <f>72949-1</f>
        <v>72948</v>
      </c>
      <c r="AH12" s="289"/>
      <c r="AI12" s="133">
        <v>125616</v>
      </c>
      <c r="AJ12" s="133">
        <v>83448</v>
      </c>
      <c r="AK12" s="133">
        <v>90718</v>
      </c>
      <c r="AL12" s="133">
        <v>123626</v>
      </c>
      <c r="AM12" s="133"/>
      <c r="AN12" s="133">
        <v>79674</v>
      </c>
      <c r="AO12" s="133">
        <v>55744</v>
      </c>
      <c r="AP12" s="133">
        <v>1494</v>
      </c>
      <c r="AQ12" s="148">
        <v>0</v>
      </c>
      <c r="AR12" s="402"/>
      <c r="AS12" s="148">
        <v>0</v>
      </c>
      <c r="AT12" s="148">
        <v>0</v>
      </c>
      <c r="AU12" s="148">
        <v>665</v>
      </c>
      <c r="AV12" s="148">
        <v>869849</v>
      </c>
      <c r="AW12" s="402"/>
      <c r="AX12" s="148">
        <v>24720</v>
      </c>
    </row>
    <row r="13" spans="2:50">
      <c r="B13" s="15" t="s">
        <v>149</v>
      </c>
      <c r="C13" s="38">
        <v>1061400</v>
      </c>
      <c r="D13" s="38"/>
      <c r="E13" s="38">
        <v>1666893</v>
      </c>
      <c r="F13" s="38">
        <v>1854819</v>
      </c>
      <c r="G13" s="38">
        <v>1923085</v>
      </c>
      <c r="H13" s="38">
        <v>1530058</v>
      </c>
      <c r="I13" s="29"/>
      <c r="J13" s="38">
        <f>1910745-1</f>
        <v>1910744</v>
      </c>
      <c r="K13" s="38">
        <v>2093723</v>
      </c>
      <c r="L13" s="38">
        <f>2560289</f>
        <v>2560289</v>
      </c>
      <c r="M13" s="38">
        <f>2552232-43215-38611</f>
        <v>2470406</v>
      </c>
      <c r="N13" s="38">
        <f>2472144-35475</f>
        <v>2436669</v>
      </c>
      <c r="P13" s="133">
        <v>2948749</v>
      </c>
      <c r="Q13" s="133">
        <v>2908175</v>
      </c>
      <c r="R13" s="133">
        <v>2901854</v>
      </c>
      <c r="S13" s="133">
        <v>2850973</v>
      </c>
      <c r="T13" s="133">
        <v>2963994</v>
      </c>
      <c r="U13" s="133">
        <v>2901161</v>
      </c>
      <c r="V13" s="133">
        <f>2760967-53535</f>
        <v>2707432</v>
      </c>
      <c r="X13" s="133">
        <v>2937936</v>
      </c>
      <c r="Y13" s="133">
        <v>2915690</v>
      </c>
      <c r="Z13" s="133">
        <v>2877677</v>
      </c>
      <c r="AA13" s="133">
        <v>2713849</v>
      </c>
      <c r="AB13" s="133"/>
      <c r="AC13" s="133">
        <v>2595584</v>
      </c>
      <c r="AD13" s="133">
        <v>2628419</v>
      </c>
      <c r="AE13" s="133">
        <v>2576149</v>
      </c>
      <c r="AF13" s="133">
        <v>2534821</v>
      </c>
      <c r="AG13" s="133">
        <v>2507790</v>
      </c>
      <c r="AI13" s="133">
        <v>2590350</v>
      </c>
      <c r="AJ13" s="133">
        <v>2744064</v>
      </c>
      <c r="AK13" s="133">
        <v>2962859</v>
      </c>
      <c r="AL13" s="133">
        <v>2988955</v>
      </c>
      <c r="AM13" s="133"/>
      <c r="AN13" s="133">
        <v>3488219</v>
      </c>
      <c r="AO13" s="133">
        <v>3339823</v>
      </c>
      <c r="AP13" s="133">
        <v>2863952</v>
      </c>
      <c r="AQ13" s="148">
        <v>2255887</v>
      </c>
      <c r="AR13" s="402"/>
      <c r="AS13" s="148">
        <v>2782499</v>
      </c>
      <c r="AT13" s="148">
        <v>2855680</v>
      </c>
      <c r="AU13" s="148">
        <v>2919020</v>
      </c>
      <c r="AV13" s="148">
        <v>2746524</v>
      </c>
      <c r="AW13" s="402"/>
      <c r="AX13" s="148">
        <v>3091220</v>
      </c>
    </row>
    <row r="14" spans="2:50" ht="16.5" customHeight="1">
      <c r="B14" s="15" t="s">
        <v>30</v>
      </c>
      <c r="C14" s="38">
        <v>457370</v>
      </c>
      <c r="D14" s="38"/>
      <c r="E14" s="38">
        <v>592168</v>
      </c>
      <c r="F14" s="38">
        <v>647365</v>
      </c>
      <c r="G14" s="38">
        <v>658829</v>
      </c>
      <c r="H14" s="38">
        <v>650462</v>
      </c>
      <c r="I14" s="29"/>
      <c r="J14" s="38">
        <v>766184</v>
      </c>
      <c r="K14" s="38">
        <v>828060</v>
      </c>
      <c r="L14" s="38">
        <v>908413</v>
      </c>
      <c r="M14" s="38">
        <v>902218</v>
      </c>
      <c r="N14" s="38">
        <v>902218</v>
      </c>
      <c r="P14" s="133">
        <v>913588</v>
      </c>
      <c r="Q14" s="133">
        <v>913588</v>
      </c>
      <c r="R14" s="133">
        <v>997376</v>
      </c>
      <c r="S14" s="133">
        <v>997376</v>
      </c>
      <c r="T14" s="133">
        <v>1010407</v>
      </c>
      <c r="U14" s="133">
        <v>1004900</v>
      </c>
      <c r="V14" s="133">
        <v>1069615</v>
      </c>
      <c r="X14" s="133">
        <v>1161858</v>
      </c>
      <c r="Y14" s="133">
        <v>1227443</v>
      </c>
      <c r="Z14" s="133">
        <v>1151664</v>
      </c>
      <c r="AA14" s="133">
        <v>1086669</v>
      </c>
      <c r="AB14" s="133"/>
      <c r="AC14" s="133">
        <v>1134852</v>
      </c>
      <c r="AD14" s="133">
        <v>1155422</v>
      </c>
      <c r="AE14" s="133">
        <v>1122947</v>
      </c>
      <c r="AF14" s="133">
        <v>1291909</v>
      </c>
      <c r="AG14" s="133">
        <v>1291909</v>
      </c>
      <c r="AI14" s="133">
        <v>1334905</v>
      </c>
      <c r="AJ14" s="133">
        <v>1428587</v>
      </c>
      <c r="AK14" s="133">
        <v>1383694</v>
      </c>
      <c r="AL14" s="133">
        <v>1252938</v>
      </c>
      <c r="AM14" s="133"/>
      <c r="AN14" s="133">
        <v>1508333</v>
      </c>
      <c r="AO14" s="133">
        <v>1451377</v>
      </c>
      <c r="AP14" s="133">
        <v>1498599</v>
      </c>
      <c r="AQ14" s="148">
        <v>1237080</v>
      </c>
      <c r="AR14" s="402"/>
      <c r="AS14" s="148">
        <v>1304750</v>
      </c>
      <c r="AT14" s="148">
        <v>1296513</v>
      </c>
      <c r="AU14" s="148">
        <v>1351758</v>
      </c>
      <c r="AV14" s="148">
        <v>1376345</v>
      </c>
      <c r="AW14" s="402"/>
      <c r="AX14" s="148">
        <v>1479055</v>
      </c>
    </row>
    <row r="15" spans="2:50" s="139" customFormat="1" ht="16.5" customHeight="1">
      <c r="B15" s="15" t="s">
        <v>131</v>
      </c>
      <c r="C15" s="38">
        <v>0</v>
      </c>
      <c r="D15" s="38"/>
      <c r="E15" s="38">
        <v>0</v>
      </c>
      <c r="F15" s="38">
        <v>19249</v>
      </c>
      <c r="G15" s="38">
        <v>0</v>
      </c>
      <c r="H15" s="38">
        <v>304</v>
      </c>
      <c r="I15" s="138"/>
      <c r="J15" s="38">
        <v>0</v>
      </c>
      <c r="K15" s="38">
        <v>0</v>
      </c>
      <c r="L15" s="38">
        <v>0</v>
      </c>
      <c r="M15" s="133">
        <v>0</v>
      </c>
      <c r="N15" s="132">
        <v>0</v>
      </c>
      <c r="P15" s="133">
        <v>0</v>
      </c>
      <c r="Q15" s="133">
        <v>0</v>
      </c>
      <c r="R15" s="133">
        <v>0</v>
      </c>
      <c r="S15" s="133">
        <v>0</v>
      </c>
      <c r="T15" s="133">
        <v>0</v>
      </c>
      <c r="U15" s="133">
        <v>0</v>
      </c>
      <c r="V15" s="133">
        <v>0</v>
      </c>
      <c r="X15" s="133">
        <v>0</v>
      </c>
      <c r="Y15" s="133">
        <v>0</v>
      </c>
      <c r="Z15" s="133">
        <v>0</v>
      </c>
      <c r="AA15" s="133">
        <v>134</v>
      </c>
      <c r="AB15" s="133"/>
      <c r="AC15" s="133">
        <v>137</v>
      </c>
      <c r="AD15" s="133">
        <v>140</v>
      </c>
      <c r="AE15" s="133">
        <v>9269</v>
      </c>
      <c r="AF15" s="133">
        <v>9360</v>
      </c>
      <c r="AG15" s="133">
        <v>9360</v>
      </c>
      <c r="AH15" s="289"/>
      <c r="AI15" s="133">
        <v>9607</v>
      </c>
      <c r="AJ15" s="133">
        <v>8911</v>
      </c>
      <c r="AK15" s="133">
        <v>8339</v>
      </c>
      <c r="AL15" s="133">
        <v>9157</v>
      </c>
      <c r="AM15" s="133"/>
      <c r="AN15" s="133">
        <v>7273</v>
      </c>
      <c r="AO15" s="133">
        <v>6911</v>
      </c>
      <c r="AP15" s="133">
        <v>5932</v>
      </c>
      <c r="AQ15" s="148">
        <v>5634</v>
      </c>
      <c r="AR15" s="402"/>
      <c r="AS15" s="148">
        <v>5367</v>
      </c>
      <c r="AT15" s="148">
        <v>5652</v>
      </c>
      <c r="AU15" s="148">
        <v>5613</v>
      </c>
      <c r="AV15" s="148">
        <v>4312</v>
      </c>
      <c r="AW15" s="402"/>
      <c r="AX15" s="148">
        <v>4626</v>
      </c>
    </row>
    <row r="16" spans="2:50">
      <c r="B16" s="15" t="s">
        <v>157</v>
      </c>
      <c r="C16" s="38">
        <v>152440</v>
      </c>
      <c r="D16" s="38"/>
      <c r="E16" s="38">
        <v>180774</v>
      </c>
      <c r="F16" s="38">
        <v>210045</v>
      </c>
      <c r="G16" s="38">
        <v>185072</v>
      </c>
      <c r="H16" s="38">
        <v>196951</v>
      </c>
      <c r="I16" s="29"/>
      <c r="J16" s="38">
        <v>249741</v>
      </c>
      <c r="K16" s="38">
        <v>170172</v>
      </c>
      <c r="L16" s="38">
        <v>281991</v>
      </c>
      <c r="M16" s="38">
        <f>229301+38611</f>
        <v>267912</v>
      </c>
      <c r="N16" s="38">
        <f>266056-6515</f>
        <v>259541</v>
      </c>
      <c r="P16" s="133">
        <v>262726</v>
      </c>
      <c r="Q16" s="133">
        <v>303300</v>
      </c>
      <c r="R16" s="133">
        <v>218973</v>
      </c>
      <c r="S16" s="133">
        <v>269853</v>
      </c>
      <c r="T16" s="133">
        <v>248181</v>
      </c>
      <c r="U16" s="133">
        <v>311014</v>
      </c>
      <c r="V16" s="133">
        <f>204993-6515</f>
        <v>198478</v>
      </c>
      <c r="X16" s="133">
        <v>159853</v>
      </c>
      <c r="Y16" s="133">
        <v>191360</v>
      </c>
      <c r="Z16" s="133">
        <v>287373</v>
      </c>
      <c r="AA16" s="133">
        <v>228103</v>
      </c>
      <c r="AB16" s="133"/>
      <c r="AC16" s="133">
        <v>213725</v>
      </c>
      <c r="AD16" s="133">
        <v>250434</v>
      </c>
      <c r="AE16" s="133">
        <v>259758</v>
      </c>
      <c r="AF16" s="133">
        <v>244963</v>
      </c>
      <c r="AG16" s="133">
        <v>244963</v>
      </c>
      <c r="AI16" s="133">
        <v>248254</v>
      </c>
      <c r="AJ16" s="133">
        <v>296924</v>
      </c>
      <c r="AK16" s="133">
        <v>263730</v>
      </c>
      <c r="AL16" s="133">
        <v>195625</v>
      </c>
      <c r="AM16" s="133"/>
      <c r="AN16" s="133">
        <v>212748</v>
      </c>
      <c r="AO16" s="133">
        <v>218638</v>
      </c>
      <c r="AP16" s="133">
        <v>277186</v>
      </c>
      <c r="AQ16" s="148">
        <v>212046</v>
      </c>
      <c r="AR16" s="402"/>
      <c r="AS16" s="148">
        <v>213140</v>
      </c>
      <c r="AT16" s="148">
        <v>187324</v>
      </c>
      <c r="AU16" s="148">
        <v>230313</v>
      </c>
      <c r="AV16" s="148">
        <v>229924</v>
      </c>
      <c r="AW16" s="402"/>
      <c r="AX16" s="148">
        <v>222443</v>
      </c>
    </row>
    <row r="17" spans="2:50" ht="17.25" customHeight="1">
      <c r="B17" s="15" t="s">
        <v>60</v>
      </c>
      <c r="C17" s="38">
        <v>15097</v>
      </c>
      <c r="D17" s="38"/>
      <c r="E17" s="38">
        <v>518</v>
      </c>
      <c r="F17" s="38">
        <v>159</v>
      </c>
      <c r="G17" s="38">
        <v>159</v>
      </c>
      <c r="H17" s="38">
        <v>7725</v>
      </c>
      <c r="I17" s="29"/>
      <c r="J17" s="38">
        <v>622</v>
      </c>
      <c r="K17" s="38">
        <v>116777</v>
      </c>
      <c r="L17" s="38">
        <v>2541</v>
      </c>
      <c r="M17" s="132">
        <v>104882</v>
      </c>
      <c r="N17" s="132">
        <v>10142</v>
      </c>
      <c r="P17" s="133">
        <v>106221</v>
      </c>
      <c r="Q17" s="133">
        <v>11481</v>
      </c>
      <c r="R17" s="133">
        <v>105940</v>
      </c>
      <c r="S17" s="133">
        <v>11200</v>
      </c>
      <c r="T17" s="133">
        <v>103504</v>
      </c>
      <c r="U17" s="133">
        <v>8763</v>
      </c>
      <c r="V17" s="133">
        <v>350872</v>
      </c>
      <c r="X17" s="133">
        <v>340810</v>
      </c>
      <c r="Y17" s="133">
        <v>8346</v>
      </c>
      <c r="Z17" s="133">
        <v>8187</v>
      </c>
      <c r="AA17" s="133">
        <v>49925</v>
      </c>
      <c r="AB17" s="133"/>
      <c r="AC17" s="133">
        <v>49884</v>
      </c>
      <c r="AD17" s="133">
        <v>49797</v>
      </c>
      <c r="AE17" s="133">
        <v>63665</v>
      </c>
      <c r="AF17" s="133">
        <v>40030</v>
      </c>
      <c r="AG17" s="133">
        <v>40030</v>
      </c>
      <c r="AI17" s="133">
        <v>40088</v>
      </c>
      <c r="AJ17" s="133">
        <v>25003</v>
      </c>
      <c r="AK17" s="133">
        <v>1853</v>
      </c>
      <c r="AL17" s="133">
        <v>76744</v>
      </c>
      <c r="AM17" s="133"/>
      <c r="AN17" s="133">
        <v>30801</v>
      </c>
      <c r="AO17" s="133">
        <v>31241</v>
      </c>
      <c r="AP17" s="133">
        <v>30323</v>
      </c>
      <c r="AQ17" s="148">
        <v>247954</v>
      </c>
      <c r="AR17" s="402"/>
      <c r="AS17" s="148">
        <v>260293</v>
      </c>
      <c r="AT17" s="148">
        <v>250306</v>
      </c>
      <c r="AU17" s="148">
        <v>246530</v>
      </c>
      <c r="AV17" s="148">
        <v>58304</v>
      </c>
      <c r="AW17" s="402"/>
      <c r="AX17" s="148">
        <v>56598</v>
      </c>
    </row>
    <row r="18" spans="2:50" s="142" customFormat="1" ht="6" customHeight="1">
      <c r="B18" s="15"/>
      <c r="C18" s="38"/>
      <c r="D18" s="38"/>
      <c r="E18" s="38"/>
      <c r="F18" s="38"/>
      <c r="G18" s="38"/>
      <c r="H18" s="38"/>
      <c r="I18" s="141"/>
      <c r="J18" s="38"/>
      <c r="K18" s="38"/>
      <c r="L18" s="38"/>
      <c r="M18" s="38"/>
      <c r="N18" s="38"/>
      <c r="P18" s="38"/>
      <c r="Q18" s="38"/>
      <c r="R18" s="38"/>
      <c r="S18" s="38"/>
      <c r="T18" s="38"/>
      <c r="U18" s="38"/>
      <c r="V18" s="38"/>
      <c r="X18" s="38"/>
      <c r="Y18" s="38"/>
      <c r="Z18" s="38"/>
      <c r="AA18" s="38"/>
      <c r="AB18" s="38"/>
      <c r="AC18" s="38"/>
      <c r="AD18" s="38"/>
      <c r="AE18" s="38"/>
      <c r="AF18" s="38"/>
      <c r="AG18" s="38"/>
      <c r="AH18" s="289"/>
      <c r="AI18" s="38"/>
      <c r="AJ18" s="38"/>
      <c r="AK18" s="38"/>
      <c r="AL18" s="38"/>
      <c r="AM18" s="38"/>
      <c r="AN18" s="38"/>
      <c r="AO18" s="38"/>
      <c r="AP18" s="38"/>
      <c r="AQ18" s="215"/>
      <c r="AR18" s="402"/>
      <c r="AS18" s="215"/>
      <c r="AT18" s="215"/>
      <c r="AU18" s="215"/>
      <c r="AV18" s="215"/>
      <c r="AW18" s="402"/>
      <c r="AX18" s="215"/>
    </row>
    <row r="19" spans="2:50" ht="13">
      <c r="B19" s="32" t="s">
        <v>51</v>
      </c>
      <c r="C19" s="33">
        <f>+SUM(C10:C17)</f>
        <v>3184367</v>
      </c>
      <c r="D19" s="33"/>
      <c r="E19" s="33">
        <f>+SUM(E10:E17)</f>
        <v>4150769</v>
      </c>
      <c r="F19" s="33">
        <f>+SUM(F10:F17)</f>
        <v>4090968</v>
      </c>
      <c r="G19" s="33">
        <f>+SUM(G10:G17)</f>
        <v>4502817</v>
      </c>
      <c r="H19" s="33">
        <f>+SUM(H10:H17)</f>
        <v>3736619</v>
      </c>
      <c r="I19" s="29"/>
      <c r="J19" s="33">
        <f>+SUM(J10:J17)</f>
        <v>4374103</v>
      </c>
      <c r="K19" s="33">
        <f>+SUM(K10:K17)</f>
        <v>4006227</v>
      </c>
      <c r="L19" s="33">
        <f>+SUM(L10:L17)</f>
        <v>5353030</v>
      </c>
      <c r="M19" s="33">
        <f>+SUM(M10:M17)</f>
        <v>5667971</v>
      </c>
      <c r="N19" s="33">
        <f>+SUM(N10:N17)</f>
        <v>5531149</v>
      </c>
      <c r="P19" s="33">
        <f t="shared" ref="P19:V19" si="0">+SUM(P10:P17)</f>
        <v>6015661</v>
      </c>
      <c r="Q19" s="33">
        <f t="shared" si="0"/>
        <v>5920921</v>
      </c>
      <c r="R19" s="33">
        <f t="shared" si="0"/>
        <v>5885850</v>
      </c>
      <c r="S19" s="33">
        <f t="shared" si="0"/>
        <v>5791109</v>
      </c>
      <c r="T19" s="33">
        <f t="shared" si="0"/>
        <v>6286340</v>
      </c>
      <c r="U19" s="33">
        <f t="shared" ref="U19" si="1">+SUM(U10:U17)</f>
        <v>6186092</v>
      </c>
      <c r="V19" s="33">
        <f t="shared" si="0"/>
        <v>6251592</v>
      </c>
      <c r="X19" s="33">
        <f>+SUM(X10:X17)</f>
        <v>7081472</v>
      </c>
      <c r="Y19" s="33">
        <f t="shared" ref="Y19:Z19" si="2">+SUM(Y10:Y17)</f>
        <v>6813101</v>
      </c>
      <c r="Z19" s="33">
        <f t="shared" si="2"/>
        <v>6878343</v>
      </c>
      <c r="AA19" s="33">
        <f t="shared" ref="AA19:AC19" si="3">+SUM(AA10:AA17)</f>
        <v>6750119</v>
      </c>
      <c r="AB19" s="33"/>
      <c r="AC19" s="33">
        <f t="shared" si="3"/>
        <v>6506956</v>
      </c>
      <c r="AD19" s="33">
        <f t="shared" ref="AD19:AF19" si="4">+SUM(AD10:AD17)</f>
        <v>6692224</v>
      </c>
      <c r="AE19" s="33">
        <f t="shared" si="4"/>
        <v>6549836</v>
      </c>
      <c r="AF19" s="33">
        <f t="shared" si="4"/>
        <v>6851955</v>
      </c>
      <c r="AG19" s="33">
        <f t="shared" ref="AG19" si="5">+SUM(AG10:AG17)</f>
        <v>6824924</v>
      </c>
      <c r="AI19" s="33">
        <v>6763867</v>
      </c>
      <c r="AJ19" s="33">
        <v>6940935</v>
      </c>
      <c r="AK19" s="33">
        <v>7394088</v>
      </c>
      <c r="AL19" s="33">
        <v>7126839</v>
      </c>
      <c r="AM19" s="33"/>
      <c r="AN19" s="33">
        <v>8544298</v>
      </c>
      <c r="AO19" s="33">
        <v>8410095</v>
      </c>
      <c r="AP19" s="33">
        <v>7703285</v>
      </c>
      <c r="AQ19" s="329">
        <f t="shared" ref="AQ19" si="6">+SUM(AQ10:AQ17)</f>
        <v>6666051</v>
      </c>
      <c r="AR19" s="402"/>
      <c r="AS19" s="329">
        <f t="shared" ref="AS19:AX19" si="7">+SUM(AS10:AS17)</f>
        <v>7251370</v>
      </c>
      <c r="AT19" s="329">
        <f t="shared" si="7"/>
        <v>7170066</v>
      </c>
      <c r="AU19" s="329">
        <f t="shared" si="7"/>
        <v>7284387</v>
      </c>
      <c r="AV19" s="329">
        <f t="shared" si="7"/>
        <v>7989257</v>
      </c>
      <c r="AW19" s="402"/>
      <c r="AX19" s="329">
        <f t="shared" si="7"/>
        <v>7649231</v>
      </c>
    </row>
    <row r="20" spans="2:50" ht="5.25" customHeight="1">
      <c r="C20" s="39"/>
      <c r="D20" s="39"/>
      <c r="E20" s="39"/>
      <c r="F20" s="39"/>
      <c r="G20" s="39"/>
      <c r="H20" s="39"/>
      <c r="J20" s="39"/>
      <c r="K20" s="39"/>
      <c r="L20" s="39"/>
      <c r="M20" s="39"/>
      <c r="N20" s="39"/>
      <c r="P20" s="30"/>
      <c r="Q20" s="30"/>
      <c r="R20" s="30"/>
      <c r="S20" s="30"/>
      <c r="T20" s="30"/>
      <c r="U20" s="30"/>
      <c r="V20" s="30"/>
      <c r="X20" s="30"/>
      <c r="Y20" s="30"/>
      <c r="Z20" s="30"/>
      <c r="AA20" s="30"/>
      <c r="AB20" s="30"/>
      <c r="AC20" s="30"/>
      <c r="AD20" s="30"/>
      <c r="AE20" s="30"/>
      <c r="AF20" s="30"/>
      <c r="AG20" s="30"/>
      <c r="AI20" s="30"/>
      <c r="AJ20" s="30"/>
      <c r="AK20" s="30"/>
      <c r="AL20" s="30"/>
      <c r="AM20" s="30"/>
      <c r="AN20" s="30"/>
      <c r="AO20" s="30"/>
      <c r="AP20" s="30"/>
      <c r="AQ20" s="301"/>
      <c r="AR20" s="402"/>
      <c r="AS20" s="301"/>
      <c r="AT20" s="301"/>
      <c r="AU20" s="301"/>
      <c r="AV20" s="301"/>
      <c r="AW20" s="402"/>
      <c r="AX20" s="301"/>
    </row>
    <row r="21" spans="2:50" ht="16.5" customHeight="1">
      <c r="B21" s="18" t="s">
        <v>31</v>
      </c>
      <c r="C21" s="38">
        <v>8653427</v>
      </c>
      <c r="D21" s="38"/>
      <c r="E21" s="38">
        <v>8935072</v>
      </c>
      <c r="F21" s="38">
        <v>9068100</v>
      </c>
      <c r="G21" s="38">
        <v>9214489</v>
      </c>
      <c r="H21" s="38">
        <v>9290669</v>
      </c>
      <c r="J21" s="38">
        <v>8294641</v>
      </c>
      <c r="K21" s="38">
        <v>9415204</v>
      </c>
      <c r="L21" s="38">
        <v>9276252</v>
      </c>
      <c r="M21" s="132">
        <v>10149084</v>
      </c>
      <c r="N21" s="132">
        <v>11057388</v>
      </c>
      <c r="P21" s="133">
        <v>10186863</v>
      </c>
      <c r="Q21" s="133">
        <v>10523808</v>
      </c>
      <c r="R21" s="133">
        <v>10021757</v>
      </c>
      <c r="S21" s="133">
        <v>10352899</v>
      </c>
      <c r="T21" s="133">
        <v>10724307</v>
      </c>
      <c r="U21" s="133">
        <v>10068031</v>
      </c>
      <c r="V21" s="133">
        <v>9925907</v>
      </c>
      <c r="X21" s="133">
        <v>9305216</v>
      </c>
      <c r="Y21" s="133">
        <v>9415214</v>
      </c>
      <c r="Z21" s="133">
        <v>9217994</v>
      </c>
      <c r="AA21" s="133">
        <v>9616673</v>
      </c>
      <c r="AB21" s="215"/>
      <c r="AC21" s="133">
        <v>9294677</v>
      </c>
      <c r="AD21" s="133">
        <v>9539703</v>
      </c>
      <c r="AE21" s="133">
        <v>9593645</v>
      </c>
      <c r="AF21" s="133">
        <v>9846505</v>
      </c>
      <c r="AG21" s="133">
        <v>9846505</v>
      </c>
      <c r="AI21" s="133">
        <v>10062303</v>
      </c>
      <c r="AJ21" s="133">
        <v>10155467</v>
      </c>
      <c r="AK21" s="133">
        <v>10718255</v>
      </c>
      <c r="AL21" s="133">
        <v>10206002</v>
      </c>
      <c r="AM21" s="133"/>
      <c r="AN21" s="133">
        <v>10242667</v>
      </c>
      <c r="AO21" s="133">
        <v>10132137</v>
      </c>
      <c r="AP21" s="133">
        <v>10496967</v>
      </c>
      <c r="AQ21" s="148">
        <v>10263780</v>
      </c>
      <c r="AR21" s="402"/>
      <c r="AS21" s="148">
        <v>10463122</v>
      </c>
      <c r="AT21" s="148">
        <v>10613651</v>
      </c>
      <c r="AU21" s="148">
        <v>10665617</v>
      </c>
      <c r="AV21" s="148">
        <v>11590167</v>
      </c>
      <c r="AW21" s="402"/>
      <c r="AX21" s="148">
        <v>12353168</v>
      </c>
    </row>
    <row r="22" spans="2:50">
      <c r="B22" s="15" t="s">
        <v>149</v>
      </c>
      <c r="C22" s="38">
        <v>39047</v>
      </c>
      <c r="D22" s="38"/>
      <c r="E22" s="38">
        <v>50040</v>
      </c>
      <c r="F22" s="38">
        <v>686285</v>
      </c>
      <c r="G22" s="38">
        <v>40533</v>
      </c>
      <c r="H22" s="38">
        <v>52726</v>
      </c>
      <c r="J22" s="38">
        <v>36393</v>
      </c>
      <c r="K22" s="38">
        <v>43929</v>
      </c>
      <c r="L22" s="38">
        <v>183826</v>
      </c>
      <c r="M22" s="132">
        <v>217495</v>
      </c>
      <c r="N22" s="38">
        <f>281064+35475</f>
        <v>316539</v>
      </c>
      <c r="P22" s="133">
        <v>212255</v>
      </c>
      <c r="Q22" s="133">
        <v>850529</v>
      </c>
      <c r="R22" s="133">
        <v>1205357</v>
      </c>
      <c r="S22" s="133">
        <f>1818303-1</f>
        <v>1818302</v>
      </c>
      <c r="T22" s="133">
        <v>1478723</v>
      </c>
      <c r="U22" s="133">
        <f>2022828+1</f>
        <v>2022829</v>
      </c>
      <c r="V22" s="133">
        <f>2506692+53535</f>
        <v>2560227</v>
      </c>
      <c r="X22" s="133">
        <v>2413115</v>
      </c>
      <c r="Y22" s="133">
        <v>2632075</v>
      </c>
      <c r="Z22" s="133">
        <v>2564302</v>
      </c>
      <c r="AA22" s="133">
        <f>2619430</f>
        <v>2619430</v>
      </c>
      <c r="AB22" s="215"/>
      <c r="AC22" s="133">
        <v>2452386</v>
      </c>
      <c r="AD22" s="133">
        <v>2541049</v>
      </c>
      <c r="AE22" s="133">
        <v>2626524</v>
      </c>
      <c r="AF22" s="133">
        <f>2632021-1</f>
        <v>2632020</v>
      </c>
      <c r="AG22" s="133">
        <f>2632021-1</f>
        <v>2632020</v>
      </c>
      <c r="AI22" s="133">
        <v>2531992</v>
      </c>
      <c r="AJ22" s="133">
        <v>2534900</v>
      </c>
      <c r="AK22" s="133">
        <v>2804985</v>
      </c>
      <c r="AL22" s="133">
        <v>2493612</v>
      </c>
      <c r="AM22" s="133"/>
      <c r="AN22" s="133">
        <v>3054316</v>
      </c>
      <c r="AO22" s="133">
        <v>2833245</v>
      </c>
      <c r="AP22" s="133">
        <v>3195490</v>
      </c>
      <c r="AQ22" s="148">
        <f>2828010-2</f>
        <v>2828008</v>
      </c>
      <c r="AR22" s="402"/>
      <c r="AS22" s="148">
        <v>3078305</v>
      </c>
      <c r="AT22" s="148">
        <v>3136391</v>
      </c>
      <c r="AU22" s="148">
        <v>3119248</v>
      </c>
      <c r="AV22" s="148">
        <v>867991</v>
      </c>
      <c r="AW22" s="402"/>
      <c r="AX22" s="148">
        <v>915013</v>
      </c>
    </row>
    <row r="23" spans="2:50" s="139" customFormat="1" ht="16.5" customHeight="1">
      <c r="B23" s="163" t="s">
        <v>30</v>
      </c>
      <c r="C23" s="38">
        <v>0</v>
      </c>
      <c r="D23" s="38"/>
      <c r="E23" s="38">
        <v>0</v>
      </c>
      <c r="F23" s="38">
        <v>0</v>
      </c>
      <c r="G23" s="38">
        <v>0</v>
      </c>
      <c r="H23" s="38">
        <v>29508</v>
      </c>
      <c r="I23" s="137"/>
      <c r="J23" s="38">
        <v>0</v>
      </c>
      <c r="K23" s="38">
        <v>0</v>
      </c>
      <c r="L23" s="38">
        <v>0</v>
      </c>
      <c r="M23" s="132">
        <v>24146</v>
      </c>
      <c r="N23" s="132">
        <v>24146</v>
      </c>
      <c r="P23" s="133">
        <v>26594</v>
      </c>
      <c r="Q23" s="133">
        <v>26594</v>
      </c>
      <c r="R23" s="133">
        <v>26594</v>
      </c>
      <c r="S23" s="133">
        <v>26594</v>
      </c>
      <c r="T23" s="133">
        <v>20659</v>
      </c>
      <c r="U23" s="133">
        <v>20659</v>
      </c>
      <c r="V23" s="133">
        <v>42583</v>
      </c>
      <c r="X23" s="133">
        <v>44913</v>
      </c>
      <c r="Y23" s="133">
        <v>46887</v>
      </c>
      <c r="Z23" s="133">
        <v>46720</v>
      </c>
      <c r="AA23" s="133">
        <v>47275</v>
      </c>
      <c r="AB23" s="133"/>
      <c r="AC23" s="133">
        <v>47952</v>
      </c>
      <c r="AD23" s="133">
        <v>49144</v>
      </c>
      <c r="AE23" s="133">
        <v>50734</v>
      </c>
      <c r="AF23" s="133">
        <v>36747</v>
      </c>
      <c r="AG23" s="133">
        <v>36747</v>
      </c>
      <c r="AH23" s="289"/>
      <c r="AI23" s="133">
        <v>36959</v>
      </c>
      <c r="AJ23" s="133">
        <v>37029</v>
      </c>
      <c r="AK23" s="133">
        <v>36065</v>
      </c>
      <c r="AL23" s="133">
        <v>37204</v>
      </c>
      <c r="AM23" s="133"/>
      <c r="AN23" s="133">
        <v>37366</v>
      </c>
      <c r="AO23" s="133">
        <v>0</v>
      </c>
      <c r="AP23" s="133">
        <v>0</v>
      </c>
      <c r="AQ23" s="148">
        <v>0</v>
      </c>
      <c r="AR23" s="402"/>
      <c r="AS23" s="148">
        <v>0</v>
      </c>
      <c r="AT23" s="148">
        <v>0</v>
      </c>
      <c r="AU23" s="148">
        <v>0</v>
      </c>
      <c r="AV23" s="148">
        <v>0</v>
      </c>
      <c r="AW23" s="402"/>
      <c r="AX23" s="148">
        <v>0</v>
      </c>
    </row>
    <row r="24" spans="2:50" s="295" customFormat="1" ht="16.5" customHeight="1">
      <c r="B24" s="163" t="s">
        <v>256</v>
      </c>
      <c r="C24" s="38">
        <v>0</v>
      </c>
      <c r="D24" s="38"/>
      <c r="E24" s="38">
        <v>0</v>
      </c>
      <c r="F24" s="38">
        <v>0</v>
      </c>
      <c r="G24" s="38">
        <v>0</v>
      </c>
      <c r="H24" s="38">
        <v>0</v>
      </c>
      <c r="I24" s="292"/>
      <c r="J24" s="38">
        <v>0</v>
      </c>
      <c r="K24" s="38">
        <v>0</v>
      </c>
      <c r="L24" s="38">
        <v>0</v>
      </c>
      <c r="M24" s="38">
        <v>0</v>
      </c>
      <c r="N24" s="38">
        <v>0</v>
      </c>
      <c r="P24" s="38">
        <v>0</v>
      </c>
      <c r="Q24" s="38">
        <v>0</v>
      </c>
      <c r="R24" s="38">
        <v>0</v>
      </c>
      <c r="S24" s="38">
        <v>0</v>
      </c>
      <c r="T24" s="38">
        <v>0</v>
      </c>
      <c r="U24" s="38">
        <v>0</v>
      </c>
      <c r="V24" s="38">
        <v>0</v>
      </c>
      <c r="X24" s="38">
        <v>0</v>
      </c>
      <c r="Y24" s="38">
        <v>0</v>
      </c>
      <c r="Z24" s="38">
        <v>0</v>
      </c>
      <c r="AA24" s="38">
        <v>0</v>
      </c>
      <c r="AB24" s="133"/>
      <c r="AC24" s="38">
        <v>0</v>
      </c>
      <c r="AD24" s="38">
        <v>0</v>
      </c>
      <c r="AE24" s="38">
        <v>0</v>
      </c>
      <c r="AF24" s="38">
        <v>0</v>
      </c>
      <c r="AG24" s="38">
        <v>0</v>
      </c>
      <c r="AI24" s="133">
        <v>1052531</v>
      </c>
      <c r="AJ24" s="133">
        <v>1126595</v>
      </c>
      <c r="AK24" s="133">
        <v>1142187</v>
      </c>
      <c r="AL24" s="133">
        <v>1071329</v>
      </c>
      <c r="AM24" s="133"/>
      <c r="AN24" s="133">
        <v>1024970</v>
      </c>
      <c r="AO24" s="133">
        <v>902442</v>
      </c>
      <c r="AP24" s="133">
        <v>875096</v>
      </c>
      <c r="AQ24" s="148">
        <v>813037</v>
      </c>
      <c r="AR24" s="402"/>
      <c r="AS24" s="148">
        <v>720008</v>
      </c>
      <c r="AT24" s="148">
        <v>688018</v>
      </c>
      <c r="AU24" s="148">
        <v>691925</v>
      </c>
      <c r="AV24" s="148">
        <v>704186</v>
      </c>
      <c r="AW24" s="402"/>
      <c r="AX24" s="148">
        <v>674017</v>
      </c>
    </row>
    <row r="25" spans="2:50" ht="16.5" customHeight="1">
      <c r="B25" s="163" t="s">
        <v>37</v>
      </c>
      <c r="C25" s="40">
        <v>2237788</v>
      </c>
      <c r="D25" s="40"/>
      <c r="E25" s="40">
        <v>2751255</v>
      </c>
      <c r="F25" s="40">
        <v>2220411</v>
      </c>
      <c r="G25" s="40">
        <v>2435384</v>
      </c>
      <c r="H25" s="40">
        <v>3409486</v>
      </c>
      <c r="J25" s="40">
        <v>2804196</v>
      </c>
      <c r="K25" s="40">
        <v>3410689</v>
      </c>
      <c r="L25" s="40">
        <v>4668749</v>
      </c>
      <c r="M25" s="132">
        <v>5298574</v>
      </c>
      <c r="N25" s="38">
        <f>4842947+1</f>
        <v>4842948</v>
      </c>
      <c r="P25" s="133">
        <v>5147746</v>
      </c>
      <c r="Q25" s="133">
        <v>4671225</v>
      </c>
      <c r="R25" s="133">
        <v>5169608</v>
      </c>
      <c r="S25" s="133">
        <v>4702047</v>
      </c>
      <c r="T25" s="133">
        <v>4553369</v>
      </c>
      <c r="U25" s="133">
        <v>4647798</v>
      </c>
      <c r="V25" s="133">
        <v>4638553</v>
      </c>
      <c r="X25" s="133">
        <v>7252336</v>
      </c>
      <c r="Y25" s="133">
        <v>7409157</v>
      </c>
      <c r="Z25" s="133">
        <v>7237219</v>
      </c>
      <c r="AA25" s="133">
        <v>7196127</v>
      </c>
      <c r="AB25" s="133"/>
      <c r="AC25" s="133">
        <v>6895316</v>
      </c>
      <c r="AD25" s="133">
        <v>6940394</v>
      </c>
      <c r="AE25" s="133">
        <v>6881011</v>
      </c>
      <c r="AF25" s="133">
        <v>7101499</v>
      </c>
      <c r="AG25" s="133">
        <v>7101499</v>
      </c>
      <c r="AI25" s="133">
        <v>6924103</v>
      </c>
      <c r="AJ25" s="133">
        <v>6926606</v>
      </c>
      <c r="AK25" s="133">
        <v>7117601</v>
      </c>
      <c r="AL25" s="133">
        <v>7985719</v>
      </c>
      <c r="AM25" s="133"/>
      <c r="AN25" s="133">
        <v>8589497</v>
      </c>
      <c r="AO25" s="133">
        <v>8240836</v>
      </c>
      <c r="AP25" s="133">
        <v>8263998</v>
      </c>
      <c r="AQ25" s="148">
        <v>7713637</v>
      </c>
      <c r="AR25" s="402"/>
      <c r="AS25" s="148">
        <v>7869026</v>
      </c>
      <c r="AT25" s="148">
        <v>7554862</v>
      </c>
      <c r="AU25" s="148">
        <v>7494806</v>
      </c>
      <c r="AV25" s="148">
        <v>7430883</v>
      </c>
      <c r="AW25" s="402"/>
      <c r="AX25" s="148">
        <v>6992098</v>
      </c>
    </row>
    <row r="26" spans="2:50" ht="16.5" customHeight="1">
      <c r="B26" s="18" t="s">
        <v>53</v>
      </c>
      <c r="C26" s="38">
        <v>11812193</v>
      </c>
      <c r="D26" s="38"/>
      <c r="E26" s="38">
        <v>12809441</v>
      </c>
      <c r="F26" s="38">
        <v>13268791</v>
      </c>
      <c r="G26" s="38">
        <v>12820449</v>
      </c>
      <c r="H26" s="38">
        <v>15566951</v>
      </c>
      <c r="J26" s="38">
        <v>16155449</v>
      </c>
      <c r="K26" s="38">
        <v>16238337</v>
      </c>
      <c r="L26" s="38">
        <v>17428525</v>
      </c>
      <c r="M26" s="132">
        <v>17935551</v>
      </c>
      <c r="N26" s="132">
        <v>17087908</v>
      </c>
      <c r="P26" s="133">
        <v>17484599</v>
      </c>
      <c r="Q26" s="133">
        <v>16673832</v>
      </c>
      <c r="R26" s="133">
        <v>17222744</v>
      </c>
      <c r="S26" s="133">
        <v>16447557</v>
      </c>
      <c r="T26" s="133">
        <v>17079909</v>
      </c>
      <c r="U26" s="133">
        <v>16451973</v>
      </c>
      <c r="V26" s="133">
        <v>18258476</v>
      </c>
      <c r="X26" s="133">
        <v>17933353</v>
      </c>
      <c r="Y26" s="133">
        <v>18415650</v>
      </c>
      <c r="Z26" s="133">
        <v>18125618</v>
      </c>
      <c r="AA26" s="133">
        <v>18481446</v>
      </c>
      <c r="AB26" s="133"/>
      <c r="AC26" s="133">
        <v>17804943</v>
      </c>
      <c r="AD26" s="133">
        <v>18224517</v>
      </c>
      <c r="AE26" s="133">
        <v>18354637</v>
      </c>
      <c r="AF26" s="133">
        <v>19332437</v>
      </c>
      <c r="AG26" s="133">
        <v>19332437</v>
      </c>
      <c r="AI26" s="133">
        <v>18884036</v>
      </c>
      <c r="AJ26" s="133">
        <v>20616563</v>
      </c>
      <c r="AK26" s="133">
        <v>20540962</v>
      </c>
      <c r="AL26" s="133">
        <v>19082640</v>
      </c>
      <c r="AM26" s="133"/>
      <c r="AN26" s="133">
        <v>21225828</v>
      </c>
      <c r="AO26" s="133">
        <v>20323657</v>
      </c>
      <c r="AP26" s="133">
        <v>20656340</v>
      </c>
      <c r="AQ26" s="148">
        <v>19659963</v>
      </c>
      <c r="AR26" s="402"/>
      <c r="AS26" s="148">
        <v>20572767</v>
      </c>
      <c r="AT26" s="148">
        <v>20499106</v>
      </c>
      <c r="AU26" s="148">
        <v>20985155</v>
      </c>
      <c r="AV26" s="148">
        <v>21057939</v>
      </c>
      <c r="AW26" s="402"/>
      <c r="AX26" s="148">
        <v>20557447</v>
      </c>
    </row>
    <row r="27" spans="2:50" s="295" customFormat="1" ht="16.5" customHeight="1">
      <c r="B27" s="18" t="s">
        <v>265</v>
      </c>
      <c r="C27" s="38">
        <v>0</v>
      </c>
      <c r="D27" s="38"/>
      <c r="E27" s="38">
        <v>0</v>
      </c>
      <c r="F27" s="38">
        <v>0</v>
      </c>
      <c r="G27" s="38">
        <v>0</v>
      </c>
      <c r="H27" s="38">
        <v>0</v>
      </c>
      <c r="I27" s="292"/>
      <c r="J27" s="38">
        <v>0</v>
      </c>
      <c r="K27" s="38">
        <v>0</v>
      </c>
      <c r="L27" s="38">
        <v>0</v>
      </c>
      <c r="M27" s="132">
        <v>0</v>
      </c>
      <c r="N27" s="132">
        <v>0</v>
      </c>
      <c r="P27" s="133">
        <v>0</v>
      </c>
      <c r="Q27" s="133">
        <v>0</v>
      </c>
      <c r="R27" s="133">
        <v>0</v>
      </c>
      <c r="S27" s="133">
        <v>0</v>
      </c>
      <c r="T27" s="133">
        <v>0</v>
      </c>
      <c r="U27" s="133">
        <v>0</v>
      </c>
      <c r="V27" s="133">
        <v>0</v>
      </c>
      <c r="X27" s="133">
        <v>0</v>
      </c>
      <c r="Y27" s="133">
        <v>0</v>
      </c>
      <c r="Z27" s="133">
        <v>0</v>
      </c>
      <c r="AA27" s="133">
        <v>0</v>
      </c>
      <c r="AB27" s="133"/>
      <c r="AC27" s="133">
        <v>0</v>
      </c>
      <c r="AD27" s="133">
        <v>0</v>
      </c>
      <c r="AE27" s="133">
        <v>0</v>
      </c>
      <c r="AF27" s="133">
        <v>0</v>
      </c>
      <c r="AG27" s="133">
        <v>0</v>
      </c>
      <c r="AI27" s="133">
        <v>0</v>
      </c>
      <c r="AJ27" s="133">
        <v>0</v>
      </c>
      <c r="AK27" s="133">
        <v>0</v>
      </c>
      <c r="AL27" s="133">
        <v>0</v>
      </c>
      <c r="AM27" s="133"/>
      <c r="AN27" s="133">
        <v>0</v>
      </c>
      <c r="AO27" s="133">
        <v>0</v>
      </c>
      <c r="AP27" s="133">
        <v>0</v>
      </c>
      <c r="AQ27" s="148">
        <v>0</v>
      </c>
      <c r="AR27" s="402"/>
      <c r="AS27" s="148">
        <v>0</v>
      </c>
      <c r="AT27" s="148">
        <v>0</v>
      </c>
      <c r="AU27" s="148">
        <v>0</v>
      </c>
      <c r="AV27" s="148">
        <v>0</v>
      </c>
      <c r="AW27" s="402"/>
      <c r="AX27" s="148">
        <v>0</v>
      </c>
    </row>
    <row r="28" spans="2:50" ht="16.5" customHeight="1">
      <c r="B28" s="18" t="s">
        <v>38</v>
      </c>
      <c r="C28" s="40">
        <v>1713424</v>
      </c>
      <c r="D28" s="40"/>
      <c r="E28" s="40">
        <v>1861384</v>
      </c>
      <c r="F28" s="40">
        <v>1878130</v>
      </c>
      <c r="G28" s="40">
        <v>2592574</v>
      </c>
      <c r="H28" s="40">
        <v>1721516</v>
      </c>
      <c r="J28" s="40">
        <v>1877932</v>
      </c>
      <c r="K28" s="40">
        <v>1893825</v>
      </c>
      <c r="L28" s="40">
        <v>2727437</v>
      </c>
      <c r="M28" s="132">
        <v>1669342</v>
      </c>
      <c r="N28" s="132">
        <v>2403554</v>
      </c>
      <c r="P28" s="133">
        <v>1690358</v>
      </c>
      <c r="Q28" s="133">
        <v>2410241</v>
      </c>
      <c r="R28" s="133">
        <v>1625165</v>
      </c>
      <c r="S28" s="133">
        <v>2319070</v>
      </c>
      <c r="T28" s="133">
        <v>1627804</v>
      </c>
      <c r="U28" s="133">
        <v>2324647</v>
      </c>
      <c r="V28" s="133">
        <v>2273994</v>
      </c>
      <c r="X28" s="133">
        <v>2183436</v>
      </c>
      <c r="Y28" s="133">
        <v>2167970</v>
      </c>
      <c r="Z28" s="133">
        <v>2282995</v>
      </c>
      <c r="AA28" s="133">
        <v>2203222</v>
      </c>
      <c r="AB28" s="133"/>
      <c r="AC28" s="133">
        <v>2217013</v>
      </c>
      <c r="AD28" s="133">
        <v>2224874</v>
      </c>
      <c r="AE28" s="133">
        <v>2240665</v>
      </c>
      <c r="AF28" s="133">
        <v>2298386</v>
      </c>
      <c r="AG28" s="133">
        <v>2298386</v>
      </c>
      <c r="AI28" s="133">
        <v>2330133</v>
      </c>
      <c r="AJ28" s="133">
        <v>2339892</v>
      </c>
      <c r="AK28" s="133">
        <v>2352844</v>
      </c>
      <c r="AL28" s="133">
        <v>2317216</v>
      </c>
      <c r="AM28" s="133"/>
      <c r="AN28" s="133">
        <v>2343832</v>
      </c>
      <c r="AO28" s="133">
        <v>2336459</v>
      </c>
      <c r="AP28" s="133">
        <v>2342004</v>
      </c>
      <c r="AQ28" s="148">
        <v>2280815</v>
      </c>
      <c r="AR28" s="402"/>
      <c r="AS28" s="148">
        <v>2305584</v>
      </c>
      <c r="AT28" s="148">
        <v>2319505</v>
      </c>
      <c r="AU28" s="148">
        <v>2319460</v>
      </c>
      <c r="AV28" s="148">
        <v>2352836</v>
      </c>
      <c r="AW28" s="402"/>
      <c r="AX28" s="148">
        <v>2291062</v>
      </c>
    </row>
    <row r="29" spans="2:50" s="139" customFormat="1" ht="16.5" customHeight="1">
      <c r="B29" s="18" t="s">
        <v>135</v>
      </c>
      <c r="C29" s="40">
        <v>271714</v>
      </c>
      <c r="D29" s="40"/>
      <c r="E29" s="40">
        <v>167370</v>
      </c>
      <c r="F29" s="40">
        <v>173351</v>
      </c>
      <c r="G29" s="40">
        <v>112227</v>
      </c>
      <c r="H29" s="40">
        <v>417462</v>
      </c>
      <c r="I29" s="40"/>
      <c r="J29" s="40">
        <v>525806</v>
      </c>
      <c r="K29" s="40">
        <v>209240</v>
      </c>
      <c r="L29" s="40">
        <v>412071</v>
      </c>
      <c r="M29" s="132">
        <v>769633</v>
      </c>
      <c r="N29" s="132">
        <v>767054</v>
      </c>
      <c r="P29" s="133">
        <v>743212</v>
      </c>
      <c r="Q29" s="133">
        <v>740683</v>
      </c>
      <c r="R29" s="133">
        <v>743402</v>
      </c>
      <c r="S29" s="133">
        <v>740873</v>
      </c>
      <c r="T29" s="133">
        <v>715743</v>
      </c>
      <c r="U29" s="133">
        <v>715743</v>
      </c>
      <c r="V29" s="133">
        <v>758382</v>
      </c>
      <c r="X29" s="133">
        <v>746592</v>
      </c>
      <c r="Y29" s="133">
        <v>760516</v>
      </c>
      <c r="Z29" s="133">
        <v>725115</v>
      </c>
      <c r="AA29" s="133">
        <v>573316</v>
      </c>
      <c r="AB29" s="133"/>
      <c r="AC29" s="133">
        <v>419998</v>
      </c>
      <c r="AD29" s="133">
        <v>472307</v>
      </c>
      <c r="AE29" s="133">
        <v>541332</v>
      </c>
      <c r="AF29" s="133">
        <v>555133</v>
      </c>
      <c r="AG29" s="133">
        <v>515693</v>
      </c>
      <c r="AH29" s="289"/>
      <c r="AI29" s="133">
        <v>569084</v>
      </c>
      <c r="AJ29" s="133">
        <v>553460</v>
      </c>
      <c r="AK29" s="133">
        <v>578496</v>
      </c>
      <c r="AL29" s="133">
        <v>332321</v>
      </c>
      <c r="AM29" s="133"/>
      <c r="AN29" s="133">
        <v>539515</v>
      </c>
      <c r="AO29" s="133">
        <v>569749</v>
      </c>
      <c r="AP29" s="133">
        <v>567450</v>
      </c>
      <c r="AQ29" s="148">
        <v>388664</v>
      </c>
      <c r="AR29" s="402"/>
      <c r="AS29" s="148">
        <v>397401</v>
      </c>
      <c r="AT29" s="148">
        <v>383622</v>
      </c>
      <c r="AU29" s="148">
        <v>430793</v>
      </c>
      <c r="AV29" s="148">
        <v>400299</v>
      </c>
      <c r="AW29" s="402"/>
      <c r="AX29" s="148">
        <v>391973</v>
      </c>
    </row>
    <row r="30" spans="2:50" s="139" customFormat="1" ht="16.5" customHeight="1">
      <c r="B30" s="163" t="s">
        <v>131</v>
      </c>
      <c r="C30" s="40">
        <v>61767</v>
      </c>
      <c r="D30" s="40"/>
      <c r="E30" s="40">
        <v>58571</v>
      </c>
      <c r="F30" s="40">
        <v>40591</v>
      </c>
      <c r="G30" s="40">
        <v>60006</v>
      </c>
      <c r="H30" s="40">
        <v>66970</v>
      </c>
      <c r="I30" s="40"/>
      <c r="J30" s="40">
        <v>58855</v>
      </c>
      <c r="K30" s="40">
        <v>18921</v>
      </c>
      <c r="L30" s="40">
        <v>18921</v>
      </c>
      <c r="M30" s="132">
        <v>20243</v>
      </c>
      <c r="N30" s="132">
        <v>20243</v>
      </c>
      <c r="P30" s="133">
        <v>20242</v>
      </c>
      <c r="Q30" s="133">
        <v>20242</v>
      </c>
      <c r="R30" s="133">
        <v>20242</v>
      </c>
      <c r="S30" s="133">
        <v>20242</v>
      </c>
      <c r="T30" s="133">
        <v>20242</v>
      </c>
      <c r="U30" s="133">
        <v>20242</v>
      </c>
      <c r="V30" s="133">
        <v>20870</v>
      </c>
      <c r="X30" s="133">
        <v>20870</v>
      </c>
      <c r="Y30" s="133">
        <v>20870</v>
      </c>
      <c r="Z30" s="133">
        <v>54414</v>
      </c>
      <c r="AA30" s="133">
        <v>54129</v>
      </c>
      <c r="AB30" s="133"/>
      <c r="AC30" s="133">
        <v>55109</v>
      </c>
      <c r="AD30" s="133">
        <v>55427</v>
      </c>
      <c r="AE30" s="133">
        <v>45945</v>
      </c>
      <c r="AF30" s="133">
        <v>48225</v>
      </c>
      <c r="AG30" s="133">
        <v>48225</v>
      </c>
      <c r="AH30" s="289"/>
      <c r="AI30" s="133">
        <v>47262</v>
      </c>
      <c r="AJ30" s="133">
        <v>46974</v>
      </c>
      <c r="AK30" s="133">
        <v>45919</v>
      </c>
      <c r="AL30" s="133">
        <v>48444</v>
      </c>
      <c r="AM30" s="133"/>
      <c r="AN30" s="133">
        <v>50533</v>
      </c>
      <c r="AO30" s="133">
        <v>50211</v>
      </c>
      <c r="AP30" s="133">
        <v>49675</v>
      </c>
      <c r="AQ30" s="148">
        <v>53721</v>
      </c>
      <c r="AR30" s="402"/>
      <c r="AS30" s="148">
        <v>54700</v>
      </c>
      <c r="AT30" s="148">
        <v>54786</v>
      </c>
      <c r="AU30" s="148">
        <v>54729</v>
      </c>
      <c r="AV30" s="148">
        <v>56866</v>
      </c>
      <c r="AW30" s="402"/>
      <c r="AX30" s="148">
        <v>56632</v>
      </c>
    </row>
    <row r="31" spans="2:50" s="142" customFormat="1" ht="16.5" customHeight="1">
      <c r="B31" s="163" t="s">
        <v>136</v>
      </c>
      <c r="C31" s="38">
        <v>2272</v>
      </c>
      <c r="D31" s="38"/>
      <c r="E31" s="38">
        <v>3294</v>
      </c>
      <c r="F31" s="38">
        <v>-14</v>
      </c>
      <c r="G31" s="38">
        <v>8738</v>
      </c>
      <c r="H31" s="38">
        <v>168</v>
      </c>
      <c r="I31" s="140"/>
      <c r="J31" s="38">
        <v>0</v>
      </c>
      <c r="K31" s="38">
        <v>0</v>
      </c>
      <c r="L31" s="38">
        <v>16436</v>
      </c>
      <c r="M31" s="132">
        <v>324</v>
      </c>
      <c r="N31" s="132">
        <v>324</v>
      </c>
      <c r="P31" s="133">
        <v>0</v>
      </c>
      <c r="Q31" s="133">
        <v>0</v>
      </c>
      <c r="R31" s="133">
        <v>0</v>
      </c>
      <c r="S31" s="133">
        <v>0</v>
      </c>
      <c r="T31" s="133">
        <v>0</v>
      </c>
      <c r="U31" s="133">
        <v>0</v>
      </c>
      <c r="V31" s="133">
        <v>650</v>
      </c>
      <c r="X31" s="133">
        <v>701</v>
      </c>
      <c r="Y31" s="133">
        <v>548</v>
      </c>
      <c r="Z31" s="133">
        <v>563</v>
      </c>
      <c r="AA31" s="133">
        <v>2533</v>
      </c>
      <c r="AB31" s="133"/>
      <c r="AC31" s="133">
        <v>8278</v>
      </c>
      <c r="AD31" s="133">
        <v>10384</v>
      </c>
      <c r="AE31" s="133">
        <v>11024</v>
      </c>
      <c r="AF31" s="133">
        <v>309</v>
      </c>
      <c r="AG31" s="133">
        <v>309</v>
      </c>
      <c r="AH31" s="289"/>
      <c r="AI31" s="133">
        <v>0</v>
      </c>
      <c r="AJ31" s="133">
        <v>0</v>
      </c>
      <c r="AK31" s="133">
        <v>715</v>
      </c>
      <c r="AL31" s="133">
        <v>3675</v>
      </c>
      <c r="AM31" s="133"/>
      <c r="AN31" s="133">
        <v>0</v>
      </c>
      <c r="AO31" s="133">
        <v>0</v>
      </c>
      <c r="AP31" s="133">
        <v>4546</v>
      </c>
      <c r="AQ31" s="148">
        <v>0</v>
      </c>
      <c r="AR31" s="402"/>
      <c r="AS31" s="148">
        <v>2292</v>
      </c>
      <c r="AT31" s="148">
        <v>15578</v>
      </c>
      <c r="AU31" s="148">
        <v>15690</v>
      </c>
      <c r="AV31" s="148">
        <v>15974</v>
      </c>
      <c r="AW31" s="402"/>
      <c r="AX31" s="148">
        <v>21352</v>
      </c>
    </row>
    <row r="32" spans="2:50" s="295" customFormat="1" ht="16.5" customHeight="1">
      <c r="B32" s="18" t="s">
        <v>155</v>
      </c>
      <c r="C32" s="40">
        <v>0</v>
      </c>
      <c r="D32" s="40"/>
      <c r="E32" s="40">
        <v>0</v>
      </c>
      <c r="F32" s="40">
        <v>0</v>
      </c>
      <c r="G32" s="40">
        <v>0</v>
      </c>
      <c r="H32" s="40">
        <v>0</v>
      </c>
      <c r="I32" s="292"/>
      <c r="J32" s="40">
        <v>0</v>
      </c>
      <c r="K32" s="40">
        <v>0</v>
      </c>
      <c r="L32" s="40">
        <v>0</v>
      </c>
      <c r="M32" s="132">
        <v>10019</v>
      </c>
      <c r="N32" s="132">
        <v>10019</v>
      </c>
      <c r="P32" s="133">
        <v>9650</v>
      </c>
      <c r="Q32" s="133">
        <v>9650</v>
      </c>
      <c r="R32" s="133">
        <v>0</v>
      </c>
      <c r="S32" s="133">
        <v>0</v>
      </c>
      <c r="T32" s="133">
        <v>0</v>
      </c>
      <c r="U32" s="133">
        <v>0</v>
      </c>
      <c r="V32" s="133">
        <v>0</v>
      </c>
      <c r="X32" s="133">
        <v>0</v>
      </c>
      <c r="Y32" s="133">
        <v>0</v>
      </c>
      <c r="Z32" s="133">
        <v>0</v>
      </c>
      <c r="AA32" s="133">
        <v>0</v>
      </c>
      <c r="AB32" s="133"/>
      <c r="AC32" s="133">
        <v>0</v>
      </c>
      <c r="AD32" s="133">
        <v>0</v>
      </c>
      <c r="AE32" s="133">
        <v>0</v>
      </c>
      <c r="AF32" s="133">
        <v>0</v>
      </c>
      <c r="AG32" s="133">
        <v>0</v>
      </c>
      <c r="AI32" s="133">
        <v>0</v>
      </c>
      <c r="AJ32" s="133">
        <v>0</v>
      </c>
      <c r="AK32" s="133">
        <v>0</v>
      </c>
      <c r="AL32" s="133">
        <v>0</v>
      </c>
      <c r="AM32" s="133"/>
      <c r="AN32" s="133">
        <v>0</v>
      </c>
      <c r="AO32" s="133">
        <v>0</v>
      </c>
      <c r="AP32" s="133">
        <v>0</v>
      </c>
      <c r="AQ32" s="148">
        <v>0</v>
      </c>
      <c r="AR32" s="402"/>
      <c r="AS32" s="148">
        <v>0</v>
      </c>
      <c r="AT32" s="148">
        <v>0</v>
      </c>
      <c r="AU32" s="148">
        <v>0</v>
      </c>
      <c r="AV32" s="148">
        <v>0</v>
      </c>
      <c r="AW32" s="402"/>
      <c r="AX32" s="148">
        <v>0</v>
      </c>
    </row>
    <row r="33" spans="1:50">
      <c r="B33" s="163" t="s">
        <v>157</v>
      </c>
      <c r="C33" s="40">
        <v>8897</v>
      </c>
      <c r="D33" s="40"/>
      <c r="E33" s="40">
        <v>11471</v>
      </c>
      <c r="F33" s="40">
        <f>12131-1</f>
        <v>12130</v>
      </c>
      <c r="G33" s="40">
        <f>12457-1</f>
        <v>12456</v>
      </c>
      <c r="H33" s="40">
        <v>7409</v>
      </c>
      <c r="J33" s="40">
        <f>8720-1</f>
        <v>8719</v>
      </c>
      <c r="K33" s="40">
        <v>7936</v>
      </c>
      <c r="L33" s="40">
        <v>21769</v>
      </c>
      <c r="M33" s="132">
        <v>12631</v>
      </c>
      <c r="N33" s="132">
        <f>12614+6515</f>
        <v>19129</v>
      </c>
      <c r="P33" s="133">
        <v>23927</v>
      </c>
      <c r="Q33" s="133">
        <v>23927</v>
      </c>
      <c r="R33" s="133">
        <v>22962</v>
      </c>
      <c r="S33" s="133">
        <v>22962</v>
      </c>
      <c r="T33" s="133">
        <v>29701</v>
      </c>
      <c r="U33" s="133">
        <v>29701</v>
      </c>
      <c r="V33" s="133">
        <f>11825+6515</f>
        <v>18340</v>
      </c>
      <c r="X33" s="133">
        <v>34429</v>
      </c>
      <c r="Y33" s="133">
        <v>32531</v>
      </c>
      <c r="Z33" s="133">
        <v>30597</v>
      </c>
      <c r="AA33" s="133">
        <v>23678</v>
      </c>
      <c r="AB33" s="133"/>
      <c r="AC33" s="133">
        <v>21330</v>
      </c>
      <c r="AD33" s="133">
        <v>19885</v>
      </c>
      <c r="AE33" s="133">
        <v>11582</v>
      </c>
      <c r="AF33" s="133">
        <v>11137</v>
      </c>
      <c r="AG33" s="133">
        <v>11137</v>
      </c>
      <c r="AI33" s="133">
        <v>8536</v>
      </c>
      <c r="AJ33" s="133">
        <v>7005</v>
      </c>
      <c r="AK33" s="133">
        <v>7494</v>
      </c>
      <c r="AL33" s="133">
        <v>120140</v>
      </c>
      <c r="AM33" s="133"/>
      <c r="AN33" s="133">
        <v>126913</v>
      </c>
      <c r="AO33" s="133">
        <v>113488</v>
      </c>
      <c r="AP33" s="133">
        <v>117153</v>
      </c>
      <c r="AQ33" s="148">
        <v>105891</v>
      </c>
      <c r="AR33" s="402"/>
      <c r="AS33" s="148">
        <v>115293</v>
      </c>
      <c r="AT33" s="148">
        <v>116149</v>
      </c>
      <c r="AU33" s="148">
        <v>121325</v>
      </c>
      <c r="AV33" s="148">
        <v>122946</v>
      </c>
      <c r="AW33" s="402"/>
      <c r="AX33" s="148">
        <v>116476</v>
      </c>
    </row>
    <row r="34" spans="1:50" ht="7.5" customHeight="1">
      <c r="B34" s="18"/>
      <c r="C34" s="39"/>
      <c r="D34" s="39"/>
      <c r="E34" s="39"/>
      <c r="F34" s="39"/>
      <c r="G34" s="39"/>
      <c r="H34" s="39"/>
      <c r="J34" s="39"/>
      <c r="K34" s="39"/>
      <c r="L34" s="39"/>
      <c r="M34" s="39"/>
      <c r="N34" s="39"/>
      <c r="P34" s="30"/>
      <c r="Q34" s="30"/>
      <c r="R34" s="30"/>
      <c r="S34" s="30"/>
      <c r="T34" s="30"/>
      <c r="U34" s="30"/>
      <c r="V34" s="30"/>
      <c r="X34" s="30"/>
      <c r="Y34" s="30"/>
      <c r="Z34" s="30"/>
      <c r="AA34" s="30"/>
      <c r="AB34" s="30"/>
      <c r="AC34" s="30"/>
      <c r="AD34" s="30"/>
      <c r="AE34" s="30"/>
      <c r="AF34" s="30"/>
      <c r="AG34" s="30"/>
      <c r="AI34" s="30"/>
      <c r="AJ34" s="30"/>
      <c r="AK34" s="30"/>
      <c r="AL34" s="30"/>
      <c r="AM34" s="30"/>
      <c r="AN34" s="30"/>
      <c r="AO34" s="30"/>
      <c r="AP34" s="30"/>
      <c r="AQ34" s="301"/>
      <c r="AR34" s="402"/>
      <c r="AS34" s="301"/>
      <c r="AT34" s="301"/>
      <c r="AU34" s="301"/>
      <c r="AV34" s="301"/>
      <c r="AW34" s="402"/>
      <c r="AX34" s="301"/>
    </row>
    <row r="35" spans="1:50" ht="13">
      <c r="B35" s="32" t="s">
        <v>54</v>
      </c>
      <c r="C35" s="33">
        <f>SUM(C21:C34)</f>
        <v>24800529</v>
      </c>
      <c r="D35" s="33"/>
      <c r="E35" s="33">
        <f>SUM(E21:E34)</f>
        <v>26647898</v>
      </c>
      <c r="F35" s="33">
        <f>SUM(F21:F34)</f>
        <v>27347775</v>
      </c>
      <c r="G35" s="33">
        <f>SUM(G21:G34)</f>
        <v>27296856</v>
      </c>
      <c r="H35" s="33">
        <f>SUM(H21:H34)</f>
        <v>30562865</v>
      </c>
      <c r="I35" s="29"/>
      <c r="J35" s="33">
        <f>SUM(J21:J34)</f>
        <v>29761991</v>
      </c>
      <c r="K35" s="33">
        <f>SUM(K21:K34)</f>
        <v>31238081</v>
      </c>
      <c r="L35" s="33">
        <f>SUM(L21:L34)</f>
        <v>34753986</v>
      </c>
      <c r="M35" s="33">
        <f>SUM(M21:M34)</f>
        <v>36107042</v>
      </c>
      <c r="N35" s="33">
        <f>SUM(N21:N34)</f>
        <v>36549252</v>
      </c>
      <c r="P35" s="33">
        <f t="shared" ref="P35:V35" si="8">SUM(P21:P34)</f>
        <v>35545446</v>
      </c>
      <c r="Q35" s="33">
        <f t="shared" si="8"/>
        <v>35950731</v>
      </c>
      <c r="R35" s="33">
        <f t="shared" si="8"/>
        <v>36057831</v>
      </c>
      <c r="S35" s="33">
        <f t="shared" si="8"/>
        <v>36450546</v>
      </c>
      <c r="T35" s="33">
        <f t="shared" si="8"/>
        <v>36250457</v>
      </c>
      <c r="U35" s="33">
        <f t="shared" si="8"/>
        <v>36301623</v>
      </c>
      <c r="V35" s="33">
        <f t="shared" si="8"/>
        <v>38497982</v>
      </c>
      <c r="X35" s="33">
        <f>SUM(X21:X34)</f>
        <v>39934961</v>
      </c>
      <c r="Y35" s="33">
        <f>SUM(Y21:Y34)</f>
        <v>40901418</v>
      </c>
      <c r="Z35" s="33">
        <f>SUM(Z21:Z34)</f>
        <v>40285537</v>
      </c>
      <c r="AA35" s="33">
        <f>SUM(AA21:AA34)</f>
        <v>40817829</v>
      </c>
      <c r="AB35" s="33"/>
      <c r="AC35" s="33">
        <f>SUM(AC21:AC34)</f>
        <v>39217002</v>
      </c>
      <c r="AD35" s="33">
        <f>SUM(AD21:AD34)</f>
        <v>40077684</v>
      </c>
      <c r="AE35" s="33">
        <f>SUM(AE21:AE34)</f>
        <v>40357099</v>
      </c>
      <c r="AF35" s="33">
        <f>SUM(AF21:AF34)</f>
        <v>41862398</v>
      </c>
      <c r="AG35" s="33">
        <f>SUM(AG21:AG34)</f>
        <v>41822958</v>
      </c>
      <c r="AI35" s="33">
        <v>42446939</v>
      </c>
      <c r="AJ35" s="33">
        <v>44344491</v>
      </c>
      <c r="AK35" s="33">
        <v>45345523</v>
      </c>
      <c r="AL35" s="33">
        <v>43698302</v>
      </c>
      <c r="AM35" s="33"/>
      <c r="AN35" s="33">
        <v>47235437</v>
      </c>
      <c r="AO35" s="33">
        <v>45502224</v>
      </c>
      <c r="AP35" s="33">
        <v>46568719</v>
      </c>
      <c r="AQ35" s="329">
        <f>SUM(AQ21:AQ34)</f>
        <v>44107516</v>
      </c>
      <c r="AR35" s="402"/>
      <c r="AS35" s="329">
        <f>SUM(AS21:AS34)</f>
        <v>45578498</v>
      </c>
      <c r="AT35" s="329">
        <f>SUM(AT21:AT34)</f>
        <v>45381668</v>
      </c>
      <c r="AU35" s="329">
        <f>SUM(AU21:AU34)</f>
        <v>45898748</v>
      </c>
      <c r="AV35" s="329">
        <f>SUM(AV21:AV34)</f>
        <v>44600087</v>
      </c>
      <c r="AW35" s="402"/>
      <c r="AX35" s="329">
        <f>SUM(AX21:AX34)</f>
        <v>44369238</v>
      </c>
    </row>
    <row r="36" spans="1:50" ht="5.25" customHeight="1">
      <c r="B36" s="18"/>
      <c r="C36" s="39"/>
      <c r="D36" s="39"/>
      <c r="E36" s="39"/>
      <c r="F36" s="39"/>
      <c r="G36" s="39"/>
      <c r="H36" s="39"/>
      <c r="J36" s="39"/>
      <c r="K36" s="39"/>
      <c r="L36" s="39"/>
      <c r="M36" s="39"/>
      <c r="N36" s="39"/>
      <c r="P36" s="30"/>
      <c r="Q36" s="30"/>
      <c r="R36" s="30"/>
      <c r="S36" s="30"/>
      <c r="T36" s="30"/>
      <c r="U36" s="30"/>
      <c r="V36" s="30"/>
      <c r="X36" s="30"/>
      <c r="Y36" s="30"/>
      <c r="Z36" s="30"/>
      <c r="AA36" s="30"/>
      <c r="AB36" s="30"/>
      <c r="AC36" s="30"/>
      <c r="AD36" s="30"/>
      <c r="AE36" s="30"/>
      <c r="AF36" s="30"/>
      <c r="AG36" s="30"/>
      <c r="AI36" s="30"/>
      <c r="AJ36" s="30"/>
      <c r="AK36" s="30"/>
      <c r="AL36" s="30"/>
      <c r="AM36" s="30"/>
      <c r="AN36" s="30"/>
      <c r="AO36" s="30"/>
      <c r="AP36" s="30"/>
      <c r="AQ36" s="301"/>
      <c r="AR36" s="402"/>
      <c r="AS36" s="301"/>
      <c r="AT36" s="301"/>
      <c r="AU36" s="301"/>
      <c r="AV36" s="301"/>
      <c r="AW36" s="402"/>
      <c r="AX36" s="301"/>
    </row>
    <row r="37" spans="1:50" ht="16.5" customHeight="1">
      <c r="B37" s="47" t="s">
        <v>55</v>
      </c>
      <c r="C37" s="50">
        <f>+C19+C35</f>
        <v>27984896</v>
      </c>
      <c r="D37" s="50"/>
      <c r="E37" s="50">
        <f>+E19+E35</f>
        <v>30798667</v>
      </c>
      <c r="F37" s="50">
        <f>+F19+F35</f>
        <v>31438743</v>
      </c>
      <c r="G37" s="50">
        <f>+G19+G35</f>
        <v>31799673</v>
      </c>
      <c r="H37" s="50">
        <f>+H19+H35</f>
        <v>34299484</v>
      </c>
      <c r="I37" s="49"/>
      <c r="J37" s="50">
        <f>+J19+J35</f>
        <v>34136094</v>
      </c>
      <c r="K37" s="50">
        <f>+K19+K35</f>
        <v>35244308</v>
      </c>
      <c r="L37" s="50">
        <f>+L19+L35</f>
        <v>40107016</v>
      </c>
      <c r="M37" s="50">
        <f>+M19+M35</f>
        <v>41775013</v>
      </c>
      <c r="N37" s="50">
        <f>+N19+N35</f>
        <v>42080401</v>
      </c>
      <c r="P37" s="50">
        <f t="shared" ref="P37:V37" si="9">+P19+P35</f>
        <v>41561107</v>
      </c>
      <c r="Q37" s="50">
        <f t="shared" si="9"/>
        <v>41871652</v>
      </c>
      <c r="R37" s="50">
        <f t="shared" si="9"/>
        <v>41943681</v>
      </c>
      <c r="S37" s="50">
        <f t="shared" si="9"/>
        <v>42241655</v>
      </c>
      <c r="T37" s="50">
        <f t="shared" si="9"/>
        <v>42536797</v>
      </c>
      <c r="U37" s="50">
        <f t="shared" si="9"/>
        <v>42487715</v>
      </c>
      <c r="V37" s="50">
        <f t="shared" si="9"/>
        <v>44749574</v>
      </c>
      <c r="X37" s="50">
        <f>+X19+X35</f>
        <v>47016433</v>
      </c>
      <c r="Y37" s="50">
        <f>+Y19+Y35</f>
        <v>47714519</v>
      </c>
      <c r="Z37" s="50">
        <f>+Z19+Z35</f>
        <v>47163880</v>
      </c>
      <c r="AA37" s="50">
        <f>+AA19+AA35</f>
        <v>47567948</v>
      </c>
      <c r="AB37" s="33"/>
      <c r="AC37" s="50">
        <f>+AC19+AC35</f>
        <v>45723958</v>
      </c>
      <c r="AD37" s="50">
        <f>+AD19+AD35</f>
        <v>46769908</v>
      </c>
      <c r="AE37" s="50">
        <f>+AE19+AE35</f>
        <v>46906935</v>
      </c>
      <c r="AF37" s="50">
        <f>+AF19+AF35</f>
        <v>48714353</v>
      </c>
      <c r="AG37" s="33">
        <f>+AG19+AG35</f>
        <v>48647882</v>
      </c>
      <c r="AI37" s="50">
        <v>49210806</v>
      </c>
      <c r="AJ37" s="50">
        <v>51285426</v>
      </c>
      <c r="AK37" s="33">
        <v>52739611</v>
      </c>
      <c r="AL37" s="33">
        <v>50825141</v>
      </c>
      <c r="AM37" s="33"/>
      <c r="AN37" s="33">
        <v>55779735</v>
      </c>
      <c r="AO37" s="33">
        <v>53912319</v>
      </c>
      <c r="AP37" s="33">
        <v>54272004</v>
      </c>
      <c r="AQ37" s="329">
        <f>+AQ19+AQ35</f>
        <v>50773567</v>
      </c>
      <c r="AR37" s="402"/>
      <c r="AS37" s="329">
        <f>+AS19+AS35</f>
        <v>52829868</v>
      </c>
      <c r="AT37" s="329">
        <f>+AT19+AT35</f>
        <v>52551734</v>
      </c>
      <c r="AU37" s="329">
        <f>+AU19+AU35</f>
        <v>53183135</v>
      </c>
      <c r="AV37" s="329">
        <f>+AV19+AV35</f>
        <v>52589344</v>
      </c>
      <c r="AW37" s="402"/>
      <c r="AX37" s="329">
        <f>+AX19+AX35</f>
        <v>52018469</v>
      </c>
    </row>
    <row r="38" spans="1:50" ht="16.5" customHeight="1">
      <c r="B38" s="51" t="s">
        <v>48</v>
      </c>
      <c r="C38" s="52">
        <f>+C37/C94</f>
        <v>14523.801269442556</v>
      </c>
      <c r="D38" s="52"/>
      <c r="E38" s="52">
        <f>+E37/E94</f>
        <v>15671.069851220158</v>
      </c>
      <c r="F38" s="52">
        <f>+F37/F94</f>
        <v>16712.157198369117</v>
      </c>
      <c r="G38" s="52">
        <f>+G37/G94</f>
        <v>15676.601691907241</v>
      </c>
      <c r="H38" s="52">
        <f>+H37/H94</f>
        <v>14336.492146159184</v>
      </c>
      <c r="I38" s="53"/>
      <c r="J38" s="52">
        <f>+J37/J94</f>
        <v>13251.332078181711</v>
      </c>
      <c r="K38" s="52">
        <f>+K37/K94</f>
        <v>13633.581549721288</v>
      </c>
      <c r="L38" s="52">
        <f>+L37/L94</f>
        <v>12846.824730776376</v>
      </c>
      <c r="M38" s="52">
        <f>+M37/M94</f>
        <v>13264.140633185902</v>
      </c>
      <c r="N38" s="52">
        <f>+N37/N94</f>
        <v>13361.10551934135</v>
      </c>
      <c r="P38" s="52">
        <f t="shared" ref="P38:V38" si="10">+P37/P94</f>
        <v>13751.255480007279</v>
      </c>
      <c r="Q38" s="52">
        <f t="shared" si="10"/>
        <v>13854.004996112297</v>
      </c>
      <c r="R38" s="52">
        <f t="shared" si="10"/>
        <v>14383.238516537214</v>
      </c>
      <c r="S38" s="52">
        <f t="shared" si="10"/>
        <v>14485.419131388988</v>
      </c>
      <c r="T38" s="52">
        <f t="shared" si="10"/>
        <v>14769.977603777845</v>
      </c>
      <c r="U38" s="52">
        <f t="shared" si="10"/>
        <v>14752.934946787271</v>
      </c>
      <c r="V38" s="52">
        <f t="shared" si="10"/>
        <v>14912.995257788989</v>
      </c>
      <c r="X38" s="52">
        <f>+X37/X94</f>
        <v>16323.790031386274</v>
      </c>
      <c r="Y38" s="52">
        <f>+Y37/Y94</f>
        <v>15704.554251446551</v>
      </c>
      <c r="Z38" s="52">
        <f>+Z37/Z94</f>
        <v>16060.326832773175</v>
      </c>
      <c r="AA38" s="52">
        <f>+AA37/AA94</f>
        <v>15941.001340482573</v>
      </c>
      <c r="AB38" s="178"/>
      <c r="AC38" s="52">
        <f>+AC37/AC94</f>
        <v>16444.686689660382</v>
      </c>
      <c r="AD38" s="52">
        <f>+AD37/AD94</f>
        <v>15958.068786679403</v>
      </c>
      <c r="AE38" s="52">
        <f>+AE37/AE94</f>
        <v>15781.996716215035</v>
      </c>
      <c r="AF38" s="52">
        <f>+AF37/AF94</f>
        <v>14990.18478344488</v>
      </c>
      <c r="AG38" s="178">
        <f>+AG37/AG94</f>
        <v>14969.730594661129</v>
      </c>
      <c r="AI38" s="52">
        <v>15500.491686064275</v>
      </c>
      <c r="AJ38" s="52">
        <v>15998.348551160911</v>
      </c>
      <c r="AK38" s="178">
        <v>15233.812438438941</v>
      </c>
      <c r="AL38" s="178">
        <v>15508.99290234778</v>
      </c>
      <c r="AM38" s="178"/>
      <c r="AN38" s="178">
        <v>13722.593429951216</v>
      </c>
      <c r="AO38" s="178">
        <v>14342.540523715652</v>
      </c>
      <c r="AP38" s="178">
        <v>13991.452303979953</v>
      </c>
      <c r="AQ38" s="403">
        <f>+AQ37/AQ94</f>
        <v>14792.00786598689</v>
      </c>
      <c r="AR38" s="402"/>
      <c r="AS38" s="403">
        <f>+AS37/AS94</f>
        <v>14137.313448811987</v>
      </c>
      <c r="AT38" s="403">
        <f>+AT37/AT94</f>
        <v>13988.914118088625</v>
      </c>
      <c r="AU38" s="403">
        <f>+AU37/AU94</f>
        <v>13868.989068188219</v>
      </c>
      <c r="AV38" s="403">
        <f>+AV37/AV94</f>
        <v>13209.552994604588</v>
      </c>
      <c r="AW38" s="402"/>
      <c r="AX38" s="403">
        <f>+AX37/AX94</f>
        <v>13878.438429625281</v>
      </c>
    </row>
    <row r="39" spans="1:50" ht="6.75" customHeight="1">
      <c r="C39" s="36"/>
      <c r="D39" s="36"/>
      <c r="J39" s="36"/>
      <c r="K39" s="36"/>
      <c r="L39" s="36"/>
      <c r="M39" s="36"/>
      <c r="N39" s="36"/>
      <c r="P39" s="179"/>
      <c r="Q39" s="179"/>
      <c r="R39" s="179"/>
      <c r="S39" s="179"/>
      <c r="T39" s="179"/>
      <c r="U39" s="179"/>
      <c r="V39" s="179"/>
      <c r="X39" s="179"/>
      <c r="Y39" s="179"/>
      <c r="Z39" s="179"/>
      <c r="AA39" s="179"/>
      <c r="AB39" s="179"/>
      <c r="AC39" s="179"/>
      <c r="AD39" s="179"/>
      <c r="AE39" s="179"/>
      <c r="AF39" s="179"/>
      <c r="AG39" s="179"/>
      <c r="AI39" s="179"/>
      <c r="AJ39" s="179"/>
      <c r="AK39" s="179"/>
      <c r="AL39" s="179"/>
      <c r="AM39" s="179"/>
      <c r="AN39" s="179"/>
      <c r="AO39" s="179"/>
      <c r="AP39" s="179"/>
      <c r="AQ39" s="299"/>
      <c r="AR39" s="402"/>
      <c r="AS39" s="299"/>
      <c r="AT39" s="299"/>
      <c r="AU39" s="299"/>
      <c r="AV39" s="299"/>
      <c r="AW39" s="402"/>
      <c r="AX39" s="299"/>
    </row>
    <row r="40" spans="1:50" ht="16.5" customHeight="1">
      <c r="B40" s="15" t="s">
        <v>33</v>
      </c>
      <c r="C40" s="38">
        <f>754243+12435</f>
        <v>766678</v>
      </c>
      <c r="D40" s="38"/>
      <c r="E40" s="38">
        <v>1269387</v>
      </c>
      <c r="F40" s="38">
        <v>2666188</v>
      </c>
      <c r="G40" s="38">
        <v>1469420</v>
      </c>
      <c r="H40" s="38">
        <v>1594526</v>
      </c>
      <c r="I40" s="29"/>
      <c r="J40" s="38">
        <v>1999345</v>
      </c>
      <c r="K40" s="38">
        <v>2021761</v>
      </c>
      <c r="L40" s="38">
        <v>2828910</v>
      </c>
      <c r="M40" s="132">
        <v>3305497</v>
      </c>
      <c r="N40" s="132">
        <v>3264839</v>
      </c>
      <c r="P40" s="133">
        <v>3167340</v>
      </c>
      <c r="Q40" s="133">
        <v>3167340</v>
      </c>
      <c r="R40" s="133">
        <v>2646179</v>
      </c>
      <c r="S40" s="133">
        <v>2646179</v>
      </c>
      <c r="T40" s="133">
        <v>2433539</v>
      </c>
      <c r="U40" s="133">
        <v>2433539</v>
      </c>
      <c r="V40" s="133">
        <v>3407874</v>
      </c>
      <c r="X40" s="133">
        <v>4568190</v>
      </c>
      <c r="Y40" s="133">
        <v>3908209</v>
      </c>
      <c r="Z40" s="133">
        <v>3867304</v>
      </c>
      <c r="AA40" s="133">
        <v>2874332</v>
      </c>
      <c r="AB40" s="133"/>
      <c r="AC40" s="133">
        <v>3280206</v>
      </c>
      <c r="AD40" s="133">
        <v>3385004</v>
      </c>
      <c r="AE40" s="133">
        <v>3705938</v>
      </c>
      <c r="AF40" s="133">
        <f>2613134-1</f>
        <v>2613133</v>
      </c>
      <c r="AG40" s="133">
        <f>2613134-1</f>
        <v>2613133</v>
      </c>
      <c r="AI40" s="133">
        <v>3147152</v>
      </c>
      <c r="AJ40" s="133">
        <v>3231081</v>
      </c>
      <c r="AK40" s="133">
        <v>2792083</v>
      </c>
      <c r="AL40" s="133">
        <v>1587714</v>
      </c>
      <c r="AM40" s="133"/>
      <c r="AN40" s="133">
        <v>2348069</v>
      </c>
      <c r="AO40" s="133">
        <v>2904914</v>
      </c>
      <c r="AP40" s="133">
        <v>2135593</v>
      </c>
      <c r="AQ40" s="148">
        <v>1741257</v>
      </c>
      <c r="AR40" s="402"/>
      <c r="AS40" s="148">
        <v>1712248</v>
      </c>
      <c r="AT40" s="148">
        <v>2538565</v>
      </c>
      <c r="AU40" s="148">
        <v>2576395</v>
      </c>
      <c r="AV40" s="148">
        <v>2628060</v>
      </c>
      <c r="AW40" s="402"/>
      <c r="AX40" s="148">
        <v>2159686</v>
      </c>
    </row>
    <row r="41" spans="1:50" s="295" customFormat="1" ht="16.5" customHeight="1">
      <c r="B41" s="15" t="s">
        <v>257</v>
      </c>
      <c r="C41" s="38">
        <v>0</v>
      </c>
      <c r="D41" s="38"/>
      <c r="E41" s="38">
        <v>0</v>
      </c>
      <c r="F41" s="38">
        <v>0</v>
      </c>
      <c r="G41" s="38">
        <v>0</v>
      </c>
      <c r="H41" s="38">
        <v>0</v>
      </c>
      <c r="I41" s="141"/>
      <c r="J41" s="38">
        <v>0</v>
      </c>
      <c r="K41" s="38">
        <v>0</v>
      </c>
      <c r="L41" s="38">
        <v>0</v>
      </c>
      <c r="M41" s="132">
        <v>0</v>
      </c>
      <c r="N41" s="132">
        <v>0</v>
      </c>
      <c r="P41" s="133">
        <v>0</v>
      </c>
      <c r="Q41" s="133">
        <v>0</v>
      </c>
      <c r="R41" s="133">
        <v>0</v>
      </c>
      <c r="S41" s="133">
        <v>0</v>
      </c>
      <c r="T41" s="133">
        <v>0</v>
      </c>
      <c r="U41" s="133">
        <v>0</v>
      </c>
      <c r="V41" s="133">
        <v>0</v>
      </c>
      <c r="X41" s="133">
        <v>0</v>
      </c>
      <c r="Y41" s="133">
        <v>0</v>
      </c>
      <c r="Z41" s="133">
        <v>0</v>
      </c>
      <c r="AA41" s="133">
        <v>0</v>
      </c>
      <c r="AB41" s="133"/>
      <c r="AC41" s="133">
        <v>0</v>
      </c>
      <c r="AD41" s="133">
        <v>0</v>
      </c>
      <c r="AE41" s="133">
        <v>0</v>
      </c>
      <c r="AF41" s="133">
        <v>0</v>
      </c>
      <c r="AG41" s="133">
        <v>0</v>
      </c>
      <c r="AI41" s="133">
        <v>221975</v>
      </c>
      <c r="AJ41" s="133">
        <v>195599</v>
      </c>
      <c r="AK41" s="133">
        <v>132061</v>
      </c>
      <c r="AL41" s="133">
        <v>164605</v>
      </c>
      <c r="AM41" s="133"/>
      <c r="AN41" s="133">
        <v>162302</v>
      </c>
      <c r="AO41" s="133">
        <v>154297</v>
      </c>
      <c r="AP41" s="133">
        <v>138701</v>
      </c>
      <c r="AQ41" s="148">
        <v>132103</v>
      </c>
      <c r="AR41" s="402"/>
      <c r="AS41" s="148">
        <v>134837</v>
      </c>
      <c r="AT41" s="148">
        <v>115660</v>
      </c>
      <c r="AU41" s="148">
        <v>114104</v>
      </c>
      <c r="AV41" s="148">
        <v>137257</v>
      </c>
      <c r="AW41" s="402"/>
      <c r="AX41" s="148">
        <v>130208</v>
      </c>
    </row>
    <row r="42" spans="1:50" ht="12.75" customHeight="1">
      <c r="A42" s="17"/>
      <c r="B42" s="15" t="s">
        <v>39</v>
      </c>
      <c r="C42" s="38">
        <f>351457+47065</f>
        <v>398522</v>
      </c>
      <c r="D42" s="38"/>
      <c r="E42" s="38">
        <v>357313</v>
      </c>
      <c r="F42" s="38">
        <v>278564</v>
      </c>
      <c r="G42" s="38">
        <v>277886</v>
      </c>
      <c r="H42" s="38">
        <f>422092+47065</f>
        <v>469157</v>
      </c>
      <c r="I42" s="29"/>
      <c r="J42" s="38">
        <v>371397</v>
      </c>
      <c r="K42" s="38">
        <v>404127</v>
      </c>
      <c r="L42" s="38">
        <v>397546</v>
      </c>
      <c r="M42" s="38">
        <f>548185+24935</f>
        <v>573120</v>
      </c>
      <c r="N42" s="38">
        <v>410660</v>
      </c>
      <c r="P42" s="133">
        <v>544029</v>
      </c>
      <c r="Q42" s="133">
        <v>544029</v>
      </c>
      <c r="R42" s="133">
        <v>695158</v>
      </c>
      <c r="S42" s="133">
        <v>695158</v>
      </c>
      <c r="T42" s="133">
        <v>744073</v>
      </c>
      <c r="U42" s="133">
        <v>744073</v>
      </c>
      <c r="V42" s="133">
        <v>760339</v>
      </c>
      <c r="X42" s="133">
        <v>760567</v>
      </c>
      <c r="Y42" s="133">
        <v>755847</v>
      </c>
      <c r="Z42" s="133">
        <v>1015489</v>
      </c>
      <c r="AA42" s="133">
        <v>704251</v>
      </c>
      <c r="AB42" s="133"/>
      <c r="AC42" s="133">
        <v>717532</v>
      </c>
      <c r="AD42" s="133">
        <v>415226</v>
      </c>
      <c r="AE42" s="133">
        <v>307505</v>
      </c>
      <c r="AF42" s="133">
        <v>665719</v>
      </c>
      <c r="AG42" s="133">
        <v>665719</v>
      </c>
      <c r="AI42" s="133">
        <v>664541</v>
      </c>
      <c r="AJ42" s="133">
        <v>859860</v>
      </c>
      <c r="AK42" s="133">
        <v>798019</v>
      </c>
      <c r="AL42" s="133">
        <v>951924</v>
      </c>
      <c r="AM42" s="133"/>
      <c r="AN42" s="133">
        <v>1053342</v>
      </c>
      <c r="AO42" s="133">
        <v>1063702</v>
      </c>
      <c r="AP42" s="133">
        <v>1016084</v>
      </c>
      <c r="AQ42" s="148">
        <v>643567</v>
      </c>
      <c r="AR42" s="402"/>
      <c r="AS42" s="148">
        <v>662964</v>
      </c>
      <c r="AT42" s="148">
        <v>940358</v>
      </c>
      <c r="AU42" s="148">
        <v>1017542</v>
      </c>
      <c r="AV42" s="148">
        <v>1126948</v>
      </c>
      <c r="AW42" s="402"/>
      <c r="AX42" s="148">
        <v>1101224</v>
      </c>
    </row>
    <row r="43" spans="1:50" ht="16.5" customHeight="1">
      <c r="B43" s="15" t="s">
        <v>138</v>
      </c>
      <c r="C43" s="38">
        <f>913874-72322</f>
        <v>841552</v>
      </c>
      <c r="D43" s="38"/>
      <c r="E43" s="38">
        <v>1177180</v>
      </c>
      <c r="F43" s="38">
        <f>1863210+1</f>
        <v>1863211</v>
      </c>
      <c r="G43" s="38">
        <f>1593004</f>
        <v>1593004</v>
      </c>
      <c r="H43" s="38">
        <f>1365778-71013</f>
        <v>1294765</v>
      </c>
      <c r="I43" s="29"/>
      <c r="J43" s="38">
        <v>1686160</v>
      </c>
      <c r="K43" s="38">
        <f>1463741+1</f>
        <v>1463742</v>
      </c>
      <c r="L43" s="38">
        <v>1825733</v>
      </c>
      <c r="M43" s="38">
        <f>1925576-44432</f>
        <v>1881144</v>
      </c>
      <c r="N43" s="38">
        <f>1879441-78634</f>
        <v>1800807</v>
      </c>
      <c r="P43" s="133">
        <v>2319547</v>
      </c>
      <c r="Q43" s="133">
        <v>2320289</v>
      </c>
      <c r="R43" s="133">
        <v>1979360</v>
      </c>
      <c r="S43" s="133">
        <v>1979513</v>
      </c>
      <c r="T43" s="133">
        <v>1784599</v>
      </c>
      <c r="U43" s="133">
        <v>1785640</v>
      </c>
      <c r="V43" s="133">
        <f>1646522-79157</f>
        <v>1567365</v>
      </c>
      <c r="X43" s="133">
        <v>2839627</v>
      </c>
      <c r="Y43" s="133">
        <v>2406692</v>
      </c>
      <c r="Z43" s="133">
        <v>2215714</v>
      </c>
      <c r="AA43" s="133">
        <v>2116725</v>
      </c>
      <c r="AB43" s="133"/>
      <c r="AC43" s="133">
        <v>2182165</v>
      </c>
      <c r="AD43" s="133">
        <v>2385460</v>
      </c>
      <c r="AE43" s="133">
        <v>2105770</v>
      </c>
      <c r="AF43" s="133">
        <v>2348111</v>
      </c>
      <c r="AG43" s="133">
        <v>2449899</v>
      </c>
      <c r="AI43" s="133">
        <v>2662684</v>
      </c>
      <c r="AJ43" s="133">
        <v>2716187</v>
      </c>
      <c r="AK43" s="133">
        <v>2599395</v>
      </c>
      <c r="AL43" s="133">
        <v>2734393</v>
      </c>
      <c r="AM43" s="133"/>
      <c r="AN43" s="133">
        <v>3437710</v>
      </c>
      <c r="AO43" s="133">
        <v>2950859</v>
      </c>
      <c r="AP43" s="133">
        <v>2692937</v>
      </c>
      <c r="AQ43" s="148">
        <v>2353159</v>
      </c>
      <c r="AR43" s="402"/>
      <c r="AS43" s="148">
        <v>3149689</v>
      </c>
      <c r="AT43" s="148">
        <v>2596634</v>
      </c>
      <c r="AU43" s="148">
        <v>2611813</v>
      </c>
      <c r="AV43" s="148">
        <v>2603991</v>
      </c>
      <c r="AW43" s="402"/>
      <c r="AX43" s="148">
        <v>3465274</v>
      </c>
    </row>
    <row r="44" spans="1:50" ht="16.5" customHeight="1">
      <c r="B44" s="15" t="s">
        <v>132</v>
      </c>
      <c r="C44" s="38">
        <v>94012</v>
      </c>
      <c r="D44" s="38"/>
      <c r="E44" s="38">
        <v>120444</v>
      </c>
      <c r="F44" s="38">
        <v>116012</v>
      </c>
      <c r="G44" s="38">
        <v>122011</v>
      </c>
      <c r="H44" s="38">
        <v>99531</v>
      </c>
      <c r="I44" s="29"/>
      <c r="J44" s="38">
        <v>113818</v>
      </c>
      <c r="K44" s="38">
        <v>120852</v>
      </c>
      <c r="L44" s="38">
        <v>171749</v>
      </c>
      <c r="M44" s="38">
        <v>307137</v>
      </c>
      <c r="N44" s="38">
        <v>306708</v>
      </c>
      <c r="P44" s="133">
        <v>303660</v>
      </c>
      <c r="Q44" s="133">
        <v>312192</v>
      </c>
      <c r="R44" s="133">
        <v>310172</v>
      </c>
      <c r="S44" s="133">
        <v>313121</v>
      </c>
      <c r="T44" s="133">
        <v>327919</v>
      </c>
      <c r="U44" s="133">
        <v>318945</v>
      </c>
      <c r="V44" s="133">
        <v>328471</v>
      </c>
      <c r="X44" s="133">
        <v>331590</v>
      </c>
      <c r="Y44" s="133">
        <v>346850</v>
      </c>
      <c r="Z44" s="133">
        <v>337961</v>
      </c>
      <c r="AA44" s="133">
        <v>340185</v>
      </c>
      <c r="AB44" s="133"/>
      <c r="AC44" s="133">
        <v>328365</v>
      </c>
      <c r="AD44" s="133">
        <v>322243</v>
      </c>
      <c r="AE44" s="133">
        <v>329681</v>
      </c>
      <c r="AF44" s="133">
        <v>337855</v>
      </c>
      <c r="AG44" s="133">
        <v>337855</v>
      </c>
      <c r="AI44" s="133">
        <v>331083</v>
      </c>
      <c r="AJ44" s="133">
        <v>323892</v>
      </c>
      <c r="AK44" s="133">
        <v>338418</v>
      </c>
      <c r="AL44" s="133">
        <v>336153</v>
      </c>
      <c r="AM44" s="133"/>
      <c r="AN44" s="133">
        <v>335838</v>
      </c>
      <c r="AO44" s="133">
        <v>330069</v>
      </c>
      <c r="AP44" s="133">
        <v>324970</v>
      </c>
      <c r="AQ44" s="148">
        <v>430062</v>
      </c>
      <c r="AR44" s="402"/>
      <c r="AS44" s="148">
        <v>373242</v>
      </c>
      <c r="AT44" s="148">
        <v>373211</v>
      </c>
      <c r="AU44" s="148">
        <v>362924</v>
      </c>
      <c r="AV44" s="148">
        <v>309164</v>
      </c>
      <c r="AW44" s="402"/>
      <c r="AX44" s="148">
        <v>139876</v>
      </c>
    </row>
    <row r="45" spans="1:50" ht="16.5" customHeight="1">
      <c r="B45" s="15" t="s">
        <v>137</v>
      </c>
      <c r="C45" s="38">
        <v>377955</v>
      </c>
      <c r="D45" s="38"/>
      <c r="E45" s="38">
        <v>423058</v>
      </c>
      <c r="F45" s="38">
        <v>410678</v>
      </c>
      <c r="G45" s="38">
        <v>399074</v>
      </c>
      <c r="H45" s="38">
        <v>300784</v>
      </c>
      <c r="J45" s="38">
        <v>398432</v>
      </c>
      <c r="K45" s="38">
        <v>417923</v>
      </c>
      <c r="L45" s="38">
        <v>520494</v>
      </c>
      <c r="M45" s="38">
        <v>264623</v>
      </c>
      <c r="N45" s="38">
        <v>264623</v>
      </c>
      <c r="P45" s="133">
        <v>578747</v>
      </c>
      <c r="Q45" s="133">
        <v>339336</v>
      </c>
      <c r="R45" s="133">
        <v>521686</v>
      </c>
      <c r="S45" s="133">
        <v>318559</v>
      </c>
      <c r="T45" s="133">
        <v>556587</v>
      </c>
      <c r="U45" s="133">
        <v>407780</v>
      </c>
      <c r="V45" s="133">
        <v>169270</v>
      </c>
      <c r="X45" s="133">
        <v>226125</v>
      </c>
      <c r="Y45" s="133">
        <v>223377</v>
      </c>
      <c r="Z45" s="133">
        <v>323382</v>
      </c>
      <c r="AA45" s="133">
        <v>189664</v>
      </c>
      <c r="AB45" s="133"/>
      <c r="AC45" s="133">
        <v>219921</v>
      </c>
      <c r="AD45" s="133">
        <v>219011</v>
      </c>
      <c r="AE45" s="133">
        <v>293100</v>
      </c>
      <c r="AF45" s="133">
        <v>237356</v>
      </c>
      <c r="AG45" s="133">
        <v>210325</v>
      </c>
      <c r="AI45" s="133">
        <v>302895</v>
      </c>
      <c r="AJ45" s="133">
        <v>265683</v>
      </c>
      <c r="AK45" s="133">
        <v>350583</v>
      </c>
      <c r="AL45" s="133">
        <v>242697</v>
      </c>
      <c r="AM45" s="133"/>
      <c r="AN45" s="133">
        <v>356331</v>
      </c>
      <c r="AO45" s="133">
        <v>259411</v>
      </c>
      <c r="AP45" s="133">
        <v>307791</v>
      </c>
      <c r="AQ45" s="148">
        <v>183414</v>
      </c>
      <c r="AR45" s="402"/>
      <c r="AS45" s="148">
        <v>270220</v>
      </c>
      <c r="AT45" s="148">
        <v>303929</v>
      </c>
      <c r="AU45" s="148">
        <v>381322</v>
      </c>
      <c r="AV45" s="148">
        <v>171501</v>
      </c>
      <c r="AW45" s="402"/>
      <c r="AX45" s="148">
        <v>258481</v>
      </c>
    </row>
    <row r="46" spans="1:50" ht="16.5" customHeight="1">
      <c r="B46" s="15" t="s">
        <v>194</v>
      </c>
      <c r="C46" s="38">
        <f>95859+36201</f>
        <v>132060</v>
      </c>
      <c r="D46" s="38"/>
      <c r="E46" s="38">
        <f>96045+25332</f>
        <v>121377</v>
      </c>
      <c r="F46" s="38">
        <f>72053+35278</f>
        <v>107331</v>
      </c>
      <c r="G46" s="38">
        <f>108534+37993</f>
        <v>146527</v>
      </c>
      <c r="H46" s="38">
        <f>102639+32809</f>
        <v>135448</v>
      </c>
      <c r="J46" s="38">
        <f>122878+22768</f>
        <v>145646</v>
      </c>
      <c r="K46" s="38">
        <f>99740+22968</f>
        <v>122708</v>
      </c>
      <c r="L46" s="38">
        <f>164914+30356</f>
        <v>195270</v>
      </c>
      <c r="M46" s="38">
        <f>151948+32714</f>
        <v>184662</v>
      </c>
      <c r="N46" s="38">
        <v>190722</v>
      </c>
      <c r="P46" s="133">
        <f>152228+32030</f>
        <v>184258</v>
      </c>
      <c r="Q46" s="133">
        <f>152228+32030</f>
        <v>184258</v>
      </c>
      <c r="R46" s="133">
        <f>118505+23123</f>
        <v>141628</v>
      </c>
      <c r="S46" s="133">
        <f>118505+23123</f>
        <v>141628</v>
      </c>
      <c r="T46" s="133">
        <f>154576+21612</f>
        <v>176188</v>
      </c>
      <c r="U46" s="133">
        <f>154576+21612</f>
        <v>176188</v>
      </c>
      <c r="V46" s="133">
        <v>202657</v>
      </c>
      <c r="X46" s="133">
        <v>212707</v>
      </c>
      <c r="Y46" s="133">
        <v>168478</v>
      </c>
      <c r="Z46" s="133">
        <v>166675</v>
      </c>
      <c r="AA46" s="133">
        <v>210547</v>
      </c>
      <c r="AB46" s="133"/>
      <c r="AC46" s="133">
        <v>223459</v>
      </c>
      <c r="AD46" s="133">
        <v>193306</v>
      </c>
      <c r="AE46" s="133">
        <v>221824</v>
      </c>
      <c r="AF46" s="133">
        <v>241141</v>
      </c>
      <c r="AG46" s="133">
        <v>241141</v>
      </c>
      <c r="AI46" s="133">
        <v>232511</v>
      </c>
      <c r="AJ46" s="133">
        <v>195683</v>
      </c>
      <c r="AK46" s="133">
        <v>237845</v>
      </c>
      <c r="AL46" s="133">
        <v>250091</v>
      </c>
      <c r="AM46" s="133"/>
      <c r="AN46" s="133">
        <v>239870</v>
      </c>
      <c r="AO46" s="133">
        <v>199601</v>
      </c>
      <c r="AP46" s="133">
        <v>224714</v>
      </c>
      <c r="AQ46" s="148">
        <v>208396</v>
      </c>
      <c r="AR46" s="402"/>
      <c r="AS46" s="148">
        <v>207750</v>
      </c>
      <c r="AT46" s="148">
        <v>210044</v>
      </c>
      <c r="AU46" s="148">
        <v>259292</v>
      </c>
      <c r="AV46" s="148">
        <v>290224</v>
      </c>
      <c r="AW46" s="402"/>
      <c r="AX46" s="148">
        <v>244361</v>
      </c>
    </row>
    <row r="47" spans="1:50" s="139" customFormat="1">
      <c r="B47" s="15" t="s">
        <v>133</v>
      </c>
      <c r="C47" s="38">
        <v>0</v>
      </c>
      <c r="D47" s="38"/>
      <c r="E47" s="38">
        <v>0</v>
      </c>
      <c r="F47" s="38">
        <v>0</v>
      </c>
      <c r="G47" s="38">
        <v>0</v>
      </c>
      <c r="H47" s="38">
        <v>0</v>
      </c>
      <c r="I47" s="141"/>
      <c r="J47" s="38">
        <v>0</v>
      </c>
      <c r="K47" s="38">
        <v>0</v>
      </c>
      <c r="L47" s="38">
        <v>0</v>
      </c>
      <c r="M47" s="38">
        <v>0</v>
      </c>
      <c r="N47" s="133">
        <v>0</v>
      </c>
      <c r="O47" s="14"/>
      <c r="P47" s="38">
        <v>0</v>
      </c>
      <c r="Q47" s="38">
        <v>0</v>
      </c>
      <c r="R47" s="38">
        <v>0</v>
      </c>
      <c r="S47" s="38">
        <v>0</v>
      </c>
      <c r="T47" s="38">
        <v>0</v>
      </c>
      <c r="U47" s="38">
        <v>0</v>
      </c>
      <c r="V47" s="38">
        <v>0</v>
      </c>
      <c r="W47" s="14"/>
      <c r="X47" s="38">
        <v>0</v>
      </c>
      <c r="Y47" s="38">
        <v>0</v>
      </c>
      <c r="Z47" s="38">
        <v>0</v>
      </c>
      <c r="AA47" s="38">
        <v>0</v>
      </c>
      <c r="AB47" s="38"/>
      <c r="AC47" s="38">
        <v>0</v>
      </c>
      <c r="AD47" s="38">
        <v>0</v>
      </c>
      <c r="AE47" s="38">
        <v>0</v>
      </c>
      <c r="AF47" s="38">
        <v>0</v>
      </c>
      <c r="AG47" s="38">
        <v>0</v>
      </c>
      <c r="AH47" s="14"/>
      <c r="AI47" s="38">
        <v>0</v>
      </c>
      <c r="AJ47" s="38">
        <v>0</v>
      </c>
      <c r="AK47" s="38">
        <v>0</v>
      </c>
      <c r="AL47" s="38">
        <v>0</v>
      </c>
      <c r="AM47" s="38"/>
      <c r="AN47" s="38">
        <v>0</v>
      </c>
      <c r="AO47" s="38">
        <v>0</v>
      </c>
      <c r="AP47" s="38">
        <v>0</v>
      </c>
      <c r="AQ47" s="215">
        <v>0</v>
      </c>
      <c r="AR47" s="402"/>
      <c r="AS47" s="215">
        <v>0</v>
      </c>
      <c r="AT47" s="215">
        <v>0</v>
      </c>
      <c r="AU47" s="215">
        <v>0</v>
      </c>
      <c r="AV47" s="215">
        <v>0</v>
      </c>
      <c r="AW47" s="402"/>
      <c r="AX47" s="215">
        <v>0</v>
      </c>
    </row>
    <row r="48" spans="1:50" s="295" customFormat="1">
      <c r="B48" s="15" t="s">
        <v>190</v>
      </c>
      <c r="C48" s="38">
        <v>0</v>
      </c>
      <c r="D48" s="38"/>
      <c r="E48" s="38">
        <v>0</v>
      </c>
      <c r="F48" s="38">
        <v>0</v>
      </c>
      <c r="G48" s="38">
        <v>0</v>
      </c>
      <c r="H48" s="38">
        <v>0</v>
      </c>
      <c r="I48" s="141"/>
      <c r="J48" s="38">
        <v>0</v>
      </c>
      <c r="K48" s="38">
        <v>0</v>
      </c>
      <c r="L48" s="38">
        <v>0</v>
      </c>
      <c r="M48" s="38">
        <v>0</v>
      </c>
      <c r="N48" s="38">
        <v>0</v>
      </c>
      <c r="O48" s="14"/>
      <c r="P48" s="38">
        <v>0</v>
      </c>
      <c r="Q48" s="38">
        <v>0</v>
      </c>
      <c r="R48" s="38">
        <v>0</v>
      </c>
      <c r="S48" s="38">
        <v>0</v>
      </c>
      <c r="T48" s="38">
        <v>0</v>
      </c>
      <c r="U48" s="38">
        <v>0</v>
      </c>
      <c r="V48" s="38">
        <v>0</v>
      </c>
      <c r="W48" s="14"/>
      <c r="X48" s="38">
        <v>0</v>
      </c>
      <c r="Y48" s="38">
        <v>0</v>
      </c>
      <c r="Z48" s="38">
        <v>0</v>
      </c>
      <c r="AA48" s="38">
        <v>0</v>
      </c>
      <c r="AB48" s="38"/>
      <c r="AC48" s="38">
        <v>0</v>
      </c>
      <c r="AD48" s="38">
        <v>0</v>
      </c>
      <c r="AE48" s="38">
        <v>0</v>
      </c>
      <c r="AF48" s="38">
        <v>0</v>
      </c>
      <c r="AG48" s="38">
        <v>0</v>
      </c>
      <c r="AH48" s="14"/>
      <c r="AI48" s="38">
        <v>0</v>
      </c>
      <c r="AJ48" s="38">
        <v>0</v>
      </c>
      <c r="AK48" s="38">
        <v>0</v>
      </c>
      <c r="AL48" s="38">
        <v>0</v>
      </c>
      <c r="AM48" s="38"/>
      <c r="AN48" s="38">
        <v>0</v>
      </c>
      <c r="AO48" s="38">
        <v>0</v>
      </c>
      <c r="AP48" s="38">
        <v>0</v>
      </c>
      <c r="AQ48" s="215">
        <v>0</v>
      </c>
      <c r="AR48" s="402"/>
      <c r="AS48" s="215">
        <v>0</v>
      </c>
      <c r="AT48" s="215">
        <v>0</v>
      </c>
      <c r="AU48" s="215">
        <v>0</v>
      </c>
      <c r="AV48" s="215">
        <v>0</v>
      </c>
      <c r="AW48" s="402"/>
      <c r="AX48" s="215">
        <v>0</v>
      </c>
    </row>
    <row r="49" spans="1:50" s="295" customFormat="1">
      <c r="B49" s="15" t="s">
        <v>282</v>
      </c>
      <c r="C49" s="38">
        <v>0</v>
      </c>
      <c r="D49" s="38"/>
      <c r="E49" s="38">
        <v>0</v>
      </c>
      <c r="F49" s="38">
        <v>0</v>
      </c>
      <c r="G49" s="38">
        <v>0</v>
      </c>
      <c r="H49" s="38">
        <v>0</v>
      </c>
      <c r="I49" s="141"/>
      <c r="J49" s="38">
        <v>0</v>
      </c>
      <c r="K49" s="38">
        <v>0</v>
      </c>
      <c r="L49" s="38">
        <v>0</v>
      </c>
      <c r="M49" s="38">
        <v>0</v>
      </c>
      <c r="N49" s="38">
        <v>0</v>
      </c>
      <c r="O49" s="14"/>
      <c r="P49" s="38">
        <v>0</v>
      </c>
      <c r="Q49" s="38">
        <v>0</v>
      </c>
      <c r="R49" s="38">
        <v>0</v>
      </c>
      <c r="S49" s="38">
        <v>0</v>
      </c>
      <c r="T49" s="38">
        <v>0</v>
      </c>
      <c r="U49" s="38">
        <v>0</v>
      </c>
      <c r="V49" s="38">
        <v>0</v>
      </c>
      <c r="W49" s="14"/>
      <c r="X49" s="38">
        <v>0</v>
      </c>
      <c r="Y49" s="38">
        <v>0</v>
      </c>
      <c r="Z49" s="38">
        <v>0</v>
      </c>
      <c r="AA49" s="38">
        <v>0</v>
      </c>
      <c r="AB49" s="38"/>
      <c r="AC49" s="38">
        <v>0</v>
      </c>
      <c r="AD49" s="38">
        <v>0</v>
      </c>
      <c r="AE49" s="38">
        <v>0</v>
      </c>
      <c r="AF49" s="38">
        <v>0</v>
      </c>
      <c r="AG49" s="38">
        <v>0</v>
      </c>
      <c r="AH49" s="14"/>
      <c r="AI49" s="38">
        <v>0</v>
      </c>
      <c r="AJ49" s="38">
        <v>0</v>
      </c>
      <c r="AK49" s="38">
        <v>21390</v>
      </c>
      <c r="AL49" s="38">
        <v>16030</v>
      </c>
      <c r="AM49" s="38"/>
      <c r="AN49" s="38">
        <v>27417</v>
      </c>
      <c r="AO49" s="38">
        <v>70</v>
      </c>
      <c r="AP49" s="38">
        <v>1406</v>
      </c>
      <c r="AQ49" s="215">
        <v>3811</v>
      </c>
      <c r="AR49" s="402"/>
      <c r="AS49" s="215">
        <v>3270</v>
      </c>
      <c r="AT49" s="215">
        <v>4734</v>
      </c>
      <c r="AU49" s="215">
        <v>3795</v>
      </c>
      <c r="AV49" s="215">
        <v>0</v>
      </c>
      <c r="AW49" s="402"/>
      <c r="AX49" s="215">
        <v>0</v>
      </c>
    </row>
    <row r="50" spans="1:50" ht="16.5" customHeight="1">
      <c r="B50" s="15" t="s">
        <v>281</v>
      </c>
      <c r="C50" s="38">
        <v>129949</v>
      </c>
      <c r="D50" s="38"/>
      <c r="E50" s="38">
        <v>174259</v>
      </c>
      <c r="F50" s="38">
        <v>83180</v>
      </c>
      <c r="G50" s="38">
        <v>213513</v>
      </c>
      <c r="H50" s="38">
        <v>158889</v>
      </c>
      <c r="J50" s="38">
        <f>146472-1</f>
        <v>146471</v>
      </c>
      <c r="K50" s="38">
        <f>177557+6073</f>
        <v>183630</v>
      </c>
      <c r="L50" s="38">
        <v>182460</v>
      </c>
      <c r="M50" s="132">
        <f>455016+1+17209</f>
        <v>472226</v>
      </c>
      <c r="N50" s="132">
        <v>471619</v>
      </c>
      <c r="P50" s="133">
        <v>254615</v>
      </c>
      <c r="Q50" s="133">
        <v>494025</v>
      </c>
      <c r="R50" s="133">
        <v>247564</v>
      </c>
      <c r="S50" s="133">
        <v>450691</v>
      </c>
      <c r="T50" s="133">
        <v>599752</v>
      </c>
      <c r="U50" s="133">
        <v>748558</v>
      </c>
      <c r="V50" s="133">
        <v>480889</v>
      </c>
      <c r="X50" s="133">
        <v>627659</v>
      </c>
      <c r="Y50" s="133">
        <v>599439</v>
      </c>
      <c r="Z50" s="133">
        <v>552475</v>
      </c>
      <c r="AA50" s="133">
        <v>667596</v>
      </c>
      <c r="AB50" s="133"/>
      <c r="AC50" s="133">
        <v>598154</v>
      </c>
      <c r="AD50" s="133">
        <v>614751</v>
      </c>
      <c r="AE50" s="133">
        <v>682352</v>
      </c>
      <c r="AF50" s="133">
        <v>586007</v>
      </c>
      <c r="AG50" s="133">
        <v>484219</v>
      </c>
      <c r="AI50" s="133">
        <v>525293</v>
      </c>
      <c r="AJ50" s="133">
        <v>552717</v>
      </c>
      <c r="AK50" s="133">
        <v>564105</v>
      </c>
      <c r="AL50" s="133">
        <v>460758</v>
      </c>
      <c r="AM50" s="133"/>
      <c r="AN50" s="133">
        <v>397000</v>
      </c>
      <c r="AO50" s="133">
        <v>415898</v>
      </c>
      <c r="AP50" s="133">
        <v>406818</v>
      </c>
      <c r="AQ50" s="148">
        <v>407731</v>
      </c>
      <c r="AR50" s="402"/>
      <c r="AS50" s="148">
        <v>406817</v>
      </c>
      <c r="AT50" s="148">
        <v>433876</v>
      </c>
      <c r="AU50" s="148">
        <v>450001</v>
      </c>
      <c r="AV50" s="148">
        <v>487959</v>
      </c>
      <c r="AW50" s="402"/>
      <c r="AX50" s="148">
        <v>454639</v>
      </c>
    </row>
    <row r="51" spans="1:50" s="142" customFormat="1" ht="16.5" customHeight="1">
      <c r="B51" s="15" t="s">
        <v>136</v>
      </c>
      <c r="C51" s="38">
        <v>2491</v>
      </c>
      <c r="D51" s="38"/>
      <c r="E51" s="38">
        <v>7639</v>
      </c>
      <c r="F51" s="38">
        <v>19717</v>
      </c>
      <c r="G51" s="38">
        <v>0</v>
      </c>
      <c r="H51" s="38">
        <v>0</v>
      </c>
      <c r="I51" s="140"/>
      <c r="J51" s="38">
        <v>0</v>
      </c>
      <c r="K51" s="38">
        <v>0</v>
      </c>
      <c r="L51" s="38">
        <v>0</v>
      </c>
      <c r="M51" s="132">
        <v>0</v>
      </c>
      <c r="N51" s="132">
        <v>0</v>
      </c>
      <c r="P51" s="133">
        <v>6841</v>
      </c>
      <c r="Q51" s="133">
        <v>6841</v>
      </c>
      <c r="R51" s="133">
        <v>111</v>
      </c>
      <c r="S51" s="133">
        <v>111</v>
      </c>
      <c r="T51" s="133">
        <v>0</v>
      </c>
      <c r="U51" s="133">
        <v>0</v>
      </c>
      <c r="V51" s="133">
        <v>102555</v>
      </c>
      <c r="X51" s="133">
        <v>77486</v>
      </c>
      <c r="Y51" s="133">
        <v>109876</v>
      </c>
      <c r="Z51" s="133">
        <v>87797</v>
      </c>
      <c r="AA51" s="133">
        <v>3622</v>
      </c>
      <c r="AB51" s="133"/>
      <c r="AC51" s="133">
        <v>17087</v>
      </c>
      <c r="AD51" s="133">
        <v>0</v>
      </c>
      <c r="AE51" s="133">
        <v>1411</v>
      </c>
      <c r="AF51" s="133">
        <v>525</v>
      </c>
      <c r="AG51" s="133">
        <v>525</v>
      </c>
      <c r="AH51" s="289"/>
      <c r="AI51" s="133">
        <v>3182</v>
      </c>
      <c r="AJ51" s="133">
        <v>16913</v>
      </c>
      <c r="AK51" s="133">
        <v>2599</v>
      </c>
      <c r="AL51" s="133">
        <v>16353</v>
      </c>
      <c r="AM51" s="133"/>
      <c r="AN51" s="133">
        <v>68383</v>
      </c>
      <c r="AO51" s="133">
        <v>76462</v>
      </c>
      <c r="AP51" s="133">
        <v>34949</v>
      </c>
      <c r="AQ51" s="148">
        <v>65085</v>
      </c>
      <c r="AR51" s="402"/>
      <c r="AS51" s="148">
        <v>1682</v>
      </c>
      <c r="AT51" s="148">
        <v>2105</v>
      </c>
      <c r="AU51" s="148">
        <v>4964</v>
      </c>
      <c r="AV51" s="148">
        <v>2087</v>
      </c>
      <c r="AW51" s="402"/>
      <c r="AX51" s="148">
        <v>12692</v>
      </c>
    </row>
    <row r="52" spans="1:50">
      <c r="A52" s="17"/>
      <c r="B52" s="19" t="s">
        <v>85</v>
      </c>
      <c r="C52" s="38">
        <v>8935</v>
      </c>
      <c r="D52" s="38"/>
      <c r="E52" s="38">
        <v>0</v>
      </c>
      <c r="F52" s="38">
        <v>0</v>
      </c>
      <c r="G52" s="38">
        <v>0</v>
      </c>
      <c r="H52" s="38">
        <v>856</v>
      </c>
      <c r="J52" s="38">
        <v>0</v>
      </c>
      <c r="K52" s="38">
        <v>29704</v>
      </c>
      <c r="L52" s="38">
        <v>0</v>
      </c>
      <c r="M52" s="132">
        <v>856</v>
      </c>
      <c r="N52" s="132">
        <v>856</v>
      </c>
      <c r="P52" s="133">
        <v>856</v>
      </c>
      <c r="Q52" s="133">
        <v>856</v>
      </c>
      <c r="R52" s="133">
        <v>856</v>
      </c>
      <c r="S52" s="133">
        <v>856</v>
      </c>
      <c r="T52" s="133">
        <v>824</v>
      </c>
      <c r="U52" s="133">
        <v>824</v>
      </c>
      <c r="V52" s="133">
        <v>191699</v>
      </c>
      <c r="X52" s="133">
        <v>187469</v>
      </c>
      <c r="Y52" s="133">
        <v>824</v>
      </c>
      <c r="Z52" s="133">
        <v>824</v>
      </c>
      <c r="AA52" s="133">
        <v>824</v>
      </c>
      <c r="AB52" s="133"/>
      <c r="AC52" s="133">
        <v>824</v>
      </c>
      <c r="AD52" s="133">
        <v>824</v>
      </c>
      <c r="AE52" s="133">
        <v>824</v>
      </c>
      <c r="AF52" s="133">
        <v>0</v>
      </c>
      <c r="AG52" s="133">
        <v>0</v>
      </c>
      <c r="AI52" s="133">
        <v>0</v>
      </c>
      <c r="AJ52" s="133">
        <v>0</v>
      </c>
      <c r="AK52" s="133">
        <v>0</v>
      </c>
      <c r="AL52" s="133">
        <v>0</v>
      </c>
      <c r="AM52" s="133"/>
      <c r="AN52" s="133">
        <v>0</v>
      </c>
      <c r="AO52" s="133">
        <v>0</v>
      </c>
      <c r="AP52" s="133">
        <v>0</v>
      </c>
      <c r="AQ52" s="148">
        <v>455564</v>
      </c>
      <c r="AR52" s="402"/>
      <c r="AS52" s="148">
        <v>500662</v>
      </c>
      <c r="AT52" s="148">
        <v>443973</v>
      </c>
      <c r="AU52" s="148">
        <v>345051</v>
      </c>
      <c r="AV52" s="148">
        <v>7772</v>
      </c>
      <c r="AW52" s="402"/>
      <c r="AX52" s="148">
        <v>3695</v>
      </c>
    </row>
    <row r="53" spans="1:50" ht="3.75" customHeight="1">
      <c r="B53" s="19"/>
      <c r="C53" s="39"/>
      <c r="D53" s="39"/>
      <c r="E53" s="39"/>
      <c r="F53" s="39"/>
      <c r="G53" s="39"/>
      <c r="H53" s="39"/>
      <c r="J53" s="39"/>
      <c r="K53" s="39"/>
      <c r="L53" s="39"/>
      <c r="M53" s="39"/>
      <c r="N53" s="39"/>
      <c r="P53" s="30"/>
      <c r="Q53" s="30"/>
      <c r="R53" s="30"/>
      <c r="S53" s="30"/>
      <c r="T53" s="30"/>
      <c r="U53" s="30"/>
      <c r="V53" s="30"/>
      <c r="X53" s="30"/>
      <c r="Y53" s="30"/>
      <c r="Z53" s="30"/>
      <c r="AA53" s="30"/>
      <c r="AB53" s="30"/>
      <c r="AC53" s="30"/>
      <c r="AD53" s="30"/>
      <c r="AE53" s="30"/>
      <c r="AF53" s="30"/>
      <c r="AG53" s="30"/>
      <c r="AI53" s="30"/>
      <c r="AJ53" s="30"/>
      <c r="AK53" s="30"/>
      <c r="AL53" s="30"/>
      <c r="AM53" s="30"/>
      <c r="AN53" s="30"/>
      <c r="AO53" s="30"/>
      <c r="AP53" s="30"/>
      <c r="AQ53" s="301"/>
      <c r="AR53" s="402"/>
      <c r="AS53" s="301"/>
      <c r="AT53" s="301"/>
      <c r="AU53" s="301"/>
      <c r="AV53" s="301"/>
      <c r="AW53" s="402"/>
      <c r="AX53" s="301"/>
    </row>
    <row r="54" spans="1:50" ht="16.5" customHeight="1">
      <c r="B54" s="32" t="s">
        <v>56</v>
      </c>
      <c r="C54" s="33">
        <f>+SUM(C40:C52)</f>
        <v>2752154</v>
      </c>
      <c r="D54" s="33"/>
      <c r="E54" s="33">
        <f>+SUM(E40:E52)</f>
        <v>3650657</v>
      </c>
      <c r="F54" s="33">
        <f>+SUM(F40:F52)</f>
        <v>5544881</v>
      </c>
      <c r="G54" s="33">
        <f>+SUM(G40:G52)</f>
        <v>4221435</v>
      </c>
      <c r="H54" s="33">
        <f>+SUM(H40:H52)</f>
        <v>4053956</v>
      </c>
      <c r="I54" s="29"/>
      <c r="J54" s="33">
        <f>+SUM(J40:J52)</f>
        <v>4861269</v>
      </c>
      <c r="K54" s="33">
        <f>+SUM(K40:K52)</f>
        <v>4764447</v>
      </c>
      <c r="L54" s="33">
        <f>+SUM(L40:L52)</f>
        <v>6122162</v>
      </c>
      <c r="M54" s="33">
        <f>+SUM(M40:M52)</f>
        <v>6989265</v>
      </c>
      <c r="N54" s="33">
        <f>+SUM(N40:N52)</f>
        <v>6710834</v>
      </c>
      <c r="P54" s="33">
        <f t="shared" ref="P54:V54" si="11">+SUM(P40:P52)</f>
        <v>7359893</v>
      </c>
      <c r="Q54" s="33">
        <f t="shared" si="11"/>
        <v>7369166</v>
      </c>
      <c r="R54" s="33">
        <f t="shared" si="11"/>
        <v>6542714</v>
      </c>
      <c r="S54" s="33">
        <f t="shared" si="11"/>
        <v>6545816</v>
      </c>
      <c r="T54" s="33">
        <f t="shared" si="11"/>
        <v>6623481</v>
      </c>
      <c r="U54" s="33">
        <f t="shared" si="11"/>
        <v>6615547</v>
      </c>
      <c r="V54" s="33">
        <f t="shared" si="11"/>
        <v>7211119</v>
      </c>
      <c r="X54" s="33">
        <f>+SUM(X40:X52)</f>
        <v>9831420</v>
      </c>
      <c r="Y54" s="33">
        <f>+SUM(Y40:Y52)</f>
        <v>8519592</v>
      </c>
      <c r="Z54" s="33">
        <f>+SUM(Z40:Z52)</f>
        <v>8567621</v>
      </c>
      <c r="AA54" s="33">
        <f>+SUM(AA40:AA52)</f>
        <v>7107746</v>
      </c>
      <c r="AB54" s="33"/>
      <c r="AC54" s="33">
        <f>+SUM(AC40:AC52)</f>
        <v>7567713</v>
      </c>
      <c r="AD54" s="33">
        <f>+SUM(AD40:AD52)</f>
        <v>7535825</v>
      </c>
      <c r="AE54" s="33">
        <f>+SUM(AE40:AE52)</f>
        <v>7648405</v>
      </c>
      <c r="AF54" s="33">
        <f>+SUM(AF40:AF52)</f>
        <v>7029847</v>
      </c>
      <c r="AG54" s="33">
        <f>+SUM(AG40:AG52)</f>
        <v>7002816</v>
      </c>
      <c r="AI54" s="33">
        <v>8091316</v>
      </c>
      <c r="AJ54" s="33">
        <v>8357615</v>
      </c>
      <c r="AK54" s="33">
        <v>7836498</v>
      </c>
      <c r="AL54" s="33">
        <v>6760718</v>
      </c>
      <c r="AM54" s="33"/>
      <c r="AN54" s="33">
        <v>8426262</v>
      </c>
      <c r="AO54" s="33">
        <v>8355283</v>
      </c>
      <c r="AP54" s="33">
        <v>7283963</v>
      </c>
      <c r="AQ54" s="329">
        <f>+SUM(AQ40:AQ52)</f>
        <v>6624149</v>
      </c>
      <c r="AR54" s="402"/>
      <c r="AS54" s="329">
        <f>+SUM(AS40:AS52)</f>
        <v>7423381</v>
      </c>
      <c r="AT54" s="329">
        <f>+SUM(AT40:AT52)</f>
        <v>7963089</v>
      </c>
      <c r="AU54" s="329">
        <f>+SUM(AU40:AU52)</f>
        <v>8127203</v>
      </c>
      <c r="AV54" s="329">
        <f>+SUM(AV40:AV52)</f>
        <v>7764963</v>
      </c>
      <c r="AW54" s="402"/>
      <c r="AX54" s="329">
        <f>+SUM(AX40:AX52)</f>
        <v>7970136</v>
      </c>
    </row>
    <row r="55" spans="1:50" ht="6" customHeight="1">
      <c r="E55" s="20"/>
      <c r="F55" s="20"/>
      <c r="G55" s="126"/>
      <c r="H55" s="160"/>
      <c r="J55" s="20"/>
      <c r="L55" s="126"/>
      <c r="M55" s="160"/>
      <c r="N55" s="196"/>
      <c r="P55" s="141"/>
      <c r="Q55" s="141"/>
      <c r="R55" s="141"/>
      <c r="S55" s="141"/>
      <c r="T55" s="141"/>
      <c r="U55" s="141"/>
      <c r="V55" s="141"/>
      <c r="X55" s="141"/>
      <c r="Y55" s="141"/>
      <c r="Z55" s="141"/>
      <c r="AA55" s="141"/>
      <c r="AB55" s="141"/>
      <c r="AC55" s="141"/>
      <c r="AD55" s="141"/>
      <c r="AE55" s="141"/>
      <c r="AF55" s="141"/>
      <c r="AG55" s="141"/>
      <c r="AI55" s="141"/>
      <c r="AJ55" s="141"/>
      <c r="AK55" s="141"/>
      <c r="AL55" s="141"/>
      <c r="AM55" s="141"/>
      <c r="AN55" s="141"/>
      <c r="AO55" s="141"/>
      <c r="AP55" s="141"/>
      <c r="AQ55" s="401"/>
      <c r="AR55" s="402"/>
      <c r="AS55" s="419"/>
      <c r="AT55" s="419"/>
      <c r="AU55" s="419"/>
      <c r="AV55" s="419"/>
      <c r="AW55" s="402"/>
      <c r="AX55" s="419"/>
    </row>
    <row r="56" spans="1:50" ht="16.5" customHeight="1">
      <c r="B56" s="18" t="s">
        <v>33</v>
      </c>
      <c r="C56" s="38">
        <f>1241276-12435</f>
        <v>1228841</v>
      </c>
      <c r="D56" s="38"/>
      <c r="E56" s="38">
        <v>2496972</v>
      </c>
      <c r="F56" s="38">
        <v>1018043</v>
      </c>
      <c r="G56" s="38">
        <v>1849511</v>
      </c>
      <c r="H56" s="38">
        <v>3077275</v>
      </c>
      <c r="J56" s="38">
        <v>3006056</v>
      </c>
      <c r="K56" s="38">
        <v>3639057</v>
      </c>
      <c r="L56" s="38">
        <v>4448887</v>
      </c>
      <c r="M56" s="132">
        <v>4948257</v>
      </c>
      <c r="N56" s="132">
        <v>4988915</v>
      </c>
      <c r="P56" s="133">
        <v>4936358</v>
      </c>
      <c r="Q56" s="133">
        <v>4936358</v>
      </c>
      <c r="R56" s="133">
        <v>5400254</v>
      </c>
      <c r="S56" s="133">
        <v>5400254</v>
      </c>
      <c r="T56" s="133">
        <v>5441004</v>
      </c>
      <c r="U56" s="133">
        <v>5441004</v>
      </c>
      <c r="V56" s="133">
        <v>6363559</v>
      </c>
      <c r="X56" s="133">
        <v>6321449</v>
      </c>
      <c r="Y56" s="133">
        <v>6818252</v>
      </c>
      <c r="Z56" s="133">
        <v>6157358</v>
      </c>
      <c r="AA56" s="133">
        <v>6499405</v>
      </c>
      <c r="AB56" s="133"/>
      <c r="AC56" s="133">
        <v>5184746</v>
      </c>
      <c r="AD56" s="133">
        <v>5433415</v>
      </c>
      <c r="AE56" s="133">
        <v>5024092</v>
      </c>
      <c r="AF56" s="133">
        <v>6364008</v>
      </c>
      <c r="AG56" s="133">
        <v>6364008</v>
      </c>
      <c r="AI56" s="133">
        <v>5703023</v>
      </c>
      <c r="AJ56" s="133">
        <v>6378664</v>
      </c>
      <c r="AK56" s="133">
        <v>6324286</v>
      </c>
      <c r="AL56" s="133">
        <v>5118140</v>
      </c>
      <c r="AM56" s="133"/>
      <c r="AN56" s="133">
        <v>6194339</v>
      </c>
      <c r="AO56" s="133">
        <v>5850656</v>
      </c>
      <c r="AP56" s="133">
        <v>6355092</v>
      </c>
      <c r="AQ56" s="148">
        <v>5386230</v>
      </c>
      <c r="AR56" s="402"/>
      <c r="AS56" s="148">
        <v>6009848</v>
      </c>
      <c r="AT56" s="148">
        <v>5243168</v>
      </c>
      <c r="AU56" s="148">
        <v>4558203</v>
      </c>
      <c r="AV56" s="148">
        <v>4038878</v>
      </c>
      <c r="AW56" s="402"/>
      <c r="AX56" s="148">
        <v>4101351</v>
      </c>
    </row>
    <row r="57" spans="1:50" s="295" customFormat="1" ht="16.5" customHeight="1">
      <c r="B57" s="18" t="s">
        <v>257</v>
      </c>
      <c r="C57" s="38">
        <v>0</v>
      </c>
      <c r="D57" s="38"/>
      <c r="E57" s="38">
        <v>0</v>
      </c>
      <c r="F57" s="38">
        <v>0</v>
      </c>
      <c r="G57" s="38">
        <v>0</v>
      </c>
      <c r="H57" s="38">
        <v>0</v>
      </c>
      <c r="I57" s="292"/>
      <c r="J57" s="38">
        <v>0</v>
      </c>
      <c r="K57" s="38">
        <v>0</v>
      </c>
      <c r="L57" s="38">
        <v>0</v>
      </c>
      <c r="M57" s="132">
        <v>0</v>
      </c>
      <c r="N57" s="132">
        <v>0</v>
      </c>
      <c r="P57" s="133">
        <v>0</v>
      </c>
      <c r="Q57" s="133">
        <v>0</v>
      </c>
      <c r="R57" s="133">
        <v>0</v>
      </c>
      <c r="S57" s="133">
        <v>0</v>
      </c>
      <c r="T57" s="133">
        <v>0</v>
      </c>
      <c r="U57" s="133">
        <v>0</v>
      </c>
      <c r="V57" s="133">
        <v>0</v>
      </c>
      <c r="X57" s="133">
        <v>0</v>
      </c>
      <c r="Y57" s="133">
        <v>0</v>
      </c>
      <c r="Z57" s="133">
        <v>0</v>
      </c>
      <c r="AA57" s="133">
        <v>0</v>
      </c>
      <c r="AB57" s="133"/>
      <c r="AC57" s="133">
        <v>0</v>
      </c>
      <c r="AD57" s="133">
        <v>0</v>
      </c>
      <c r="AE57" s="133">
        <v>0</v>
      </c>
      <c r="AF57" s="133">
        <v>0</v>
      </c>
      <c r="AG57" s="133">
        <v>0</v>
      </c>
      <c r="AI57" s="133">
        <v>828387</v>
      </c>
      <c r="AJ57" s="133">
        <v>926941</v>
      </c>
      <c r="AK57" s="133">
        <v>1001425</v>
      </c>
      <c r="AL57" s="133">
        <v>898276</v>
      </c>
      <c r="AM57" s="133"/>
      <c r="AN57" s="133">
        <v>876976</v>
      </c>
      <c r="AO57" s="133">
        <v>787680</v>
      </c>
      <c r="AP57" s="133">
        <v>766759</v>
      </c>
      <c r="AQ57" s="148">
        <v>685001</v>
      </c>
      <c r="AR57" s="402"/>
      <c r="AS57" s="148">
        <v>628722</v>
      </c>
      <c r="AT57" s="148">
        <v>610798</v>
      </c>
      <c r="AU57" s="148">
        <v>613808</v>
      </c>
      <c r="AV57" s="148">
        <v>628449</v>
      </c>
      <c r="AW57" s="402"/>
      <c r="AX57" s="148">
        <v>598024</v>
      </c>
    </row>
    <row r="58" spans="1:50" ht="14.25" customHeight="1">
      <c r="A58" s="17"/>
      <c r="B58" s="15" t="s">
        <v>39</v>
      </c>
      <c r="C58" s="38">
        <f>3064844+106565</f>
        <v>3171409</v>
      </c>
      <c r="D58" s="38"/>
      <c r="E58" s="38">
        <v>3043567</v>
      </c>
      <c r="F58" s="38">
        <v>2912822</v>
      </c>
      <c r="G58" s="38">
        <v>3927231</v>
      </c>
      <c r="H58" s="38">
        <f>4591700+67096</f>
        <v>4658796</v>
      </c>
      <c r="J58" s="38">
        <v>4647095</v>
      </c>
      <c r="K58" s="38">
        <v>4497762</v>
      </c>
      <c r="L58" s="38">
        <v>4623075</v>
      </c>
      <c r="M58" s="38">
        <f>4372169+46944</f>
        <v>4419113</v>
      </c>
      <c r="N58" s="132">
        <v>4590566</v>
      </c>
      <c r="P58" s="133">
        <v>4440335</v>
      </c>
      <c r="Q58" s="133">
        <v>4440335</v>
      </c>
      <c r="R58" s="133">
        <v>5002149</v>
      </c>
      <c r="S58" s="133">
        <v>5002149</v>
      </c>
      <c r="T58" s="133">
        <v>4845056</v>
      </c>
      <c r="U58" s="133">
        <v>4845056</v>
      </c>
      <c r="V58" s="133">
        <v>4644438</v>
      </c>
      <c r="X58" s="133">
        <v>4602924</v>
      </c>
      <c r="Y58" s="133">
        <v>5533341</v>
      </c>
      <c r="Z58" s="133">
        <v>5462254</v>
      </c>
      <c r="AA58" s="133">
        <v>6653888</v>
      </c>
      <c r="AB58" s="133"/>
      <c r="AC58" s="133">
        <v>6526872</v>
      </c>
      <c r="AD58" s="133">
        <v>6995045</v>
      </c>
      <c r="AE58" s="133">
        <v>7074488</v>
      </c>
      <c r="AF58" s="133">
        <v>6854570</v>
      </c>
      <c r="AG58" s="133">
        <v>6854570</v>
      </c>
      <c r="AI58" s="133">
        <v>6794222</v>
      </c>
      <c r="AJ58" s="133">
        <v>7595221</v>
      </c>
      <c r="AK58" s="133">
        <v>8129311</v>
      </c>
      <c r="AL58" s="133">
        <v>8838335</v>
      </c>
      <c r="AM58" s="133"/>
      <c r="AN58" s="133">
        <v>9384274</v>
      </c>
      <c r="AO58" s="133">
        <v>8958167</v>
      </c>
      <c r="AP58" s="133">
        <v>9011711</v>
      </c>
      <c r="AQ58" s="148">
        <v>8974024</v>
      </c>
      <c r="AR58" s="402"/>
      <c r="AS58" s="148">
        <v>9119216</v>
      </c>
      <c r="AT58" s="148">
        <v>8394999</v>
      </c>
      <c r="AU58" s="148">
        <v>9042901</v>
      </c>
      <c r="AV58" s="148">
        <v>8678684</v>
      </c>
      <c r="AW58" s="402"/>
      <c r="AX58" s="148">
        <v>8580049</v>
      </c>
    </row>
    <row r="59" spans="1:50" ht="15.75" customHeight="1">
      <c r="B59" s="163" t="s">
        <v>134</v>
      </c>
      <c r="C59" s="40">
        <v>1082682</v>
      </c>
      <c r="D59" s="38"/>
      <c r="E59" s="40">
        <v>937720</v>
      </c>
      <c r="F59" s="40">
        <v>1026571</v>
      </c>
      <c r="G59" s="40">
        <v>1051518</v>
      </c>
      <c r="H59" s="40">
        <v>1233745</v>
      </c>
      <c r="J59" s="40">
        <v>1496677</v>
      </c>
      <c r="K59" s="40">
        <v>1160716</v>
      </c>
      <c r="L59" s="40">
        <v>1422773</v>
      </c>
      <c r="M59" s="40">
        <v>1616905</v>
      </c>
      <c r="N59" s="132">
        <v>1831534</v>
      </c>
      <c r="P59" s="133">
        <v>1608607</v>
      </c>
      <c r="Q59" s="133">
        <v>1809850</v>
      </c>
      <c r="R59" s="133">
        <v>1475083</v>
      </c>
      <c r="S59" s="133">
        <v>1666161</v>
      </c>
      <c r="T59" s="133">
        <v>1617068</v>
      </c>
      <c r="U59" s="133">
        <v>1621409</v>
      </c>
      <c r="V59" s="133">
        <v>1580512</v>
      </c>
      <c r="X59" s="133">
        <v>1625768</v>
      </c>
      <c r="Y59" s="133">
        <v>1601257</v>
      </c>
      <c r="Z59" s="133">
        <v>1556485</v>
      </c>
      <c r="AA59" s="133">
        <v>1562383</v>
      </c>
      <c r="AB59" s="133"/>
      <c r="AC59" s="133">
        <v>1422382</v>
      </c>
      <c r="AD59" s="133">
        <v>1434427</v>
      </c>
      <c r="AE59" s="133">
        <v>1376875</v>
      </c>
      <c r="AF59" s="133">
        <v>1385211</v>
      </c>
      <c r="AG59" s="133">
        <v>1345771</v>
      </c>
      <c r="AI59" s="133">
        <v>1399099</v>
      </c>
      <c r="AJ59" s="133">
        <v>1349547</v>
      </c>
      <c r="AK59" s="133">
        <v>1255850</v>
      </c>
      <c r="AL59" s="133">
        <v>1211760</v>
      </c>
      <c r="AM59" s="133"/>
      <c r="AN59" s="133">
        <v>1309687</v>
      </c>
      <c r="AO59" s="133">
        <v>1331404</v>
      </c>
      <c r="AP59" s="133">
        <v>1314492</v>
      </c>
      <c r="AQ59" s="148">
        <v>1112850</v>
      </c>
      <c r="AR59" s="402"/>
      <c r="AS59" s="148">
        <v>1084472</v>
      </c>
      <c r="AT59" s="148">
        <v>1170696</v>
      </c>
      <c r="AU59" s="148">
        <v>1304900</v>
      </c>
      <c r="AV59" s="148">
        <v>1283447</v>
      </c>
      <c r="AW59" s="402"/>
      <c r="AX59" s="148">
        <v>1363584</v>
      </c>
    </row>
    <row r="60" spans="1:50" s="139" customFormat="1" ht="15.75" customHeight="1">
      <c r="B60" s="163" t="s">
        <v>132</v>
      </c>
      <c r="C60" s="30">
        <v>297745</v>
      </c>
      <c r="D60" s="30"/>
      <c r="E60" s="30">
        <v>245262</v>
      </c>
      <c r="F60" s="30">
        <v>265142</v>
      </c>
      <c r="G60" s="30">
        <v>264924</v>
      </c>
      <c r="H60" s="30">
        <v>335882</v>
      </c>
      <c r="I60" s="137"/>
      <c r="J60" s="30">
        <v>294713</v>
      </c>
      <c r="K60" s="30">
        <v>289913</v>
      </c>
      <c r="L60" s="30">
        <v>318008</v>
      </c>
      <c r="M60" s="132">
        <v>202401</v>
      </c>
      <c r="N60" s="132">
        <v>211721</v>
      </c>
      <c r="P60" s="133">
        <v>211505</v>
      </c>
      <c r="Q60" s="133">
        <v>177731</v>
      </c>
      <c r="R60" s="133">
        <v>247320</v>
      </c>
      <c r="S60" s="133">
        <v>167362</v>
      </c>
      <c r="T60" s="133">
        <v>253396</v>
      </c>
      <c r="U60" s="133">
        <v>170984</v>
      </c>
      <c r="V60" s="133">
        <v>298565</v>
      </c>
      <c r="X60" s="133">
        <v>205791</v>
      </c>
      <c r="Y60" s="133">
        <v>315731</v>
      </c>
      <c r="Z60" s="133">
        <v>314449</v>
      </c>
      <c r="AA60" s="133">
        <v>304360</v>
      </c>
      <c r="AB60" s="133"/>
      <c r="AC60" s="133">
        <v>287901</v>
      </c>
      <c r="AD60" s="133">
        <v>298871</v>
      </c>
      <c r="AE60" s="133">
        <v>306413</v>
      </c>
      <c r="AF60" s="133">
        <v>306615</v>
      </c>
      <c r="AG60" s="133">
        <v>306615</v>
      </c>
      <c r="AH60" s="289"/>
      <c r="AI60" s="133">
        <v>225597</v>
      </c>
      <c r="AJ60" s="133">
        <v>224758</v>
      </c>
      <c r="AK60" s="133">
        <v>249137</v>
      </c>
      <c r="AL60" s="133">
        <v>238392</v>
      </c>
      <c r="AM60" s="133"/>
      <c r="AN60" s="133">
        <v>347920</v>
      </c>
      <c r="AO60" s="133">
        <v>279237</v>
      </c>
      <c r="AP60" s="133">
        <v>292857</v>
      </c>
      <c r="AQ60" s="148">
        <v>236086</v>
      </c>
      <c r="AR60" s="402"/>
      <c r="AS60" s="148">
        <v>265849</v>
      </c>
      <c r="AT60" s="148">
        <v>251233</v>
      </c>
      <c r="AU60" s="148">
        <v>266999</v>
      </c>
      <c r="AV60" s="148">
        <v>232008</v>
      </c>
      <c r="AW60" s="402"/>
      <c r="AX60" s="148">
        <v>203191</v>
      </c>
    </row>
    <row r="61" spans="1:50" ht="15.75" customHeight="1">
      <c r="B61" s="18" t="s">
        <v>42</v>
      </c>
      <c r="C61" s="38">
        <f>113196-91334</f>
        <v>21862</v>
      </c>
      <c r="D61" s="38"/>
      <c r="E61" s="38">
        <v>385691</v>
      </c>
      <c r="F61" s="38">
        <v>432007</v>
      </c>
      <c r="G61" s="38">
        <v>105175</v>
      </c>
      <c r="H61" s="38">
        <f>71721-53142</f>
        <v>18579</v>
      </c>
      <c r="J61" s="38">
        <v>319689</v>
      </c>
      <c r="K61" s="38">
        <v>299127</v>
      </c>
      <c r="L61" s="38">
        <v>105536</v>
      </c>
      <c r="M61" s="38">
        <f>99828-34437</f>
        <v>65391</v>
      </c>
      <c r="N61" s="38">
        <f>56780+72079</f>
        <v>128859</v>
      </c>
      <c r="P61" s="133">
        <v>63860</v>
      </c>
      <c r="Q61" s="133">
        <v>97634</v>
      </c>
      <c r="R61" s="133">
        <v>211483</v>
      </c>
      <c r="S61" s="133">
        <f>291441-1</f>
        <v>291440</v>
      </c>
      <c r="T61" s="133">
        <v>240584</v>
      </c>
      <c r="U61" s="133">
        <v>322997</v>
      </c>
      <c r="V61" s="133">
        <f>240793+79157</f>
        <v>319950</v>
      </c>
      <c r="X61" s="133">
        <v>423064</v>
      </c>
      <c r="Y61" s="133">
        <v>328638</v>
      </c>
      <c r="Z61" s="133">
        <v>329979</v>
      </c>
      <c r="AA61" s="133">
        <v>237324</v>
      </c>
      <c r="AB61" s="133"/>
      <c r="AC61" s="133">
        <v>233297</v>
      </c>
      <c r="AD61" s="133">
        <v>262274</v>
      </c>
      <c r="AE61" s="133">
        <v>271243</v>
      </c>
      <c r="AF61" s="133">
        <f>278510-1</f>
        <v>278509</v>
      </c>
      <c r="AG61" s="133">
        <f>278510-1</f>
        <v>278509</v>
      </c>
      <c r="AI61" s="133">
        <v>280961</v>
      </c>
      <c r="AJ61" s="133">
        <v>287788</v>
      </c>
      <c r="AK61" s="133">
        <v>298376</v>
      </c>
      <c r="AL61" s="133">
        <v>268515</v>
      </c>
      <c r="AM61" s="133"/>
      <c r="AN61" s="133">
        <v>311126</v>
      </c>
      <c r="AO61" s="133">
        <v>300811</v>
      </c>
      <c r="AP61" s="133">
        <v>307749</v>
      </c>
      <c r="AQ61" s="148">
        <v>408744</v>
      </c>
      <c r="AR61" s="402"/>
      <c r="AS61" s="148">
        <v>386885</v>
      </c>
      <c r="AT61" s="148">
        <v>311448</v>
      </c>
      <c r="AU61" s="148">
        <v>323988</v>
      </c>
      <c r="AV61" s="148">
        <v>135088</v>
      </c>
      <c r="AW61" s="402"/>
      <c r="AX61" s="148">
        <v>137888</v>
      </c>
    </row>
    <row r="62" spans="1:50" ht="16.5" customHeight="1">
      <c r="B62" s="18" t="s">
        <v>194</v>
      </c>
      <c r="C62" s="38">
        <f>4547+370806</f>
        <v>375353</v>
      </c>
      <c r="D62" s="38"/>
      <c r="E62" s="38">
        <f>5363+391930</f>
        <v>397293</v>
      </c>
      <c r="F62" s="38">
        <f>6801+395002</f>
        <v>401803</v>
      </c>
      <c r="G62" s="38">
        <f>7133+395329</f>
        <v>402462</v>
      </c>
      <c r="H62" s="38">
        <f>7080+374123</f>
        <v>381203</v>
      </c>
      <c r="J62" s="38">
        <f>7001+390595</f>
        <v>397596</v>
      </c>
      <c r="K62" s="38">
        <f>9106+394054</f>
        <v>403160</v>
      </c>
      <c r="L62" s="38">
        <f>9951+388436</f>
        <v>398387</v>
      </c>
      <c r="M62" s="132">
        <f>2932+366140</f>
        <v>369072</v>
      </c>
      <c r="N62" s="132">
        <v>369072</v>
      </c>
      <c r="P62" s="133">
        <f>3227+360684</f>
        <v>363911</v>
      </c>
      <c r="Q62" s="133">
        <f>3227+360684</f>
        <v>363911</v>
      </c>
      <c r="R62" s="133">
        <f>5754+364701</f>
        <v>370455</v>
      </c>
      <c r="S62" s="133">
        <f>5754+364701</f>
        <v>370455</v>
      </c>
      <c r="T62" s="133">
        <f>17875+364824</f>
        <v>382699</v>
      </c>
      <c r="U62" s="133">
        <f>17875+364824</f>
        <v>382699</v>
      </c>
      <c r="V62" s="133">
        <v>440950</v>
      </c>
      <c r="X62" s="133">
        <v>446411</v>
      </c>
      <c r="Y62" s="133">
        <v>453585</v>
      </c>
      <c r="Z62" s="133">
        <v>467709</v>
      </c>
      <c r="AA62" s="133">
        <v>494531</v>
      </c>
      <c r="AB62" s="133"/>
      <c r="AC62" s="133">
        <v>482020</v>
      </c>
      <c r="AD62" s="133">
        <v>484771</v>
      </c>
      <c r="AE62" s="133">
        <v>469005</v>
      </c>
      <c r="AF62" s="133">
        <v>435568</v>
      </c>
      <c r="AG62" s="133">
        <v>435568</v>
      </c>
      <c r="AI62" s="133">
        <v>437095</v>
      </c>
      <c r="AJ62" s="133">
        <v>438445</v>
      </c>
      <c r="AK62" s="133">
        <v>436939</v>
      </c>
      <c r="AL62" s="133">
        <v>441254</v>
      </c>
      <c r="AM62" s="133"/>
      <c r="AN62" s="133">
        <v>446918</v>
      </c>
      <c r="AO62" s="133">
        <v>442592</v>
      </c>
      <c r="AP62" s="133">
        <v>461038</v>
      </c>
      <c r="AQ62" s="148">
        <v>445591</v>
      </c>
      <c r="AR62" s="402"/>
      <c r="AS62" s="148">
        <v>442565</v>
      </c>
      <c r="AT62" s="148">
        <v>444603</v>
      </c>
      <c r="AU62" s="148">
        <v>443352</v>
      </c>
      <c r="AV62" s="148">
        <v>362307</v>
      </c>
      <c r="AW62" s="402"/>
      <c r="AX62" s="148">
        <v>353793</v>
      </c>
    </row>
    <row r="63" spans="1:50" s="139" customFormat="1" ht="16.5" customHeight="1">
      <c r="B63" s="163" t="s">
        <v>133</v>
      </c>
      <c r="C63" s="38">
        <v>0</v>
      </c>
      <c r="D63" s="38"/>
      <c r="E63" s="38">
        <v>0</v>
      </c>
      <c r="F63" s="38">
        <v>0</v>
      </c>
      <c r="G63" s="38">
        <v>0</v>
      </c>
      <c r="H63" s="38">
        <v>0</v>
      </c>
      <c r="I63" s="141"/>
      <c r="J63" s="38">
        <v>0</v>
      </c>
      <c r="K63" s="38">
        <v>0</v>
      </c>
      <c r="L63" s="38">
        <v>0</v>
      </c>
      <c r="M63" s="38">
        <v>0</v>
      </c>
      <c r="N63" s="133">
        <v>0</v>
      </c>
      <c r="O63" s="14"/>
      <c r="P63" s="38">
        <v>0</v>
      </c>
      <c r="Q63" s="38">
        <v>0</v>
      </c>
      <c r="R63" s="38">
        <v>0</v>
      </c>
      <c r="S63" s="38">
        <v>0</v>
      </c>
      <c r="T63" s="38">
        <v>0</v>
      </c>
      <c r="U63" s="38">
        <v>0</v>
      </c>
      <c r="V63" s="38">
        <v>0</v>
      </c>
      <c r="W63" s="14"/>
      <c r="X63" s="38">
        <v>0</v>
      </c>
      <c r="Y63" s="38">
        <v>0</v>
      </c>
      <c r="Z63" s="38">
        <v>0</v>
      </c>
      <c r="AA63" s="38">
        <v>0</v>
      </c>
      <c r="AB63" s="38"/>
      <c r="AC63" s="38">
        <v>0</v>
      </c>
      <c r="AD63" s="38">
        <v>0</v>
      </c>
      <c r="AE63" s="38">
        <v>0</v>
      </c>
      <c r="AF63" s="38">
        <v>0</v>
      </c>
      <c r="AG63" s="38">
        <v>0</v>
      </c>
      <c r="AH63" s="14"/>
      <c r="AI63" s="38">
        <v>0</v>
      </c>
      <c r="AJ63" s="38">
        <v>0</v>
      </c>
      <c r="AK63" s="38">
        <v>0</v>
      </c>
      <c r="AL63" s="38">
        <v>0</v>
      </c>
      <c r="AM63" s="38"/>
      <c r="AN63" s="38">
        <v>0</v>
      </c>
      <c r="AO63" s="38">
        <v>0</v>
      </c>
      <c r="AP63" s="38">
        <v>0</v>
      </c>
      <c r="AQ63" s="215">
        <v>0</v>
      </c>
      <c r="AR63" s="402"/>
      <c r="AS63" s="215">
        <v>0</v>
      </c>
      <c r="AT63" s="215">
        <v>0</v>
      </c>
      <c r="AU63" s="215">
        <v>0</v>
      </c>
      <c r="AV63" s="215">
        <v>0</v>
      </c>
      <c r="AW63" s="402"/>
      <c r="AX63" s="215">
        <v>0</v>
      </c>
    </row>
    <row r="64" spans="1:50" s="142" customFormat="1" ht="16.5" customHeight="1">
      <c r="B64" s="163" t="s">
        <v>136</v>
      </c>
      <c r="C64" s="38">
        <v>45985</v>
      </c>
      <c r="D64" s="38"/>
      <c r="E64" s="38">
        <v>51911</v>
      </c>
      <c r="F64" s="38">
        <v>36441</v>
      </c>
      <c r="G64" s="38">
        <v>62821</v>
      </c>
      <c r="H64" s="38">
        <v>126704</v>
      </c>
      <c r="I64" s="140"/>
      <c r="J64" s="38">
        <v>121582</v>
      </c>
      <c r="K64" s="38">
        <v>133199</v>
      </c>
      <c r="L64" s="38">
        <v>175742</v>
      </c>
      <c r="M64" s="132">
        <v>172155</v>
      </c>
      <c r="N64" s="132">
        <v>172155</v>
      </c>
      <c r="P64" s="133">
        <v>135598</v>
      </c>
      <c r="Q64" s="133">
        <v>135598</v>
      </c>
      <c r="R64" s="133">
        <v>113868</v>
      </c>
      <c r="S64" s="133">
        <v>113868</v>
      </c>
      <c r="T64" s="133">
        <v>90431</v>
      </c>
      <c r="U64" s="133">
        <v>90431</v>
      </c>
      <c r="V64" s="133">
        <v>8901</v>
      </c>
      <c r="X64" s="133">
        <v>8925</v>
      </c>
      <c r="Y64" s="133">
        <v>6665</v>
      </c>
      <c r="Z64" s="133">
        <v>1912</v>
      </c>
      <c r="AA64" s="133">
        <v>0</v>
      </c>
      <c r="AB64" s="133"/>
      <c r="AC64" s="133">
        <v>0</v>
      </c>
      <c r="AD64" s="133">
        <v>316</v>
      </c>
      <c r="AE64" s="133">
        <v>805</v>
      </c>
      <c r="AF64" s="133">
        <v>22750</v>
      </c>
      <c r="AG64" s="133">
        <v>22750</v>
      </c>
      <c r="AH64" s="289"/>
      <c r="AI64" s="133">
        <v>32200</v>
      </c>
      <c r="AJ64" s="133">
        <v>51327</v>
      </c>
      <c r="AK64" s="133">
        <v>61469</v>
      </c>
      <c r="AL64" s="133">
        <v>48719</v>
      </c>
      <c r="AM64" s="133"/>
      <c r="AN64" s="133">
        <v>113346</v>
      </c>
      <c r="AO64" s="133">
        <v>109209</v>
      </c>
      <c r="AP64" s="133">
        <v>105934</v>
      </c>
      <c r="AQ64" s="148">
        <v>95940</v>
      </c>
      <c r="AR64" s="402"/>
      <c r="AS64" s="148">
        <v>78410</v>
      </c>
      <c r="AT64" s="148">
        <v>68916</v>
      </c>
      <c r="AU64" s="148">
        <v>61229</v>
      </c>
      <c r="AV64" s="148">
        <v>48373</v>
      </c>
      <c r="AW64" s="402"/>
      <c r="AX64" s="148">
        <v>29416</v>
      </c>
    </row>
    <row r="65" spans="1:50" s="144" customFormat="1" ht="16.5" customHeight="1">
      <c r="B65" s="163" t="s">
        <v>137</v>
      </c>
      <c r="C65" s="38">
        <v>0</v>
      </c>
      <c r="D65" s="38"/>
      <c r="E65" s="38">
        <v>0</v>
      </c>
      <c r="F65" s="38">
        <v>0</v>
      </c>
      <c r="G65" s="38">
        <v>0</v>
      </c>
      <c r="H65" s="38">
        <f>446-446</f>
        <v>0</v>
      </c>
      <c r="I65" s="143"/>
      <c r="J65" s="38">
        <v>41762</v>
      </c>
      <c r="K65" s="38">
        <v>30</v>
      </c>
      <c r="L65" s="38">
        <v>0</v>
      </c>
      <c r="M65" s="132">
        <v>0</v>
      </c>
      <c r="N65" s="132">
        <v>0</v>
      </c>
      <c r="P65" s="133">
        <v>0</v>
      </c>
      <c r="Q65" s="133">
        <v>0</v>
      </c>
      <c r="R65" s="133">
        <v>0</v>
      </c>
      <c r="S65" s="133">
        <v>0</v>
      </c>
      <c r="T65" s="133">
        <v>0</v>
      </c>
      <c r="U65" s="133">
        <v>0</v>
      </c>
      <c r="V65" s="133">
        <v>0</v>
      </c>
      <c r="X65" s="133">
        <v>0</v>
      </c>
      <c r="Y65" s="133">
        <v>0</v>
      </c>
      <c r="Z65" s="133">
        <v>0</v>
      </c>
      <c r="AA65" s="133">
        <v>0</v>
      </c>
      <c r="AB65" s="133"/>
      <c r="AC65" s="133">
        <v>0</v>
      </c>
      <c r="AD65" s="133">
        <v>0</v>
      </c>
      <c r="AE65" s="133">
        <v>0</v>
      </c>
      <c r="AF65" s="133">
        <v>0</v>
      </c>
      <c r="AG65" s="133">
        <v>0</v>
      </c>
      <c r="AH65" s="289"/>
      <c r="AI65" s="133">
        <v>0</v>
      </c>
      <c r="AJ65" s="133">
        <v>0</v>
      </c>
      <c r="AK65" s="133">
        <v>0</v>
      </c>
      <c r="AL65" s="133">
        <v>0</v>
      </c>
      <c r="AM65" s="133"/>
      <c r="AN65" s="133">
        <v>0</v>
      </c>
      <c r="AO65" s="133">
        <v>0</v>
      </c>
      <c r="AP65" s="133">
        <v>0</v>
      </c>
      <c r="AQ65" s="148">
        <v>0</v>
      </c>
      <c r="AR65" s="402"/>
      <c r="AS65" s="148">
        <v>0</v>
      </c>
      <c r="AT65" s="148">
        <v>0</v>
      </c>
      <c r="AU65" s="148">
        <v>0</v>
      </c>
      <c r="AV65" s="148">
        <v>0</v>
      </c>
      <c r="AW65" s="402"/>
      <c r="AX65" s="148">
        <v>0</v>
      </c>
    </row>
    <row r="66" spans="1:50" ht="16.5" customHeight="1">
      <c r="A66" s="17"/>
      <c r="B66" s="18" t="s">
        <v>271</v>
      </c>
      <c r="C66" s="38">
        <v>25476</v>
      </c>
      <c r="D66" s="38"/>
      <c r="E66" s="40">
        <f>20905+1</f>
        <v>20906</v>
      </c>
      <c r="F66" s="40">
        <v>79489</v>
      </c>
      <c r="G66" s="40">
        <v>-26163</v>
      </c>
      <c r="H66" s="40">
        <f>25537+446</f>
        <v>25983</v>
      </c>
      <c r="J66" s="38">
        <f>40497</f>
        <v>40497</v>
      </c>
      <c r="K66" s="38">
        <f>9105</f>
        <v>9105</v>
      </c>
      <c r="L66" s="40">
        <f>188355-1</f>
        <v>188354</v>
      </c>
      <c r="M66" s="132">
        <v>102655</v>
      </c>
      <c r="N66" s="132">
        <v>102655</v>
      </c>
      <c r="P66" s="133">
        <v>124495</v>
      </c>
      <c r="Q66" s="133">
        <v>124495</v>
      </c>
      <c r="R66" s="133">
        <v>201607</v>
      </c>
      <c r="S66" s="133">
        <v>201607</v>
      </c>
      <c r="T66" s="133">
        <v>256588</v>
      </c>
      <c r="U66" s="133">
        <v>256588</v>
      </c>
      <c r="V66" s="133">
        <v>246984</v>
      </c>
      <c r="X66" s="133">
        <v>414741</v>
      </c>
      <c r="Y66" s="133">
        <v>441063</v>
      </c>
      <c r="Z66" s="133">
        <v>430327</v>
      </c>
      <c r="AA66" s="133">
        <v>401163</v>
      </c>
      <c r="AB66" s="133"/>
      <c r="AC66" s="133">
        <v>424741</v>
      </c>
      <c r="AD66" s="133">
        <v>436401</v>
      </c>
      <c r="AE66" s="133">
        <v>455659</v>
      </c>
      <c r="AF66" s="133">
        <v>464538</v>
      </c>
      <c r="AG66" s="133">
        <v>464538</v>
      </c>
      <c r="AI66" s="133">
        <v>474959</v>
      </c>
      <c r="AJ66" s="133">
        <v>495347</v>
      </c>
      <c r="AK66" s="133">
        <v>512877</v>
      </c>
      <c r="AL66" s="133">
        <v>510775</v>
      </c>
      <c r="AM66" s="133"/>
      <c r="AN66" s="133">
        <v>540104</v>
      </c>
      <c r="AO66" s="133">
        <v>540862</v>
      </c>
      <c r="AP66" s="133">
        <v>561363</v>
      </c>
      <c r="AQ66" s="148">
        <v>575101</v>
      </c>
      <c r="AR66" s="402"/>
      <c r="AS66" s="148">
        <v>593158</v>
      </c>
      <c r="AT66" s="148">
        <v>607375</v>
      </c>
      <c r="AU66" s="148">
        <v>619555</v>
      </c>
      <c r="AV66" s="148">
        <v>610589</v>
      </c>
      <c r="AW66" s="402"/>
      <c r="AX66" s="148">
        <v>626014</v>
      </c>
    </row>
    <row r="67" spans="1:50" ht="12" customHeight="1">
      <c r="B67" s="18"/>
      <c r="C67" s="39"/>
      <c r="D67" s="39"/>
      <c r="E67" s="39"/>
      <c r="F67" s="39"/>
      <c r="G67" s="39"/>
      <c r="H67" s="39"/>
      <c r="J67" s="39"/>
      <c r="K67" s="39"/>
      <c r="L67" s="39"/>
      <c r="M67" s="39"/>
      <c r="N67" s="39"/>
      <c r="P67" s="30"/>
      <c r="Q67" s="30"/>
      <c r="R67" s="30"/>
      <c r="S67" s="30"/>
      <c r="T67" s="30"/>
      <c r="U67" s="30"/>
      <c r="V67" s="30"/>
      <c r="X67" s="30"/>
      <c r="Y67" s="30"/>
      <c r="Z67" s="30"/>
      <c r="AA67" s="30"/>
      <c r="AB67" s="30"/>
      <c r="AC67" s="30"/>
      <c r="AD67" s="30"/>
      <c r="AE67" s="30"/>
      <c r="AF67" s="30"/>
      <c r="AG67" s="30"/>
      <c r="AI67" s="30"/>
      <c r="AJ67" s="30"/>
      <c r="AK67" s="30"/>
      <c r="AL67" s="30"/>
      <c r="AM67" s="30"/>
      <c r="AN67" s="30"/>
      <c r="AO67" s="30"/>
      <c r="AP67" s="30"/>
      <c r="AQ67" s="301"/>
      <c r="AR67" s="402"/>
      <c r="AS67" s="301"/>
      <c r="AT67" s="301"/>
      <c r="AU67" s="301"/>
      <c r="AV67" s="301"/>
      <c r="AW67" s="402"/>
      <c r="AX67" s="301"/>
    </row>
    <row r="68" spans="1:50" ht="13">
      <c r="B68" s="32" t="s">
        <v>57</v>
      </c>
      <c r="C68" s="33">
        <f>SUM(C56:C67)</f>
        <v>6249353</v>
      </c>
      <c r="D68" s="33"/>
      <c r="E68" s="33">
        <f>SUM(E56:E67)</f>
        <v>7579322</v>
      </c>
      <c r="F68" s="33">
        <f>SUM(F56:F67)</f>
        <v>6172318</v>
      </c>
      <c r="G68" s="33">
        <f>SUM(G56:G67)</f>
        <v>7637479</v>
      </c>
      <c r="H68" s="33">
        <f>SUM(H56:H67)</f>
        <v>9858167</v>
      </c>
      <c r="I68" s="29"/>
      <c r="J68" s="33">
        <f>SUM(J56:J67)</f>
        <v>10365667</v>
      </c>
      <c r="K68" s="33">
        <f>SUM(K56:K67)</f>
        <v>10432069</v>
      </c>
      <c r="L68" s="33">
        <f>SUM(L56:L67)</f>
        <v>11680762</v>
      </c>
      <c r="M68" s="33">
        <f>SUM(M56:M67)</f>
        <v>11895949</v>
      </c>
      <c r="N68" s="33">
        <f>SUM(N56:N67)</f>
        <v>12395477</v>
      </c>
      <c r="P68" s="33">
        <f t="shared" ref="P68:V68" si="12">SUM(P56:P67)</f>
        <v>11884669</v>
      </c>
      <c r="Q68" s="33">
        <f t="shared" si="12"/>
        <v>12085912</v>
      </c>
      <c r="R68" s="33">
        <f t="shared" si="12"/>
        <v>13022219</v>
      </c>
      <c r="S68" s="33">
        <f t="shared" si="12"/>
        <v>13213296</v>
      </c>
      <c r="T68" s="33">
        <f t="shared" si="12"/>
        <v>13126826</v>
      </c>
      <c r="U68" s="33">
        <f t="shared" ref="U68" si="13">SUM(U56:U67)</f>
        <v>13131168</v>
      </c>
      <c r="V68" s="33">
        <f t="shared" si="12"/>
        <v>13903859</v>
      </c>
      <c r="X68" s="33">
        <f>SUM(X56:X67)</f>
        <v>14049073</v>
      </c>
      <c r="Y68" s="33">
        <f t="shared" ref="Y68:Z68" si="14">SUM(Y56:Y67)</f>
        <v>15498532</v>
      </c>
      <c r="Z68" s="33">
        <f t="shared" si="14"/>
        <v>14720473</v>
      </c>
      <c r="AA68" s="33">
        <f t="shared" ref="AA68:AC68" si="15">SUM(AA56:AA67)</f>
        <v>16153054</v>
      </c>
      <c r="AB68" s="33"/>
      <c r="AC68" s="33">
        <f t="shared" si="15"/>
        <v>14561959</v>
      </c>
      <c r="AD68" s="33">
        <f t="shared" ref="AD68:AF68" si="16">SUM(AD56:AD67)</f>
        <v>15345520</v>
      </c>
      <c r="AE68" s="33">
        <f t="shared" si="16"/>
        <v>14978580</v>
      </c>
      <c r="AF68" s="33">
        <f t="shared" si="16"/>
        <v>16111769</v>
      </c>
      <c r="AG68" s="33">
        <f t="shared" ref="AG68" si="17">SUM(AG56:AG67)</f>
        <v>16072329</v>
      </c>
      <c r="AI68" s="33">
        <v>16175543</v>
      </c>
      <c r="AJ68" s="33">
        <v>17748038</v>
      </c>
      <c r="AK68" s="33">
        <v>18269670</v>
      </c>
      <c r="AL68" s="33">
        <v>17574166</v>
      </c>
      <c r="AM68" s="33"/>
      <c r="AN68" s="33">
        <v>19524690</v>
      </c>
      <c r="AO68" s="33">
        <v>18600618</v>
      </c>
      <c r="AP68" s="33">
        <v>19176995</v>
      </c>
      <c r="AQ68" s="329">
        <f t="shared" ref="AQ68" si="18">SUM(AQ56:AQ67)</f>
        <v>17919567</v>
      </c>
      <c r="AR68" s="402"/>
      <c r="AS68" s="329">
        <f t="shared" ref="AS68:AV68" si="19">SUM(AS56:AS67)</f>
        <v>18609125</v>
      </c>
      <c r="AT68" s="329">
        <f t="shared" si="19"/>
        <v>17103236</v>
      </c>
      <c r="AU68" s="329">
        <f t="shared" si="19"/>
        <v>17234935</v>
      </c>
      <c r="AV68" s="329">
        <f t="shared" si="19"/>
        <v>16017823</v>
      </c>
      <c r="AW68" s="402"/>
      <c r="AX68" s="329">
        <f t="shared" ref="AX68" si="20">SUM(AX56:AX67)</f>
        <v>15993310</v>
      </c>
    </row>
    <row r="69" spans="1:50" ht="3.75" customHeight="1">
      <c r="B69" s="18"/>
      <c r="C69" s="39"/>
      <c r="D69" s="39"/>
      <c r="E69" s="39"/>
      <c r="F69" s="39"/>
      <c r="G69" s="39"/>
      <c r="H69" s="39"/>
      <c r="J69" s="39"/>
      <c r="K69" s="39"/>
      <c r="L69" s="39"/>
      <c r="M69" s="39"/>
      <c r="N69" s="39"/>
      <c r="P69" s="30"/>
      <c r="Q69" s="30"/>
      <c r="R69" s="30"/>
      <c r="S69" s="30"/>
      <c r="T69" s="30"/>
      <c r="U69" s="30"/>
      <c r="V69" s="30"/>
      <c r="X69" s="30"/>
      <c r="Y69" s="30"/>
      <c r="Z69" s="30"/>
      <c r="AA69" s="30"/>
      <c r="AB69" s="30"/>
      <c r="AC69" s="30"/>
      <c r="AD69" s="30"/>
      <c r="AE69" s="30"/>
      <c r="AF69" s="30"/>
      <c r="AG69" s="30"/>
      <c r="AI69" s="30"/>
      <c r="AJ69" s="30"/>
      <c r="AK69" s="30"/>
      <c r="AL69" s="30"/>
      <c r="AM69" s="30"/>
      <c r="AN69" s="30"/>
      <c r="AO69" s="30"/>
      <c r="AP69" s="30"/>
      <c r="AQ69" s="301"/>
      <c r="AR69" s="402"/>
      <c r="AS69" s="301"/>
      <c r="AT69" s="301"/>
      <c r="AU69" s="301"/>
      <c r="AV69" s="301"/>
      <c r="AW69" s="402"/>
      <c r="AX69" s="301"/>
    </row>
    <row r="70" spans="1:50" ht="16.5" customHeight="1">
      <c r="B70" s="47" t="s">
        <v>58</v>
      </c>
      <c r="C70" s="50">
        <f>+C54+C68</f>
        <v>9001507</v>
      </c>
      <c r="D70" s="50"/>
      <c r="E70" s="50">
        <f>+E54+E68</f>
        <v>11229979</v>
      </c>
      <c r="F70" s="50">
        <f>+F54+F68</f>
        <v>11717199</v>
      </c>
      <c r="G70" s="50">
        <f>+G54+G68</f>
        <v>11858914</v>
      </c>
      <c r="H70" s="50">
        <f>+H54+H68</f>
        <v>13912123</v>
      </c>
      <c r="I70" s="49"/>
      <c r="J70" s="50">
        <f>+J54+J68</f>
        <v>15226936</v>
      </c>
      <c r="K70" s="50">
        <f>+K54+K68</f>
        <v>15196516</v>
      </c>
      <c r="L70" s="50">
        <f>+L54+L68</f>
        <v>17802924</v>
      </c>
      <c r="M70" s="50">
        <f>+M54+M68</f>
        <v>18885214</v>
      </c>
      <c r="N70" s="50">
        <f>+N54+N68</f>
        <v>19106311</v>
      </c>
      <c r="P70" s="33">
        <f t="shared" ref="P70:V70" si="21">+P54+P68</f>
        <v>19244562</v>
      </c>
      <c r="Q70" s="33">
        <f t="shared" si="21"/>
        <v>19455078</v>
      </c>
      <c r="R70" s="33">
        <f t="shared" si="21"/>
        <v>19564933</v>
      </c>
      <c r="S70" s="33">
        <f t="shared" si="21"/>
        <v>19759112</v>
      </c>
      <c r="T70" s="33">
        <f t="shared" si="21"/>
        <v>19750307</v>
      </c>
      <c r="U70" s="33">
        <f t="shared" ref="U70" si="22">+U54+U68</f>
        <v>19746715</v>
      </c>
      <c r="V70" s="33">
        <f t="shared" si="21"/>
        <v>21114978</v>
      </c>
      <c r="X70" s="33">
        <f>+X54+X68</f>
        <v>23880493</v>
      </c>
      <c r="Y70" s="33">
        <f t="shared" ref="Y70:Z70" si="23">+Y54+Y68</f>
        <v>24018124</v>
      </c>
      <c r="Z70" s="33">
        <f t="shared" si="23"/>
        <v>23288094</v>
      </c>
      <c r="AA70" s="33">
        <f t="shared" ref="AA70:AC70" si="24">+AA54+AA68</f>
        <v>23260800</v>
      </c>
      <c r="AB70" s="33"/>
      <c r="AC70" s="33">
        <f t="shared" si="24"/>
        <v>22129672</v>
      </c>
      <c r="AD70" s="33">
        <f t="shared" ref="AD70:AF70" si="25">+AD54+AD68</f>
        <v>22881345</v>
      </c>
      <c r="AE70" s="33">
        <f t="shared" si="25"/>
        <v>22626985</v>
      </c>
      <c r="AF70" s="33">
        <f t="shared" si="25"/>
        <v>23141616</v>
      </c>
      <c r="AG70" s="33">
        <f t="shared" ref="AG70" si="26">+AG54+AG68</f>
        <v>23075145</v>
      </c>
      <c r="AI70" s="33">
        <v>24266859</v>
      </c>
      <c r="AJ70" s="33">
        <v>26105653</v>
      </c>
      <c r="AK70" s="33">
        <v>26106168</v>
      </c>
      <c r="AL70" s="33">
        <v>24334884</v>
      </c>
      <c r="AM70" s="33"/>
      <c r="AN70" s="33">
        <v>27950952</v>
      </c>
      <c r="AO70" s="33">
        <v>26955901</v>
      </c>
      <c r="AP70" s="33">
        <v>26460958</v>
      </c>
      <c r="AQ70" s="329">
        <f t="shared" ref="AQ70" si="27">+AQ54+AQ68</f>
        <v>24543716</v>
      </c>
      <c r="AR70" s="402"/>
      <c r="AS70" s="329">
        <f t="shared" ref="AS70:AV70" si="28">+AS54+AS68</f>
        <v>26032506</v>
      </c>
      <c r="AT70" s="329">
        <f t="shared" si="28"/>
        <v>25066325</v>
      </c>
      <c r="AU70" s="329">
        <f t="shared" si="28"/>
        <v>25362138</v>
      </c>
      <c r="AV70" s="329">
        <f t="shared" si="28"/>
        <v>23782786</v>
      </c>
      <c r="AW70" s="402"/>
      <c r="AX70" s="329">
        <f t="shared" ref="AX70" si="29">+AX54+AX68</f>
        <v>23963446</v>
      </c>
    </row>
    <row r="71" spans="1:50" ht="16.5" customHeight="1">
      <c r="B71" s="51" t="s">
        <v>48</v>
      </c>
      <c r="C71" s="52">
        <f>+C70/C94</f>
        <v>4671.6664158228805</v>
      </c>
      <c r="D71" s="52"/>
      <c r="E71" s="52">
        <f>+E70/E94</f>
        <v>5714.0714998066478</v>
      </c>
      <c r="F71" s="52">
        <f>+F70/F94</f>
        <v>6228.6100819162339</v>
      </c>
      <c r="G71" s="52">
        <f>+G70/G94</f>
        <v>5846.207012147026</v>
      </c>
      <c r="H71" s="52">
        <f>+H70/H94</f>
        <v>5814.9866664437441</v>
      </c>
      <c r="I71" s="53"/>
      <c r="J71" s="52">
        <f>+J70/J94</f>
        <v>5910.9629083286427</v>
      </c>
      <c r="K71" s="52">
        <f>+K70/K94</f>
        <v>5878.4794457489234</v>
      </c>
      <c r="L71" s="52">
        <f>+L70/L94</f>
        <v>5702.5195871797659</v>
      </c>
      <c r="M71" s="52">
        <f>+M70/M94</f>
        <v>5996.3149355288351</v>
      </c>
      <c r="N71" s="52">
        <f>+N70/N94</f>
        <v>6066.5162709916276</v>
      </c>
      <c r="P71" s="178">
        <f t="shared" ref="P71:V71" si="30">+P70/P94</f>
        <v>6367.4167452479032</v>
      </c>
      <c r="Q71" s="178">
        <f t="shared" si="30"/>
        <v>6437.0698297682266</v>
      </c>
      <c r="R71" s="178">
        <f t="shared" si="30"/>
        <v>6709.1655093187937</v>
      </c>
      <c r="S71" s="178">
        <f t="shared" si="30"/>
        <v>6775.7529619532597</v>
      </c>
      <c r="T71" s="178">
        <f t="shared" si="30"/>
        <v>6857.8645462594841</v>
      </c>
      <c r="U71" s="178">
        <f t="shared" ref="U71" si="31">+U70/U94</f>
        <v>6856.6173023837227</v>
      </c>
      <c r="V71" s="178">
        <f t="shared" si="30"/>
        <v>7036.6606569778487</v>
      </c>
      <c r="X71" s="178">
        <f>+X70/X94</f>
        <v>8291.1469183123627</v>
      </c>
      <c r="Y71" s="178">
        <f t="shared" ref="Y71:AC71" si="32">+Y70/Y94</f>
        <v>7905.223384437144</v>
      </c>
      <c r="Z71" s="178">
        <f t="shared" si="32"/>
        <v>7930.1024629937992</v>
      </c>
      <c r="AA71" s="178">
        <f t="shared" si="32"/>
        <v>7795.1742627345848</v>
      </c>
      <c r="AB71" s="178"/>
      <c r="AC71" s="178">
        <f t="shared" si="32"/>
        <v>7958.968088128986</v>
      </c>
      <c r="AD71" s="178">
        <f t="shared" ref="AD71:AF71" si="33">+AD70/AD94</f>
        <v>7807.201105500204</v>
      </c>
      <c r="AE71" s="178">
        <f t="shared" si="33"/>
        <v>7612.92552940939</v>
      </c>
      <c r="AF71" s="178">
        <f t="shared" si="33"/>
        <v>7121.0450034618052</v>
      </c>
      <c r="AG71" s="178">
        <f t="shared" ref="AG71" si="34">+AG70/AG94</f>
        <v>7100.5908146780521</v>
      </c>
      <c r="AI71" s="178">
        <v>7643.6107585068621</v>
      </c>
      <c r="AJ71" s="178">
        <v>8143.587144029173</v>
      </c>
      <c r="AK71" s="178">
        <v>7540.754648311241</v>
      </c>
      <c r="AL71" s="178">
        <v>7425.6467529614238</v>
      </c>
      <c r="AM71" s="178"/>
      <c r="AN71" s="178">
        <v>6876.3243546438825</v>
      </c>
      <c r="AO71" s="178">
        <v>7171.2014919218609</v>
      </c>
      <c r="AP71" s="178">
        <v>6821.6981958988799</v>
      </c>
      <c r="AQ71" s="403">
        <f t="shared" ref="AQ71" si="35">+AQ70/AQ94</f>
        <v>7150.3906773488707</v>
      </c>
      <c r="AR71" s="402"/>
      <c r="AS71" s="403">
        <f t="shared" ref="AS71:AV71" si="36">+AS70/AS94</f>
        <v>6966.3186964631204</v>
      </c>
      <c r="AT71" s="403">
        <f t="shared" si="36"/>
        <v>6672.4852063130375</v>
      </c>
      <c r="AU71" s="403">
        <f t="shared" si="36"/>
        <v>6613.886425986002</v>
      </c>
      <c r="AV71" s="403">
        <f t="shared" si="36"/>
        <v>5973.8332546293041</v>
      </c>
      <c r="AW71" s="402"/>
      <c r="AX71" s="403">
        <f t="shared" ref="AX71" si="37">+AX70/AX94</f>
        <v>6393.4063471312511</v>
      </c>
    </row>
    <row r="72" spans="1:50">
      <c r="C72" s="39"/>
      <c r="D72" s="39"/>
      <c r="E72" s="39"/>
      <c r="F72" s="39"/>
      <c r="G72" s="39"/>
      <c r="H72" s="39"/>
      <c r="J72" s="39"/>
      <c r="K72" s="39"/>
      <c r="L72" s="39"/>
      <c r="M72" s="39"/>
      <c r="N72" s="39"/>
      <c r="P72" s="30"/>
      <c r="Q72" s="30"/>
      <c r="R72" s="30"/>
      <c r="S72" s="30"/>
      <c r="T72" s="30"/>
      <c r="U72" s="30"/>
      <c r="V72" s="30"/>
      <c r="X72" s="30"/>
      <c r="Y72" s="30"/>
      <c r="Z72" s="30"/>
      <c r="AA72" s="30"/>
      <c r="AB72" s="30"/>
      <c r="AC72" s="30"/>
      <c r="AD72" s="30"/>
      <c r="AE72" s="30"/>
      <c r="AF72" s="30"/>
      <c r="AG72" s="30"/>
      <c r="AI72" s="30"/>
      <c r="AJ72" s="30"/>
      <c r="AK72" s="30"/>
      <c r="AL72" s="30"/>
      <c r="AM72" s="30"/>
      <c r="AN72" s="30"/>
      <c r="AO72" s="30"/>
      <c r="AP72" s="30"/>
      <c r="AQ72" s="301"/>
      <c r="AR72" s="402"/>
      <c r="AS72" s="301"/>
      <c r="AT72" s="301"/>
      <c r="AU72" s="301"/>
      <c r="AV72" s="301"/>
      <c r="AW72" s="402"/>
      <c r="AX72" s="301"/>
    </row>
    <row r="73" spans="1:50" ht="16.5" customHeight="1">
      <c r="B73" s="47" t="s">
        <v>52</v>
      </c>
      <c r="C73" s="50">
        <f>+C86</f>
        <v>18983389</v>
      </c>
      <c r="D73" s="50"/>
      <c r="E73" s="50">
        <f>+E86</f>
        <v>19568688</v>
      </c>
      <c r="F73" s="50">
        <f>+F86</f>
        <v>19721544</v>
      </c>
      <c r="G73" s="50">
        <f>+G86</f>
        <v>19940759</v>
      </c>
      <c r="H73" s="50">
        <f>+H86</f>
        <v>20387361</v>
      </c>
      <c r="I73" s="49"/>
      <c r="J73" s="50">
        <f>+J86</f>
        <v>18909158</v>
      </c>
      <c r="K73" s="50">
        <f>+K86</f>
        <v>20047792</v>
      </c>
      <c r="L73" s="50">
        <f>+L86</f>
        <v>22304092</v>
      </c>
      <c r="M73" s="50">
        <f>+M86</f>
        <v>22889799</v>
      </c>
      <c r="N73" s="50">
        <f>+N86</f>
        <v>22974090</v>
      </c>
      <c r="P73" s="33">
        <f t="shared" ref="P73:V73" si="38">+P86</f>
        <v>22316545</v>
      </c>
      <c r="Q73" s="33">
        <f t="shared" si="38"/>
        <v>22416574</v>
      </c>
      <c r="R73" s="33">
        <f t="shared" si="38"/>
        <v>22378748</v>
      </c>
      <c r="S73" s="33">
        <f t="shared" si="38"/>
        <v>22482543</v>
      </c>
      <c r="T73" s="33">
        <f t="shared" si="38"/>
        <v>22786490</v>
      </c>
      <c r="U73" s="33">
        <f t="shared" ref="U73" si="39">+U86</f>
        <v>22741000</v>
      </c>
      <c r="V73" s="33">
        <f t="shared" si="38"/>
        <v>23634596</v>
      </c>
      <c r="X73" s="33">
        <f>+X86</f>
        <v>23135940</v>
      </c>
      <c r="Y73" s="33">
        <f t="shared" ref="Y73:Z73" si="40">+Y86</f>
        <v>23696395</v>
      </c>
      <c r="Z73" s="33">
        <f t="shared" si="40"/>
        <v>23875786</v>
      </c>
      <c r="AA73" s="33">
        <f t="shared" ref="AA73:AC73" si="41">+AA86</f>
        <v>24307148</v>
      </c>
      <c r="AB73" s="33"/>
      <c r="AC73" s="33">
        <f t="shared" si="41"/>
        <v>23594286</v>
      </c>
      <c r="AD73" s="33">
        <f t="shared" ref="AD73:AF73" si="42">+AD86</f>
        <v>23888563</v>
      </c>
      <c r="AE73" s="33">
        <f t="shared" si="42"/>
        <v>24279950</v>
      </c>
      <c r="AF73" s="33">
        <f t="shared" si="42"/>
        <v>25572737</v>
      </c>
      <c r="AG73" s="33">
        <f t="shared" ref="AG73" si="43">+AG86</f>
        <v>25572737</v>
      </c>
      <c r="AI73" s="33">
        <v>24943947</v>
      </c>
      <c r="AJ73" s="33">
        <v>25179773</v>
      </c>
      <c r="AK73" s="33">
        <v>26633443</v>
      </c>
      <c r="AL73" s="33">
        <v>26490257</v>
      </c>
      <c r="AM73" s="33"/>
      <c r="AN73" s="33">
        <v>27828783</v>
      </c>
      <c r="AO73" s="33">
        <v>26956418</v>
      </c>
      <c r="AP73" s="33">
        <v>27811046</v>
      </c>
      <c r="AQ73" s="329">
        <f t="shared" ref="AQ73" si="44">+AQ86</f>
        <v>26229851</v>
      </c>
      <c r="AR73" s="402"/>
      <c r="AS73" s="329">
        <f t="shared" ref="AS73:AV73" si="45">+AS86</f>
        <v>26797362</v>
      </c>
      <c r="AT73" s="329">
        <f t="shared" si="45"/>
        <v>27485409</v>
      </c>
      <c r="AU73" s="329">
        <f t="shared" si="45"/>
        <v>27820997</v>
      </c>
      <c r="AV73" s="329">
        <f t="shared" si="45"/>
        <v>28806558</v>
      </c>
      <c r="AW73" s="402"/>
      <c r="AX73" s="329">
        <f t="shared" ref="AX73" si="46">+AX86</f>
        <v>28055023</v>
      </c>
    </row>
    <row r="74" spans="1:50" s="14" customFormat="1" ht="16.5" customHeight="1">
      <c r="B74" s="51" t="s">
        <v>48</v>
      </c>
      <c r="C74" s="52">
        <f>+C73/C94</f>
        <v>9852.1348536196765</v>
      </c>
      <c r="D74" s="52"/>
      <c r="E74" s="52">
        <f>+E73/E94</f>
        <v>9956.998351413511</v>
      </c>
      <c r="F74" s="52">
        <f>+F73/F94</f>
        <v>10483.547116452883</v>
      </c>
      <c r="G74" s="52">
        <f>+G73/G94</f>
        <v>9830.3946797602148</v>
      </c>
      <c r="H74" s="52">
        <f>+H73/H94</f>
        <v>8521.5054797154389</v>
      </c>
      <c r="I74" s="53"/>
      <c r="J74" s="52">
        <f>+J73/J94</f>
        <v>7340.3691698530693</v>
      </c>
      <c r="K74" s="52">
        <f>+K73/K94</f>
        <v>7755.1021039723646</v>
      </c>
      <c r="L74" s="52">
        <f>+L73/L94</f>
        <v>7144.3051435966099</v>
      </c>
      <c r="M74" s="52">
        <f>+M73/M94</f>
        <v>7267.8256976570665</v>
      </c>
      <c r="N74" s="52">
        <f>+N73/N94</f>
        <v>7294.5892483497228</v>
      </c>
      <c r="P74" s="178">
        <f t="shared" ref="P74:V74" si="47">+P73/P94</f>
        <v>7383.8387347593762</v>
      </c>
      <c r="Q74" s="178">
        <f t="shared" si="47"/>
        <v>7416.9351663440702</v>
      </c>
      <c r="R74" s="178">
        <f t="shared" si="47"/>
        <v>7674.0730072184215</v>
      </c>
      <c r="S74" s="178">
        <f t="shared" si="47"/>
        <v>7709.6661694357281</v>
      </c>
      <c r="T74" s="178">
        <f t="shared" si="47"/>
        <v>7912.1130575183606</v>
      </c>
      <c r="U74" s="178">
        <f t="shared" ref="U74" si="48">+U73/U94</f>
        <v>7896.3176444035489</v>
      </c>
      <c r="V74" s="178">
        <f t="shared" si="47"/>
        <v>7876.3346008111412</v>
      </c>
      <c r="X74" s="178">
        <f>+X73/X94</f>
        <v>8032.6431130739111</v>
      </c>
      <c r="Y74" s="178">
        <f t="shared" ref="Y74:AC74" si="49">+Y73/Y94</f>
        <v>7799.3308670094066</v>
      </c>
      <c r="Z74" s="178">
        <f t="shared" si="49"/>
        <v>8130.2243697793756</v>
      </c>
      <c r="AA74" s="178">
        <f t="shared" si="49"/>
        <v>8145.8270777479893</v>
      </c>
      <c r="AB74" s="178"/>
      <c r="AC74" s="178">
        <f t="shared" si="49"/>
        <v>8485.7186015313964</v>
      </c>
      <c r="AD74" s="178">
        <f t="shared" ref="AD74:AF74" si="50">+AD73/AD94</f>
        <v>8150.8676811791993</v>
      </c>
      <c r="AE74" s="178">
        <f t="shared" si="50"/>
        <v>8169.0711868056451</v>
      </c>
      <c r="AF74" s="178">
        <f t="shared" si="50"/>
        <v>7869.1397799830756</v>
      </c>
      <c r="AG74" s="178">
        <f t="shared" ref="AG74" si="51">+AG73/AG94</f>
        <v>7869.1397799830756</v>
      </c>
      <c r="AI74" s="178">
        <v>7856.8809275574131</v>
      </c>
      <c r="AJ74" s="178">
        <v>7854.7614071317385</v>
      </c>
      <c r="AK74" s="178">
        <v>7693.0577901277002</v>
      </c>
      <c r="AL74" s="33">
        <v>8083.3461493863551</v>
      </c>
      <c r="AM74" s="33"/>
      <c r="AN74" s="178">
        <v>6846.269075307333</v>
      </c>
      <c r="AO74" s="178">
        <v>7171.3390317937919</v>
      </c>
      <c r="AP74" s="178">
        <v>7169.7541080810734</v>
      </c>
      <c r="AQ74" s="403">
        <f t="shared" ref="AQ74" si="52">+AQ73/AQ94</f>
        <v>7641.6171886380189</v>
      </c>
      <c r="AR74" s="402"/>
      <c r="AS74" s="403">
        <f t="shared" ref="AS74:AV74" si="53">+AS73/AS94</f>
        <v>7170.9947523488663</v>
      </c>
      <c r="AT74" s="403">
        <f t="shared" si="53"/>
        <v>7316.4289117755879</v>
      </c>
      <c r="AU74" s="403">
        <f t="shared" si="53"/>
        <v>7255.1026422022178</v>
      </c>
      <c r="AV74" s="403">
        <f t="shared" si="53"/>
        <v>7235.719739975284</v>
      </c>
      <c r="AW74" s="402"/>
      <c r="AX74" s="403">
        <f t="shared" ref="AX74" si="54">+AX73/AX94</f>
        <v>7485.03208249403</v>
      </c>
    </row>
    <row r="75" spans="1:50" ht="7.5" customHeight="1">
      <c r="B75" s="18"/>
      <c r="C75" s="39"/>
      <c r="D75" s="39"/>
      <c r="E75" s="39"/>
      <c r="F75" s="39"/>
      <c r="G75" s="39"/>
      <c r="H75" s="39"/>
      <c r="J75" s="39"/>
      <c r="K75" s="39"/>
      <c r="L75" s="39"/>
      <c r="M75" s="39"/>
      <c r="N75" s="39"/>
      <c r="P75" s="30"/>
      <c r="Q75" s="30"/>
      <c r="R75" s="30"/>
      <c r="S75" s="30"/>
      <c r="T75" s="30"/>
      <c r="U75" s="30"/>
      <c r="V75" s="30"/>
      <c r="X75" s="30"/>
      <c r="Y75" s="30"/>
      <c r="Z75" s="30"/>
      <c r="AA75" s="30"/>
      <c r="AB75" s="30"/>
      <c r="AC75" s="30"/>
      <c r="AD75" s="30"/>
      <c r="AE75" s="30"/>
      <c r="AF75" s="30"/>
      <c r="AG75" s="30"/>
      <c r="AI75" s="30"/>
      <c r="AJ75" s="30"/>
      <c r="AK75" s="30"/>
      <c r="AL75" s="178"/>
      <c r="AM75" s="33"/>
      <c r="AN75" s="30"/>
      <c r="AO75" s="30"/>
      <c r="AP75" s="30"/>
      <c r="AQ75" s="301"/>
      <c r="AR75" s="402"/>
      <c r="AS75" s="301"/>
      <c r="AT75" s="301"/>
      <c r="AU75" s="301"/>
      <c r="AV75" s="301"/>
      <c r="AW75" s="402"/>
      <c r="AX75" s="301"/>
    </row>
    <row r="76" spans="1:50" ht="20.25" customHeight="1">
      <c r="B76" s="32" t="s">
        <v>59</v>
      </c>
      <c r="C76" s="33">
        <f>+C70+C73</f>
        <v>27984896</v>
      </c>
      <c r="D76" s="33"/>
      <c r="E76" s="33">
        <f>+E70+E73</f>
        <v>30798667</v>
      </c>
      <c r="F76" s="33">
        <f>+F70+F73</f>
        <v>31438743</v>
      </c>
      <c r="G76" s="33">
        <f>+G70+G73</f>
        <v>31799673</v>
      </c>
      <c r="H76" s="33">
        <f>+H70+H73</f>
        <v>34299484</v>
      </c>
      <c r="I76" s="29"/>
      <c r="J76" s="33">
        <f>+J70+J73</f>
        <v>34136094</v>
      </c>
      <c r="K76" s="33">
        <f>+K70+K73</f>
        <v>35244308</v>
      </c>
      <c r="L76" s="33">
        <f>+L70+L73</f>
        <v>40107016</v>
      </c>
      <c r="M76" s="33">
        <f>+M70+M73</f>
        <v>41775013</v>
      </c>
      <c r="N76" s="33">
        <f>+N70+N73</f>
        <v>42080401</v>
      </c>
      <c r="P76" s="33">
        <f t="shared" ref="P76:V76" si="55">+P70+P73</f>
        <v>41561107</v>
      </c>
      <c r="Q76" s="33">
        <f t="shared" si="55"/>
        <v>41871652</v>
      </c>
      <c r="R76" s="33">
        <f t="shared" si="55"/>
        <v>41943681</v>
      </c>
      <c r="S76" s="33">
        <f t="shared" si="55"/>
        <v>42241655</v>
      </c>
      <c r="T76" s="33">
        <f t="shared" si="55"/>
        <v>42536797</v>
      </c>
      <c r="U76" s="33">
        <f t="shared" ref="U76" si="56">+U70+U73</f>
        <v>42487715</v>
      </c>
      <c r="V76" s="33">
        <f t="shared" si="55"/>
        <v>44749574</v>
      </c>
      <c r="X76" s="33">
        <f>+X70+X73</f>
        <v>47016433</v>
      </c>
      <c r="Y76" s="33">
        <f t="shared" ref="Y76:Z76" si="57">+Y70+Y73</f>
        <v>47714519</v>
      </c>
      <c r="Z76" s="33">
        <f t="shared" si="57"/>
        <v>47163880</v>
      </c>
      <c r="AA76" s="33">
        <f t="shared" ref="AA76:AC76" si="58">+AA70+AA73</f>
        <v>47567948</v>
      </c>
      <c r="AB76" s="33"/>
      <c r="AC76" s="33">
        <f t="shared" si="58"/>
        <v>45723958</v>
      </c>
      <c r="AD76" s="33">
        <f t="shared" ref="AD76:AF76" si="59">+AD70+AD73</f>
        <v>46769908</v>
      </c>
      <c r="AE76" s="33">
        <f t="shared" si="59"/>
        <v>46906935</v>
      </c>
      <c r="AF76" s="33">
        <f t="shared" si="59"/>
        <v>48714353</v>
      </c>
      <c r="AG76" s="33">
        <f t="shared" ref="AG76" si="60">+AG70+AG73</f>
        <v>48647882</v>
      </c>
      <c r="AI76" s="33">
        <v>49210806</v>
      </c>
      <c r="AJ76" s="33">
        <v>51285426</v>
      </c>
      <c r="AK76" s="33">
        <v>52739611</v>
      </c>
      <c r="AL76" s="33">
        <v>50825141</v>
      </c>
      <c r="AM76" s="33"/>
      <c r="AN76" s="33">
        <v>55779735</v>
      </c>
      <c r="AO76" s="33">
        <v>53912319</v>
      </c>
      <c r="AP76" s="33">
        <v>54272004</v>
      </c>
      <c r="AQ76" s="329">
        <f t="shared" ref="AQ76" si="61">+AQ70+AQ73</f>
        <v>50773567</v>
      </c>
      <c r="AR76" s="402"/>
      <c r="AS76" s="329">
        <f t="shared" ref="AS76:AV76" si="62">+AS70+AS73</f>
        <v>52829868</v>
      </c>
      <c r="AT76" s="329">
        <f t="shared" si="62"/>
        <v>52551734</v>
      </c>
      <c r="AU76" s="329">
        <f t="shared" si="62"/>
        <v>53183135</v>
      </c>
      <c r="AV76" s="329">
        <f t="shared" si="62"/>
        <v>52589344</v>
      </c>
      <c r="AW76" s="402"/>
      <c r="AX76" s="329">
        <f t="shared" ref="AX76" si="63">+AX70+AX73</f>
        <v>52018469</v>
      </c>
    </row>
    <row r="77" spans="1:50" ht="7.5" customHeight="1">
      <c r="C77" s="40"/>
      <c r="D77" s="40"/>
      <c r="E77" s="40"/>
      <c r="F77" s="40"/>
      <c r="G77" s="40"/>
      <c r="H77" s="40"/>
      <c r="J77" s="40"/>
      <c r="K77" s="40"/>
      <c r="L77" s="40"/>
      <c r="M77" s="40"/>
      <c r="N77" s="40"/>
      <c r="P77" s="38"/>
      <c r="Q77" s="38"/>
      <c r="R77" s="38"/>
      <c r="S77" s="38"/>
      <c r="T77" s="38"/>
      <c r="U77" s="38"/>
      <c r="V77" s="38"/>
      <c r="X77" s="38"/>
      <c r="Y77" s="38"/>
      <c r="Z77" s="38"/>
      <c r="AA77" s="38"/>
      <c r="AB77" s="38"/>
      <c r="AC77" s="38"/>
      <c r="AD77" s="38"/>
      <c r="AE77" s="38"/>
      <c r="AF77" s="38"/>
      <c r="AG77" s="38"/>
      <c r="AI77" s="38"/>
      <c r="AJ77" s="38"/>
      <c r="AK77" s="38"/>
      <c r="AL77" s="33"/>
      <c r="AM77" s="33"/>
      <c r="AN77" s="38"/>
      <c r="AO77" s="38"/>
      <c r="AP77" s="38"/>
      <c r="AQ77" s="215"/>
      <c r="AR77" s="402"/>
      <c r="AS77" s="215"/>
      <c r="AT77" s="215"/>
      <c r="AU77" s="215"/>
      <c r="AV77" s="215"/>
      <c r="AW77" s="402"/>
      <c r="AX77" s="215"/>
    </row>
    <row r="78" spans="1:50" s="13" customFormat="1" ht="16.5" customHeight="1">
      <c r="B78" s="163" t="s">
        <v>150</v>
      </c>
      <c r="C78" s="38">
        <v>51510</v>
      </c>
      <c r="D78" s="38"/>
      <c r="E78" s="38">
        <v>51481</v>
      </c>
      <c r="F78" s="38">
        <v>51481</v>
      </c>
      <c r="G78" s="38">
        <v>51481</v>
      </c>
      <c r="H78" s="38">
        <v>51510</v>
      </c>
      <c r="I78" s="29"/>
      <c r="J78" s="38">
        <v>51481</v>
      </c>
      <c r="K78" s="38">
        <v>50744</v>
      </c>
      <c r="L78" s="38">
        <v>50744</v>
      </c>
      <c r="M78" s="132">
        <v>51510</v>
      </c>
      <c r="N78" s="133">
        <v>51510</v>
      </c>
      <c r="P78" s="133">
        <v>51510</v>
      </c>
      <c r="Q78" s="133">
        <v>51510</v>
      </c>
      <c r="R78" s="133">
        <v>51510</v>
      </c>
      <c r="S78" s="133">
        <v>51510</v>
      </c>
      <c r="T78" s="133">
        <v>51510</v>
      </c>
      <c r="U78" s="133">
        <v>51510</v>
      </c>
      <c r="V78" s="133">
        <v>53933</v>
      </c>
      <c r="X78" s="133">
        <v>53933</v>
      </c>
      <c r="Y78" s="133">
        <v>53933</v>
      </c>
      <c r="Z78" s="133">
        <v>53933</v>
      </c>
      <c r="AA78" s="133">
        <v>53933</v>
      </c>
      <c r="AB78" s="133"/>
      <c r="AC78" s="133">
        <v>53933</v>
      </c>
      <c r="AD78" s="133">
        <v>53933</v>
      </c>
      <c r="AE78" s="133">
        <v>53933</v>
      </c>
      <c r="AF78" s="133">
        <v>53933</v>
      </c>
      <c r="AG78" s="133">
        <v>53933</v>
      </c>
      <c r="AI78" s="133">
        <v>53933</v>
      </c>
      <c r="AJ78" s="133">
        <v>53933</v>
      </c>
      <c r="AK78" s="133">
        <v>53933</v>
      </c>
      <c r="AL78" s="133">
        <v>53933</v>
      </c>
      <c r="AM78" s="33"/>
      <c r="AN78" s="133">
        <v>53933</v>
      </c>
      <c r="AO78" s="133">
        <v>53933</v>
      </c>
      <c r="AP78" s="133">
        <v>53933</v>
      </c>
      <c r="AQ78" s="148">
        <v>53933</v>
      </c>
      <c r="AR78" s="402"/>
      <c r="AS78" s="148">
        <v>53933</v>
      </c>
      <c r="AT78" s="148">
        <v>54697</v>
      </c>
      <c r="AU78" s="148">
        <v>54697</v>
      </c>
      <c r="AV78" s="148">
        <v>54697</v>
      </c>
      <c r="AW78" s="402"/>
      <c r="AX78" s="148">
        <v>54697</v>
      </c>
    </row>
    <row r="79" spans="1:50" s="13" customFormat="1" ht="16.5" customHeight="1">
      <c r="B79" s="163" t="s">
        <v>139</v>
      </c>
      <c r="C79" s="38">
        <v>667459</v>
      </c>
      <c r="D79" s="38"/>
      <c r="E79" s="38">
        <v>687062</v>
      </c>
      <c r="F79" s="38">
        <v>697292</v>
      </c>
      <c r="G79" s="38">
        <v>680690</v>
      </c>
      <c r="H79" s="38">
        <v>680051</v>
      </c>
      <c r="I79" s="29"/>
      <c r="J79" s="38">
        <v>689585</v>
      </c>
      <c r="K79" s="38">
        <v>681444</v>
      </c>
      <c r="L79" s="38">
        <v>680280</v>
      </c>
      <c r="M79" s="132">
        <v>680218</v>
      </c>
      <c r="N79" s="133">
        <v>680218</v>
      </c>
      <c r="P79" s="133">
        <v>680218</v>
      </c>
      <c r="Q79" s="133">
        <v>680218</v>
      </c>
      <c r="R79" s="133">
        <v>680218</v>
      </c>
      <c r="S79" s="133">
        <v>680218</v>
      </c>
      <c r="T79" s="133">
        <v>680218</v>
      </c>
      <c r="U79" s="133">
        <v>680218</v>
      </c>
      <c r="V79" s="133">
        <v>1354759</v>
      </c>
      <c r="X79" s="133">
        <v>1354759</v>
      </c>
      <c r="Y79" s="133">
        <v>1354759</v>
      </c>
      <c r="Z79" s="133">
        <v>1354759</v>
      </c>
      <c r="AA79" s="133">
        <v>1354759</v>
      </c>
      <c r="AB79" s="133"/>
      <c r="AC79" s="133">
        <v>1354759</v>
      </c>
      <c r="AD79" s="133">
        <v>1354759</v>
      </c>
      <c r="AE79" s="133">
        <v>1354759</v>
      </c>
      <c r="AF79" s="133">
        <v>1354759</v>
      </c>
      <c r="AG79" s="133">
        <v>1354759</v>
      </c>
      <c r="AI79" s="133">
        <v>1354759</v>
      </c>
      <c r="AJ79" s="133">
        <v>1354759</v>
      </c>
      <c r="AK79" s="133">
        <v>1354759</v>
      </c>
      <c r="AL79" s="133">
        <v>1354759</v>
      </c>
      <c r="AM79" s="33"/>
      <c r="AN79" s="133">
        <v>1354759</v>
      </c>
      <c r="AO79" s="133">
        <v>1354759</v>
      </c>
      <c r="AP79" s="133">
        <v>1354759</v>
      </c>
      <c r="AQ79" s="148">
        <v>1354759</v>
      </c>
      <c r="AR79" s="402"/>
      <c r="AS79" s="148">
        <v>1354759</v>
      </c>
      <c r="AT79" s="148">
        <v>1503373</v>
      </c>
      <c r="AU79" s="148">
        <v>1503373</v>
      </c>
      <c r="AV79" s="148">
        <v>1503373</v>
      </c>
      <c r="AW79" s="402"/>
      <c r="AX79" s="148">
        <v>1503373</v>
      </c>
    </row>
    <row r="80" spans="1:50" s="13" customFormat="1" ht="16.5" customHeight="1">
      <c r="B80" s="18" t="s">
        <v>62</v>
      </c>
      <c r="C80" s="38">
        <v>1143369</v>
      </c>
      <c r="D80" s="38"/>
      <c r="E80" s="38">
        <v>1574666</v>
      </c>
      <c r="F80" s="38">
        <v>1320750</v>
      </c>
      <c r="G80" s="38">
        <v>1342775</v>
      </c>
      <c r="H80" s="38">
        <v>1959674</v>
      </c>
      <c r="I80" s="29"/>
      <c r="J80" s="38">
        <v>832993</v>
      </c>
      <c r="K80" s="38">
        <v>1283551</v>
      </c>
      <c r="L80" s="38">
        <v>1657585</v>
      </c>
      <c r="M80" s="38">
        <f>1962250+12828</f>
        <v>1975078</v>
      </c>
      <c r="N80" s="133">
        <v>2028667</v>
      </c>
      <c r="P80" s="133">
        <v>1684719</v>
      </c>
      <c r="Q80" s="133">
        <v>1684812</v>
      </c>
      <c r="R80" s="133">
        <v>1487562</v>
      </c>
      <c r="S80" s="133">
        <f>1653819-1</f>
        <v>1653818</v>
      </c>
      <c r="T80" s="133">
        <v>1320770</v>
      </c>
      <c r="U80" s="133">
        <v>1656385</v>
      </c>
      <c r="V80" s="133">
        <v>1987756</v>
      </c>
      <c r="X80" s="133">
        <v>1709366</v>
      </c>
      <c r="Y80" s="133">
        <v>2152249</v>
      </c>
      <c r="Z80" s="133">
        <v>1954715</v>
      </c>
      <c r="AA80" s="133">
        <v>2159131</v>
      </c>
      <c r="AB80" s="133"/>
      <c r="AC80" s="133">
        <v>1608320</v>
      </c>
      <c r="AD80" s="133">
        <v>1818377</v>
      </c>
      <c r="AE80" s="133">
        <v>1767936</v>
      </c>
      <c r="AF80" s="133">
        <v>2375778</v>
      </c>
      <c r="AG80" s="133">
        <v>2375778</v>
      </c>
      <c r="AI80" s="133">
        <v>2342892</v>
      </c>
      <c r="AJ80" s="133">
        <v>2334625</v>
      </c>
      <c r="AK80" s="133">
        <v>2856255</v>
      </c>
      <c r="AL80" s="133">
        <v>2364976</v>
      </c>
      <c r="AM80" s="33"/>
      <c r="AN80" s="133">
        <v>3322310</v>
      </c>
      <c r="AO80" s="133">
        <v>2840869</v>
      </c>
      <c r="AP80" s="133">
        <v>3344086</v>
      </c>
      <c r="AQ80" s="148">
        <v>2591296</v>
      </c>
      <c r="AR80" s="402"/>
      <c r="AS80" s="148">
        <v>3203635</v>
      </c>
      <c r="AT80" s="148">
        <v>3232673</v>
      </c>
      <c r="AU80" s="148">
        <v>3278415</v>
      </c>
      <c r="AV80" s="148">
        <v>3996628</v>
      </c>
      <c r="AW80" s="402"/>
      <c r="AX80" s="148">
        <v>4425781</v>
      </c>
    </row>
    <row r="81" spans="2:50" s="13" customFormat="1" ht="16.5" customHeight="1">
      <c r="B81" s="18" t="s">
        <v>35</v>
      </c>
      <c r="C81" s="38">
        <v>2331912</v>
      </c>
      <c r="D81" s="38"/>
      <c r="E81" s="40">
        <v>2430710</v>
      </c>
      <c r="F81" s="40">
        <v>2423797</v>
      </c>
      <c r="G81" s="40">
        <v>2424948</v>
      </c>
      <c r="H81" s="40">
        <f>2423257+7358</f>
        <v>2430615</v>
      </c>
      <c r="I81" s="29"/>
      <c r="J81" s="40">
        <v>2543398</v>
      </c>
      <c r="K81" s="40">
        <v>2573413</v>
      </c>
      <c r="L81" s="40">
        <v>2554541</v>
      </c>
      <c r="M81" s="38">
        <f>2459858+147001</f>
        <v>2606859</v>
      </c>
      <c r="N81" s="133">
        <v>2606859</v>
      </c>
      <c r="P81" s="133">
        <v>2743765</v>
      </c>
      <c r="Q81" s="133">
        <v>2743765</v>
      </c>
      <c r="R81" s="133">
        <v>2743765</v>
      </c>
      <c r="S81" s="133">
        <v>2743765</v>
      </c>
      <c r="T81" s="133">
        <v>2743765</v>
      </c>
      <c r="U81" s="133">
        <v>2743765</v>
      </c>
      <c r="V81" s="133">
        <v>2743764</v>
      </c>
      <c r="X81" s="133">
        <v>2829844</v>
      </c>
      <c r="Y81" s="133">
        <v>2829844</v>
      </c>
      <c r="Z81" s="133">
        <v>2829845</v>
      </c>
      <c r="AA81" s="133">
        <v>2829844</v>
      </c>
      <c r="AB81" s="133"/>
      <c r="AC81" s="133">
        <v>2829845</v>
      </c>
      <c r="AD81" s="133">
        <v>3001515</v>
      </c>
      <c r="AE81" s="133">
        <v>3001515</v>
      </c>
      <c r="AF81" s="133">
        <v>3001515</v>
      </c>
      <c r="AG81" s="133">
        <v>3001515</v>
      </c>
      <c r="AI81" s="133">
        <v>3513161</v>
      </c>
      <c r="AJ81" s="133">
        <v>3513161</v>
      </c>
      <c r="AK81" s="133">
        <v>3513161</v>
      </c>
      <c r="AL81" s="133">
        <v>3513161</v>
      </c>
      <c r="AM81" s="33"/>
      <c r="AN81" s="133">
        <v>3673583</v>
      </c>
      <c r="AO81" s="133">
        <v>3673583</v>
      </c>
      <c r="AP81" s="133">
        <v>3673583</v>
      </c>
      <c r="AQ81" s="148">
        <v>3673583</v>
      </c>
      <c r="AR81" s="402"/>
      <c r="AS81" s="148">
        <v>3339623</v>
      </c>
      <c r="AT81" s="148">
        <v>3339623</v>
      </c>
      <c r="AU81" s="148">
        <v>3339623</v>
      </c>
      <c r="AV81" s="148">
        <v>3339623</v>
      </c>
      <c r="AW81" s="402"/>
      <c r="AX81" s="148">
        <v>3241099</v>
      </c>
    </row>
    <row r="82" spans="2:50" s="13" customFormat="1" ht="16.5" customHeight="1">
      <c r="B82" s="18" t="s">
        <v>86</v>
      </c>
      <c r="C82" s="38">
        <v>0</v>
      </c>
      <c r="D82" s="38"/>
      <c r="E82" s="40">
        <v>-20539</v>
      </c>
      <c r="F82" s="40">
        <v>-19793</v>
      </c>
      <c r="G82" s="40">
        <v>-19793</v>
      </c>
      <c r="H82" s="40">
        <v>-20227</v>
      </c>
      <c r="I82" s="29"/>
      <c r="J82" s="40">
        <v>-21627</v>
      </c>
      <c r="K82" s="40">
        <v>-19792</v>
      </c>
      <c r="L82" s="40">
        <v>259087</v>
      </c>
      <c r="M82" s="38">
        <v>241008</v>
      </c>
      <c r="N82" s="38">
        <f>421098+37788</f>
        <v>458886</v>
      </c>
      <c r="P82" s="133">
        <v>241008</v>
      </c>
      <c r="Q82" s="133">
        <f>535479-1</f>
        <v>535478</v>
      </c>
      <c r="R82" s="133">
        <v>241008</v>
      </c>
      <c r="S82" s="133">
        <v>365934</v>
      </c>
      <c r="T82" s="133">
        <v>241008</v>
      </c>
      <c r="U82" s="133">
        <f>154490-1</f>
        <v>154489</v>
      </c>
      <c r="V82" s="133">
        <f>-59093+37788</f>
        <v>-21305</v>
      </c>
      <c r="X82" s="133">
        <v>173072</v>
      </c>
      <c r="Y82" s="133">
        <v>-52568</v>
      </c>
      <c r="Z82" s="133">
        <v>-23313</v>
      </c>
      <c r="AA82" s="133">
        <v>-7225</v>
      </c>
      <c r="AB82" s="133"/>
      <c r="AC82" s="133">
        <v>-167939</v>
      </c>
      <c r="AD82" s="133">
        <v>-164106</v>
      </c>
      <c r="AE82" s="133">
        <v>-165908</v>
      </c>
      <c r="AF82" s="133">
        <v>-178650</v>
      </c>
      <c r="AG82" s="133">
        <v>-178650</v>
      </c>
      <c r="AI82" s="133">
        <v>-143411</v>
      </c>
      <c r="AJ82" s="133">
        <v>-134952</v>
      </c>
      <c r="AK82" s="133">
        <v>-129308</v>
      </c>
      <c r="AL82" s="133">
        <v>-165142</v>
      </c>
      <c r="AM82" s="33"/>
      <c r="AN82" s="133">
        <v>-138182</v>
      </c>
      <c r="AO82" s="133">
        <v>-146718</v>
      </c>
      <c r="AP82" s="133">
        <v>-141453</v>
      </c>
      <c r="AQ82" s="148">
        <v>-143779</v>
      </c>
      <c r="AR82" s="402"/>
      <c r="AS82" s="148">
        <v>-110978</v>
      </c>
      <c r="AT82" s="148">
        <v>-88036</v>
      </c>
      <c r="AU82" s="148">
        <v>-113374</v>
      </c>
      <c r="AV82" s="148">
        <v>-111432</v>
      </c>
      <c r="AW82" s="402"/>
      <c r="AX82" s="148">
        <v>-84876</v>
      </c>
    </row>
    <row r="83" spans="2:50" ht="16.5" customHeight="1">
      <c r="B83" s="31" t="s">
        <v>140</v>
      </c>
      <c r="C83" s="38">
        <v>8906252</v>
      </c>
      <c r="D83" s="38"/>
      <c r="E83" s="38">
        <v>8845095</v>
      </c>
      <c r="F83" s="38">
        <v>8845095</v>
      </c>
      <c r="G83" s="38">
        <v>8845095</v>
      </c>
      <c r="H83" s="38">
        <f>8611302-7358</f>
        <v>8603944</v>
      </c>
      <c r="I83" s="29"/>
      <c r="J83" s="38">
        <v>9242878</v>
      </c>
      <c r="K83" s="38">
        <v>9242878</v>
      </c>
      <c r="L83" s="38">
        <v>9242878</v>
      </c>
      <c r="M83" s="38">
        <f>9096767-159829</f>
        <v>8936938</v>
      </c>
      <c r="N83" s="38">
        <f>8814764-37788</f>
        <v>8776976</v>
      </c>
      <c r="P83" s="133">
        <v>9007749</v>
      </c>
      <c r="Q83" s="133">
        <v>8870137</v>
      </c>
      <c r="R83" s="133">
        <v>9007749</v>
      </c>
      <c r="S83" s="133">
        <v>8870137</v>
      </c>
      <c r="T83" s="133">
        <v>9173922</v>
      </c>
      <c r="U83" s="133">
        <v>9053460</v>
      </c>
      <c r="V83" s="133">
        <f>8936243-37788</f>
        <v>8898455</v>
      </c>
      <c r="X83" s="133">
        <v>9052809</v>
      </c>
      <c r="Y83" s="133">
        <v>9052810</v>
      </c>
      <c r="Z83" s="133">
        <v>9053167</v>
      </c>
      <c r="AA83" s="133">
        <v>9045006</v>
      </c>
      <c r="AB83" s="133"/>
      <c r="AC83" s="133">
        <v>9654742</v>
      </c>
      <c r="AD83" s="133">
        <v>9215320</v>
      </c>
      <c r="AE83" s="133">
        <v>9199945</v>
      </c>
      <c r="AF83" s="133">
        <v>9147229</v>
      </c>
      <c r="AG83" s="133">
        <v>9147229</v>
      </c>
      <c r="AI83" s="133">
        <v>9007211</v>
      </c>
      <c r="AJ83" s="133">
        <v>9023506</v>
      </c>
      <c r="AK83" s="133">
        <v>9023542</v>
      </c>
      <c r="AL83" s="133">
        <v>9022034</v>
      </c>
      <c r="AM83" s="133"/>
      <c r="AN83" s="133">
        <v>9253570</v>
      </c>
      <c r="AO83" s="133">
        <v>9253606</v>
      </c>
      <c r="AP83" s="133">
        <v>9253642</v>
      </c>
      <c r="AQ83" s="148">
        <v>9218462</v>
      </c>
      <c r="AR83" s="402"/>
      <c r="AS83" s="148">
        <v>9124738</v>
      </c>
      <c r="AT83" s="148">
        <v>9124775</v>
      </c>
      <c r="AU83" s="148">
        <v>9057776</v>
      </c>
      <c r="AV83" s="148">
        <v>9083552</v>
      </c>
      <c r="AW83" s="402"/>
      <c r="AX83" s="148">
        <v>9337215</v>
      </c>
    </row>
    <row r="84" spans="2:50" ht="16.5" customHeight="1">
      <c r="B84" s="163" t="s">
        <v>151</v>
      </c>
      <c r="C84" s="40">
        <v>0</v>
      </c>
      <c r="D84" s="40"/>
      <c r="E84" s="40">
        <v>158313</v>
      </c>
      <c r="F84" s="40">
        <v>573250</v>
      </c>
      <c r="G84" s="40">
        <v>678618</v>
      </c>
      <c r="H84" s="40">
        <v>521133</v>
      </c>
      <c r="I84" s="29"/>
      <c r="J84" s="40">
        <v>51649</v>
      </c>
      <c r="K84" s="40">
        <v>293490</v>
      </c>
      <c r="L84" s="40">
        <v>376276</v>
      </c>
      <c r="M84" s="132">
        <v>301000</v>
      </c>
      <c r="N84" s="38">
        <f>326829+1</f>
        <v>326830</v>
      </c>
      <c r="P84" s="133">
        <v>111905</v>
      </c>
      <c r="Q84" s="133">
        <v>105929</v>
      </c>
      <c r="R84" s="133">
        <v>252302</v>
      </c>
      <c r="S84" s="133">
        <v>252150</v>
      </c>
      <c r="T84" s="133">
        <v>389061</v>
      </c>
      <c r="U84" s="133">
        <v>409717</v>
      </c>
      <c r="V84" s="133">
        <v>589466</v>
      </c>
      <c r="X84" s="133">
        <v>120680</v>
      </c>
      <c r="Y84" s="133">
        <v>226494</v>
      </c>
      <c r="Z84" s="133">
        <v>566393</v>
      </c>
      <c r="AA84" s="133">
        <v>610659</v>
      </c>
      <c r="AB84" s="133"/>
      <c r="AC84" s="133">
        <v>109465</v>
      </c>
      <c r="AD84" s="133">
        <v>228574</v>
      </c>
      <c r="AE84" s="133">
        <v>494293</v>
      </c>
      <c r="AF84" s="133">
        <v>671327</v>
      </c>
      <c r="AG84" s="133">
        <v>671327</v>
      </c>
      <c r="AI84" s="133">
        <v>144233</v>
      </c>
      <c r="AJ84" s="133">
        <v>264816</v>
      </c>
      <c r="AK84" s="133">
        <v>566216</v>
      </c>
      <c r="AL84" s="133">
        <v>689565</v>
      </c>
      <c r="AM84" s="33"/>
      <c r="AN84" s="133">
        <v>-32189</v>
      </c>
      <c r="AO84" s="133">
        <v>-22582</v>
      </c>
      <c r="AP84" s="133">
        <v>-15726</v>
      </c>
      <c r="AQ84" s="148">
        <v>-100013</v>
      </c>
      <c r="AR84" s="402"/>
      <c r="AS84" s="148">
        <v>73889</v>
      </c>
      <c r="AT84" s="148">
        <v>285381</v>
      </c>
      <c r="AU84" s="148">
        <v>496760</v>
      </c>
      <c r="AV84" s="148">
        <v>589799</v>
      </c>
      <c r="AW84" s="402"/>
      <c r="AX84" s="148">
        <v>161408</v>
      </c>
    </row>
    <row r="85" spans="2:50" s="142" customFormat="1" ht="7.5" customHeight="1">
      <c r="B85" s="18"/>
      <c r="C85" s="40"/>
      <c r="D85" s="40"/>
      <c r="E85" s="40"/>
      <c r="F85" s="40"/>
      <c r="G85" s="40"/>
      <c r="H85" s="40"/>
      <c r="I85" s="141"/>
      <c r="J85" s="40"/>
      <c r="K85" s="40"/>
      <c r="L85" s="40"/>
      <c r="M85" s="40"/>
      <c r="N85" s="40"/>
      <c r="P85" s="38"/>
      <c r="Q85" s="38"/>
      <c r="R85" s="38"/>
      <c r="S85" s="38"/>
      <c r="T85" s="38"/>
      <c r="U85" s="38"/>
      <c r="V85" s="38"/>
      <c r="X85" s="38"/>
      <c r="Y85" s="38"/>
      <c r="Z85" s="38"/>
      <c r="AA85" s="38">
        <v>0</v>
      </c>
      <c r="AB85" s="38"/>
      <c r="AC85" s="38"/>
      <c r="AD85" s="38"/>
      <c r="AE85" s="38"/>
      <c r="AF85" s="38"/>
      <c r="AG85" s="38"/>
      <c r="AH85" s="289"/>
      <c r="AI85" s="38"/>
      <c r="AJ85" s="38"/>
      <c r="AK85" s="38"/>
      <c r="AL85" s="30"/>
      <c r="AM85" s="33"/>
      <c r="AN85" s="38"/>
      <c r="AO85" s="38"/>
      <c r="AP85" s="38"/>
      <c r="AQ85" s="215"/>
      <c r="AR85" s="402"/>
      <c r="AS85" s="215"/>
      <c r="AT85" s="215"/>
      <c r="AU85" s="215">
        <v>0</v>
      </c>
      <c r="AV85" s="215">
        <v>0</v>
      </c>
      <c r="AW85" s="402"/>
      <c r="AX85" s="215">
        <v>0</v>
      </c>
    </row>
    <row r="86" spans="2:50" ht="16.5" customHeight="1">
      <c r="B86" s="47" t="s">
        <v>52</v>
      </c>
      <c r="C86" s="48">
        <f>+SUM(C78:C84)+C91</f>
        <v>18983389</v>
      </c>
      <c r="D86" s="48"/>
      <c r="E86" s="48">
        <f>+SUM(E78:E84)+E91</f>
        <v>19568688</v>
      </c>
      <c r="F86" s="48">
        <f>+SUM(F78:F84)+F91</f>
        <v>19721544</v>
      </c>
      <c r="G86" s="48">
        <f>+SUM(G78:G84)+G91</f>
        <v>19940759</v>
      </c>
      <c r="H86" s="48">
        <f>+SUM(H78:H84)+H91</f>
        <v>20387361</v>
      </c>
      <c r="I86" s="29"/>
      <c r="J86" s="48">
        <f>+SUM(J78:J84)+J91</f>
        <v>18909158</v>
      </c>
      <c r="K86" s="48">
        <f>+SUM(K78:K84)+K91</f>
        <v>20047792</v>
      </c>
      <c r="L86" s="48">
        <f>+SUM(L78:L84)+L91</f>
        <v>22304092</v>
      </c>
      <c r="M86" s="48">
        <f>+SUM(M78:M84)+M91</f>
        <v>22889799</v>
      </c>
      <c r="N86" s="48">
        <f>+SUM(N78:N84)+N91</f>
        <v>22974090</v>
      </c>
      <c r="P86" s="71">
        <f t="shared" ref="P86:V86" si="64">+SUM(P78:P84)+P91</f>
        <v>22316545</v>
      </c>
      <c r="Q86" s="71">
        <f t="shared" si="64"/>
        <v>22416574</v>
      </c>
      <c r="R86" s="71">
        <f t="shared" si="64"/>
        <v>22378748</v>
      </c>
      <c r="S86" s="71">
        <f t="shared" si="64"/>
        <v>22482543</v>
      </c>
      <c r="T86" s="71">
        <f t="shared" si="64"/>
        <v>22786490</v>
      </c>
      <c r="U86" s="71">
        <f t="shared" ref="U86" si="65">+SUM(U78:U84)+U91</f>
        <v>22741000</v>
      </c>
      <c r="V86" s="71">
        <f t="shared" si="64"/>
        <v>23634596</v>
      </c>
      <c r="X86" s="71">
        <f>+SUM(X78:X84)+X91</f>
        <v>23135940</v>
      </c>
      <c r="Y86" s="71">
        <f t="shared" ref="Y86:AC86" si="66">+SUM(Y78:Y84)+Y91</f>
        <v>23696395</v>
      </c>
      <c r="Z86" s="71">
        <f t="shared" si="66"/>
        <v>23875786</v>
      </c>
      <c r="AA86" s="71">
        <f t="shared" si="66"/>
        <v>24307148</v>
      </c>
      <c r="AB86" s="71"/>
      <c r="AC86" s="71">
        <f t="shared" si="66"/>
        <v>23594286</v>
      </c>
      <c r="AD86" s="71">
        <f t="shared" ref="AD86:AF86" si="67">+SUM(AD78:AD84)+AD91</f>
        <v>23888563</v>
      </c>
      <c r="AE86" s="71">
        <f t="shared" si="67"/>
        <v>24279950</v>
      </c>
      <c r="AF86" s="71">
        <f t="shared" si="67"/>
        <v>25572737</v>
      </c>
      <c r="AG86" s="71">
        <f t="shared" ref="AG86" si="68">+SUM(AG78:AG84)+AG91</f>
        <v>25572737</v>
      </c>
      <c r="AI86" s="71">
        <v>24943947</v>
      </c>
      <c r="AJ86" s="71">
        <v>25179773</v>
      </c>
      <c r="AK86" s="71">
        <v>26633443</v>
      </c>
      <c r="AL86" s="33">
        <v>26490257</v>
      </c>
      <c r="AM86" s="33"/>
      <c r="AN86" s="33">
        <v>27828783</v>
      </c>
      <c r="AO86" s="33">
        <v>26956418</v>
      </c>
      <c r="AP86" s="33">
        <v>27811046</v>
      </c>
      <c r="AQ86" s="329">
        <f t="shared" ref="AQ86" si="69">+SUM(AQ78:AQ84)+AQ91</f>
        <v>26229851</v>
      </c>
      <c r="AR86" s="402"/>
      <c r="AS86" s="329">
        <f t="shared" ref="AS86:AX86" si="70">+SUM(AS78:AS84)+AS91</f>
        <v>26797362</v>
      </c>
      <c r="AT86" s="329">
        <f t="shared" si="70"/>
        <v>27485409</v>
      </c>
      <c r="AU86" s="329">
        <f t="shared" si="70"/>
        <v>27820997</v>
      </c>
      <c r="AV86" s="329">
        <f t="shared" si="70"/>
        <v>28806558</v>
      </c>
      <c r="AW86" s="402"/>
      <c r="AX86" s="329">
        <f t="shared" si="70"/>
        <v>28055023</v>
      </c>
    </row>
    <row r="87" spans="2:50" ht="7.5" customHeight="1">
      <c r="C87" s="36"/>
      <c r="D87" s="36"/>
      <c r="I87" s="29"/>
      <c r="J87" s="36"/>
      <c r="K87" s="36"/>
      <c r="L87" s="36"/>
      <c r="M87" s="36"/>
      <c r="N87" s="36"/>
      <c r="P87" s="179"/>
      <c r="Q87" s="179"/>
      <c r="R87" s="179"/>
      <c r="S87" s="179"/>
      <c r="T87" s="179"/>
      <c r="U87" s="179"/>
      <c r="V87" s="179"/>
      <c r="X87" s="179"/>
      <c r="Y87" s="179"/>
      <c r="Z87" s="179"/>
      <c r="AA87" s="179"/>
      <c r="AB87" s="179"/>
      <c r="AC87" s="179"/>
      <c r="AD87" s="179"/>
      <c r="AE87" s="179"/>
      <c r="AF87" s="179"/>
      <c r="AG87" s="179"/>
      <c r="AI87" s="179"/>
      <c r="AJ87" s="179"/>
      <c r="AK87" s="179"/>
      <c r="AL87" s="33"/>
      <c r="AM87" s="178"/>
      <c r="AN87" s="179"/>
      <c r="AO87" s="179"/>
      <c r="AP87" s="179"/>
      <c r="AQ87" s="299"/>
      <c r="AR87" s="402"/>
      <c r="AS87" s="299"/>
      <c r="AT87" s="299"/>
      <c r="AU87" s="299"/>
      <c r="AV87" s="299"/>
      <c r="AW87" s="402"/>
      <c r="AX87" s="299"/>
    </row>
    <row r="88" spans="2:50" ht="13">
      <c r="B88" s="47" t="s">
        <v>100</v>
      </c>
      <c r="C88" s="50">
        <f>+SUM(C78:C84)</f>
        <v>13100502</v>
      </c>
      <c r="D88" s="50"/>
      <c r="E88" s="50">
        <f>+SUM(E78:E84)</f>
        <v>13726788</v>
      </c>
      <c r="F88" s="50">
        <f>+SUM(F78:F84)</f>
        <v>13891872</v>
      </c>
      <c r="G88" s="50">
        <f>+SUM(G78:G84)</f>
        <v>14003814</v>
      </c>
      <c r="H88" s="50">
        <f>+SUM(H78:H84)</f>
        <v>14226700</v>
      </c>
      <c r="I88" s="29"/>
      <c r="J88" s="50">
        <f>+SUM(J78:J84)</f>
        <v>13390357</v>
      </c>
      <c r="K88" s="50">
        <f>+SUM(K78:K84)</f>
        <v>14105728</v>
      </c>
      <c r="L88" s="50">
        <f>+SUM(L78:L84)</f>
        <v>14821391</v>
      </c>
      <c r="M88" s="50">
        <f>+SUM(M78:M84)</f>
        <v>14792611</v>
      </c>
      <c r="N88" s="50">
        <f>+SUM(N78:N84)</f>
        <v>14929946</v>
      </c>
      <c r="P88" s="33">
        <f t="shared" ref="P88:V88" si="71">+SUM(P78:P84)</f>
        <v>14520874</v>
      </c>
      <c r="Q88" s="33">
        <f t="shared" si="71"/>
        <v>14671849</v>
      </c>
      <c r="R88" s="33">
        <f t="shared" si="71"/>
        <v>14464114</v>
      </c>
      <c r="S88" s="33">
        <f t="shared" si="71"/>
        <v>14617532</v>
      </c>
      <c r="T88" s="33">
        <f t="shared" si="71"/>
        <v>14600254</v>
      </c>
      <c r="U88" s="33">
        <f t="shared" ref="U88" si="72">+SUM(U78:U84)</f>
        <v>14749544</v>
      </c>
      <c r="V88" s="33">
        <f t="shared" si="71"/>
        <v>15606828</v>
      </c>
      <c r="X88" s="33">
        <f>+SUM(X78:X84)</f>
        <v>15294463</v>
      </c>
      <c r="Y88" s="33">
        <f t="shared" ref="Y88:Z88" si="73">+SUM(Y78:Y84)</f>
        <v>15617521</v>
      </c>
      <c r="Z88" s="33">
        <f t="shared" si="73"/>
        <v>15789499</v>
      </c>
      <c r="AA88" s="33">
        <f t="shared" ref="AA88:AC88" si="74">+SUM(AA78:AA84)</f>
        <v>16046107</v>
      </c>
      <c r="AB88" s="33"/>
      <c r="AC88" s="33">
        <f t="shared" si="74"/>
        <v>15443125</v>
      </c>
      <c r="AD88" s="33">
        <f t="shared" ref="AD88:AF88" si="75">+SUM(AD78:AD84)</f>
        <v>15508372</v>
      </c>
      <c r="AE88" s="33">
        <f t="shared" si="75"/>
        <v>15706473</v>
      </c>
      <c r="AF88" s="33">
        <f t="shared" si="75"/>
        <v>16425891</v>
      </c>
      <c r="AG88" s="33">
        <f t="shared" ref="AG88" si="76">+SUM(AG78:AG84)</f>
        <v>16425891</v>
      </c>
      <c r="AI88" s="33">
        <v>16272778</v>
      </c>
      <c r="AJ88" s="33">
        <v>16409848</v>
      </c>
      <c r="AK88" s="33">
        <v>17238558</v>
      </c>
      <c r="AL88" s="33">
        <v>16833286</v>
      </c>
      <c r="AM88" s="30"/>
      <c r="AN88" s="33">
        <v>17487784</v>
      </c>
      <c r="AO88" s="33">
        <v>17007450</v>
      </c>
      <c r="AP88" s="33">
        <v>17522824</v>
      </c>
      <c r="AQ88" s="329">
        <f t="shared" ref="AQ88" si="77">+SUM(AQ78:AQ84)</f>
        <v>16648241</v>
      </c>
      <c r="AR88" s="402"/>
      <c r="AS88" s="329">
        <f t="shared" ref="AS88:AV88" si="78">+SUM(AS78:AS84)</f>
        <v>17039599</v>
      </c>
      <c r="AT88" s="329">
        <f t="shared" si="78"/>
        <v>17452486</v>
      </c>
      <c r="AU88" s="329">
        <f t="shared" si="78"/>
        <v>17617270</v>
      </c>
      <c r="AV88" s="329">
        <f t="shared" si="78"/>
        <v>18456240</v>
      </c>
      <c r="AW88" s="402"/>
      <c r="AX88" s="329">
        <f t="shared" ref="AX88" si="79">+SUM(AX78:AX84)</f>
        <v>18638697</v>
      </c>
    </row>
    <row r="89" spans="2:50" ht="13">
      <c r="B89" s="51" t="s">
        <v>48</v>
      </c>
      <c r="C89" s="52">
        <f>+C88/C94</f>
        <v>6798.9921269650149</v>
      </c>
      <c r="D89" s="52"/>
      <c r="E89" s="52">
        <f>+E88/E94</f>
        <v>6984.5053222884826</v>
      </c>
      <c r="F89" s="52">
        <f>+F88/F94</f>
        <v>7384.6193101175322</v>
      </c>
      <c r="G89" s="52">
        <f>+G88/G94</f>
        <v>6903.5997397065785</v>
      </c>
      <c r="H89" s="52">
        <f>+H88/H94</f>
        <v>5946.4735042592147</v>
      </c>
      <c r="I89" s="29"/>
      <c r="J89" s="52">
        <f>+J88/J94</f>
        <v>5198.019060189049</v>
      </c>
      <c r="K89" s="52">
        <f>+K88/K94</f>
        <v>5456.5291225518449</v>
      </c>
      <c r="L89" s="52">
        <f>+L88/L94</f>
        <v>4747.4938659935806</v>
      </c>
      <c r="M89" s="52">
        <f>+M88/M94</f>
        <v>4696.8572489974504</v>
      </c>
      <c r="N89" s="52">
        <f>+N88/N94</f>
        <v>4740.4629985362617</v>
      </c>
      <c r="P89" s="178">
        <f t="shared" ref="P89:V89" si="80">+P88/P94</f>
        <v>4804.4978245405064</v>
      </c>
      <c r="Q89" s="178">
        <f t="shared" si="80"/>
        <v>4854.4506757986337</v>
      </c>
      <c r="R89" s="178">
        <f t="shared" si="80"/>
        <v>4960.0034291788834</v>
      </c>
      <c r="S89" s="178">
        <f t="shared" si="80"/>
        <v>5012.6132057678788</v>
      </c>
      <c r="T89" s="178">
        <f t="shared" si="80"/>
        <v>5069.6206531363396</v>
      </c>
      <c r="U89" s="178">
        <f t="shared" ref="U89" si="81">+U88/U94</f>
        <v>5121.4583586520603</v>
      </c>
      <c r="V89" s="178">
        <f t="shared" si="80"/>
        <v>5201.0450859963139</v>
      </c>
      <c r="X89" s="178">
        <f>+X88/X94</f>
        <v>5310.1349193122796</v>
      </c>
      <c r="Y89" s="178">
        <f t="shared" ref="Y89:AA89" si="82">+Y88/Y94</f>
        <v>5140.2845707740607</v>
      </c>
      <c r="Z89" s="178">
        <f t="shared" si="82"/>
        <v>5376.6677903884329</v>
      </c>
      <c r="AA89" s="178">
        <f t="shared" si="82"/>
        <v>5377.3817024128684</v>
      </c>
      <c r="AB89" s="178"/>
      <c r="AC89" s="178">
        <f t="shared" ref="AC89:AD89" si="83">+AC88/AC94</f>
        <v>5554.1419256456647</v>
      </c>
      <c r="AD89" s="178">
        <f t="shared" si="83"/>
        <v>5291.5149447249896</v>
      </c>
      <c r="AE89" s="178">
        <f t="shared" ref="AE89:AF89" si="84">+AE88/AE94</f>
        <v>5284.4958919042592</v>
      </c>
      <c r="AF89" s="178">
        <f t="shared" si="84"/>
        <v>5054.5091160858528</v>
      </c>
      <c r="AG89" s="178">
        <f t="shared" ref="AG89" si="85">+AG88/AG94</f>
        <v>5054.5091160858528</v>
      </c>
      <c r="AI89" s="178">
        <v>5125.6234270613177</v>
      </c>
      <c r="AJ89" s="178">
        <v>5119.0072590129366</v>
      </c>
      <c r="AK89" s="178">
        <v>4979.3495686032102</v>
      </c>
      <c r="AL89" s="178">
        <v>5136.5782359008163</v>
      </c>
      <c r="AM89" s="178"/>
      <c r="AN89" s="178">
        <v>4302.2389730393306</v>
      </c>
      <c r="AO89" s="178">
        <v>4524.5696225767579</v>
      </c>
      <c r="AP89" s="178">
        <v>4517.4258947031922</v>
      </c>
      <c r="AQ89" s="403">
        <f t="shared" ref="AQ89" si="86">+AQ88/AQ94</f>
        <v>4850.1794610342313</v>
      </c>
      <c r="AR89" s="402"/>
      <c r="AS89" s="403">
        <f t="shared" ref="AS89:AV89" si="87">+AS88/AS94</f>
        <v>4559.8098428915873</v>
      </c>
      <c r="AT89" s="403">
        <f t="shared" si="87"/>
        <v>4645.7330561374838</v>
      </c>
      <c r="AU89" s="403">
        <f t="shared" si="87"/>
        <v>4594.1956043268283</v>
      </c>
      <c r="AV89" s="403">
        <f t="shared" si="87"/>
        <v>4635.8950657597288</v>
      </c>
      <c r="AW89" s="402"/>
      <c r="AX89" s="403">
        <f t="shared" ref="AX89" si="88">+AX88/AX94</f>
        <v>4972.7724344009712</v>
      </c>
    </row>
    <row r="90" spans="2:50" ht="13">
      <c r="C90" s="36"/>
      <c r="D90" s="36"/>
      <c r="I90" s="29"/>
      <c r="J90" s="36"/>
      <c r="K90" s="36"/>
      <c r="L90" s="36"/>
      <c r="M90" s="36"/>
      <c r="N90" s="36"/>
      <c r="P90" s="179"/>
      <c r="Q90" s="179"/>
      <c r="R90" s="179"/>
      <c r="S90" s="179"/>
      <c r="T90" s="179"/>
      <c r="U90" s="179"/>
      <c r="V90" s="179"/>
      <c r="X90" s="179"/>
      <c r="Y90" s="179"/>
      <c r="Z90" s="179"/>
      <c r="AA90" s="179"/>
      <c r="AB90" s="179"/>
      <c r="AC90" s="179"/>
      <c r="AD90" s="179"/>
      <c r="AE90" s="179"/>
      <c r="AF90" s="179"/>
      <c r="AG90" s="179"/>
      <c r="AI90" s="179"/>
      <c r="AJ90" s="179"/>
      <c r="AK90" s="179"/>
      <c r="AL90" s="179"/>
      <c r="AM90" s="33"/>
      <c r="AN90" s="179"/>
      <c r="AO90" s="179"/>
      <c r="AP90" s="179"/>
      <c r="AQ90" s="299"/>
      <c r="AR90" s="402"/>
      <c r="AS90" s="299"/>
      <c r="AT90" s="299"/>
      <c r="AU90" s="299"/>
      <c r="AV90" s="299"/>
      <c r="AW90" s="402"/>
      <c r="AX90" s="299"/>
    </row>
    <row r="91" spans="2:50" ht="21" customHeight="1">
      <c r="B91" s="47" t="s">
        <v>28</v>
      </c>
      <c r="C91" s="50">
        <v>5882887</v>
      </c>
      <c r="D91" s="50"/>
      <c r="E91" s="50">
        <v>5841900</v>
      </c>
      <c r="F91" s="50">
        <v>5829672</v>
      </c>
      <c r="G91" s="50">
        <v>5936945</v>
      </c>
      <c r="H91" s="50">
        <v>6160661</v>
      </c>
      <c r="I91" s="29"/>
      <c r="J91" s="50">
        <v>5518801</v>
      </c>
      <c r="K91" s="50">
        <v>5942064</v>
      </c>
      <c r="L91" s="50">
        <v>7482701</v>
      </c>
      <c r="M91" s="50">
        <v>8097188</v>
      </c>
      <c r="N91" s="50">
        <v>8044144</v>
      </c>
      <c r="P91" s="33">
        <v>7795671</v>
      </c>
      <c r="Q91" s="33">
        <v>7744725</v>
      </c>
      <c r="R91" s="33">
        <v>7914634</v>
      </c>
      <c r="S91" s="33">
        <v>7865011</v>
      </c>
      <c r="T91" s="33">
        <v>8186236</v>
      </c>
      <c r="U91" s="33">
        <v>7991456</v>
      </c>
      <c r="V91" s="33">
        <v>8027768</v>
      </c>
      <c r="X91" s="33">
        <v>7841477</v>
      </c>
      <c r="Y91" s="33">
        <v>8078874</v>
      </c>
      <c r="Z91" s="33">
        <v>8086287</v>
      </c>
      <c r="AA91" s="33">
        <v>8261041</v>
      </c>
      <c r="AB91" s="33"/>
      <c r="AC91" s="33">
        <v>8151161</v>
      </c>
      <c r="AD91" s="33">
        <v>8380191</v>
      </c>
      <c r="AE91" s="33">
        <v>8573477</v>
      </c>
      <c r="AF91" s="33">
        <v>9146846</v>
      </c>
      <c r="AG91" s="33">
        <v>9146846</v>
      </c>
      <c r="AI91" s="33">
        <v>8671169</v>
      </c>
      <c r="AJ91" s="33">
        <v>8769925</v>
      </c>
      <c r="AK91" s="33">
        <v>9394885</v>
      </c>
      <c r="AL91" s="33">
        <v>9656971</v>
      </c>
      <c r="AM91" s="33"/>
      <c r="AN91" s="33">
        <v>10340999</v>
      </c>
      <c r="AO91" s="33">
        <v>9948968</v>
      </c>
      <c r="AP91" s="33">
        <v>10288222</v>
      </c>
      <c r="AQ91" s="329">
        <v>9581610</v>
      </c>
      <c r="AR91" s="402"/>
      <c r="AS91" s="329">
        <v>9757763</v>
      </c>
      <c r="AT91" s="329">
        <v>10032923</v>
      </c>
      <c r="AU91" s="329">
        <v>10203727</v>
      </c>
      <c r="AV91" s="329">
        <v>10350318</v>
      </c>
      <c r="AW91" s="402"/>
      <c r="AX91" s="329">
        <v>9416326</v>
      </c>
    </row>
    <row r="92" spans="2:50" ht="13">
      <c r="B92" s="51" t="s">
        <v>48</v>
      </c>
      <c r="C92" s="52">
        <f>+C91/C94</f>
        <v>3053.1427266546607</v>
      </c>
      <c r="D92" s="52"/>
      <c r="E92" s="52">
        <f>+E91/E94</f>
        <v>2972.493029125028</v>
      </c>
      <c r="F92" s="52">
        <f>+F91/F94</f>
        <v>3098.9278063353513</v>
      </c>
      <c r="G92" s="52">
        <f>+G91/G94</f>
        <v>2926.7949400536363</v>
      </c>
      <c r="H92" s="52">
        <f>+H91/H94</f>
        <v>2575.0319754562252</v>
      </c>
      <c r="I92" s="29"/>
      <c r="J92" s="52">
        <f>+J91/J94</f>
        <v>2142.3501096640202</v>
      </c>
      <c r="K92" s="52">
        <f>+K91/K94</f>
        <v>2298.5729814205197</v>
      </c>
      <c r="L92" s="52">
        <f>+L91/L94</f>
        <v>2396.8112776030289</v>
      </c>
      <c r="M92" s="52">
        <f>+M91/M94</f>
        <v>2570.9684486596161</v>
      </c>
      <c r="N92" s="52">
        <f>+N91/N94</f>
        <v>2554.1262498134606</v>
      </c>
      <c r="O92" s="128"/>
      <c r="P92" s="178">
        <f t="shared" ref="P92:V92" si="89">+P91/P94</f>
        <v>2579.3409102188693</v>
      </c>
      <c r="Q92" s="178">
        <f t="shared" si="89"/>
        <v>2562.4844905454365</v>
      </c>
      <c r="R92" s="178">
        <f t="shared" si="89"/>
        <v>2714.0695780395386</v>
      </c>
      <c r="S92" s="178">
        <f t="shared" si="89"/>
        <v>2697.0529636678498</v>
      </c>
      <c r="T92" s="178">
        <f t="shared" si="89"/>
        <v>2842.4924043820206</v>
      </c>
      <c r="U92" s="178">
        <f t="shared" ref="U92" si="90">+U91/U94</f>
        <v>2774.8592857514891</v>
      </c>
      <c r="V92" s="178">
        <f t="shared" si="89"/>
        <v>2675.2895148148273</v>
      </c>
      <c r="X92" s="178">
        <f>+X91/X94</f>
        <v>2722.508193761631</v>
      </c>
      <c r="Y92" s="178">
        <f t="shared" ref="Y92:Z92" si="91">+Y91/Y94</f>
        <v>2659.0462962353449</v>
      </c>
      <c r="Z92" s="178">
        <f t="shared" si="91"/>
        <v>2753.5565793909427</v>
      </c>
      <c r="AA92" s="178">
        <f t="shared" ref="AA92:AC92" si="92">+AA91/AA94</f>
        <v>2768.4453753351208</v>
      </c>
      <c r="AB92" s="178"/>
      <c r="AC92" s="178">
        <f t="shared" si="92"/>
        <v>2931.5766758857317</v>
      </c>
      <c r="AD92" s="178">
        <f t="shared" ref="AD92:AF92" si="93">+AD91/AD94</f>
        <v>2859.3527364542101</v>
      </c>
      <c r="AE92" s="178">
        <f t="shared" si="93"/>
        <v>2884.5752949013859</v>
      </c>
      <c r="AF92" s="178">
        <f t="shared" si="93"/>
        <v>2814.6306638972228</v>
      </c>
      <c r="AG92" s="178">
        <f t="shared" ref="AG92" si="94">+AG91/AG94</f>
        <v>2814.6306638972228</v>
      </c>
      <c r="AI92" s="178">
        <v>2731.2575004960959</v>
      </c>
      <c r="AJ92" s="178">
        <v>2735.7541481188018</v>
      </c>
      <c r="AK92" s="178">
        <v>2713.70822152449</v>
      </c>
      <c r="AL92" s="178">
        <v>2946.7679134855393</v>
      </c>
      <c r="AM92" s="33"/>
      <c r="AN92" s="178">
        <v>2544.0301022680028</v>
      </c>
      <c r="AO92" s="178">
        <v>2646.7694092170336</v>
      </c>
      <c r="AP92" s="178">
        <v>2652.3282133778816</v>
      </c>
      <c r="AQ92" s="403">
        <f t="shared" ref="AQ92" si="95">+AQ91/AQ94</f>
        <v>2791.4377276037872</v>
      </c>
      <c r="AR92" s="402"/>
      <c r="AS92" s="403">
        <f t="shared" ref="AS92:AV92" si="96">+AS91/AS94</f>
        <v>2611.184909457279</v>
      </c>
      <c r="AT92" s="403">
        <f t="shared" si="96"/>
        <v>2670.6958556381051</v>
      </c>
      <c r="AU92" s="403">
        <f t="shared" si="96"/>
        <v>2660.90703787539</v>
      </c>
      <c r="AV92" s="403">
        <f t="shared" si="96"/>
        <v>2599.8246742155552</v>
      </c>
      <c r="AW92" s="402"/>
      <c r="AX92" s="403">
        <f t="shared" ref="AX92" si="97">+AX91/AX94</f>
        <v>2512.2596480930592</v>
      </c>
    </row>
    <row r="93" spans="2:50" ht="16.5" customHeight="1">
      <c r="C93" s="36"/>
      <c r="D93" s="36"/>
      <c r="I93" s="29"/>
      <c r="K93" s="37"/>
      <c r="M93" s="162"/>
      <c r="N93" s="197"/>
      <c r="P93" s="14"/>
      <c r="Q93" s="14"/>
      <c r="R93" s="14"/>
      <c r="S93" s="14"/>
      <c r="T93" s="14"/>
      <c r="U93" s="14"/>
      <c r="V93" s="14"/>
      <c r="X93" s="14"/>
      <c r="Z93" s="269"/>
      <c r="AA93" s="272"/>
      <c r="AC93" s="276"/>
      <c r="AE93" s="286"/>
      <c r="AF93" s="289"/>
      <c r="AI93" s="295"/>
      <c r="AK93" s="14"/>
      <c r="AL93" s="14"/>
      <c r="AN93" s="14"/>
      <c r="AO93" s="14"/>
      <c r="AP93" s="14"/>
      <c r="AQ93" s="401"/>
      <c r="AR93" s="402"/>
      <c r="AS93" s="419"/>
      <c r="AT93" s="419"/>
      <c r="AU93" s="419"/>
      <c r="AV93" s="419"/>
      <c r="AW93" s="402"/>
      <c r="AX93" s="419"/>
    </row>
    <row r="94" spans="2:50" s="131" customFormat="1" ht="16.5" customHeight="1">
      <c r="B94" s="129" t="s">
        <v>130</v>
      </c>
      <c r="C94" s="134">
        <v>1926.83</v>
      </c>
      <c r="D94" s="134"/>
      <c r="E94" s="134">
        <v>1965.32</v>
      </c>
      <c r="F94" s="134">
        <v>1881.19</v>
      </c>
      <c r="G94" s="134">
        <v>2028.48</v>
      </c>
      <c r="H94" s="134">
        <v>2392.46</v>
      </c>
      <c r="I94" s="135"/>
      <c r="J94" s="37">
        <v>2576.0500000000002</v>
      </c>
      <c r="K94" s="37">
        <v>2585.11</v>
      </c>
      <c r="L94" s="136">
        <v>3121.94</v>
      </c>
      <c r="M94" s="136">
        <v>3149.47</v>
      </c>
      <c r="N94" s="136">
        <v>3149.47</v>
      </c>
      <c r="P94" s="180">
        <v>3022.35</v>
      </c>
      <c r="Q94" s="180">
        <v>3022.35</v>
      </c>
      <c r="R94" s="180">
        <v>2916.15</v>
      </c>
      <c r="S94" s="180">
        <v>2916.15</v>
      </c>
      <c r="T94" s="180">
        <v>2879.95</v>
      </c>
      <c r="U94" s="180">
        <v>2879.95</v>
      </c>
      <c r="V94" s="180">
        <v>3000.71</v>
      </c>
      <c r="X94" s="180">
        <v>2880.24</v>
      </c>
      <c r="Y94" s="180">
        <v>3038.26</v>
      </c>
      <c r="Z94" s="180">
        <v>2936.67</v>
      </c>
      <c r="AA94" s="180">
        <v>2984</v>
      </c>
      <c r="AB94" s="180"/>
      <c r="AC94" s="180">
        <v>2780.47</v>
      </c>
      <c r="AD94" s="180">
        <v>2930.8</v>
      </c>
      <c r="AE94" s="180">
        <v>2972.18</v>
      </c>
      <c r="AF94" s="180">
        <v>3249.75</v>
      </c>
      <c r="AG94" s="180">
        <v>3249.75</v>
      </c>
      <c r="AH94" s="289"/>
      <c r="AI94" s="180">
        <v>3174.79</v>
      </c>
      <c r="AJ94" s="180">
        <v>3205.67</v>
      </c>
      <c r="AK94" s="180">
        <v>3462.01</v>
      </c>
      <c r="AL94" s="180">
        <v>3277.14</v>
      </c>
      <c r="AM94" s="180"/>
      <c r="AN94" s="180">
        <v>4064.81</v>
      </c>
      <c r="AO94" s="180">
        <v>3758.91</v>
      </c>
      <c r="AP94" s="180">
        <v>3878.94</v>
      </c>
      <c r="AQ94" s="404">
        <v>3432.5</v>
      </c>
      <c r="AR94" s="402"/>
      <c r="AS94" s="404">
        <v>3736.91</v>
      </c>
      <c r="AT94" s="404">
        <v>3756.67</v>
      </c>
      <c r="AU94" s="404">
        <v>3834.68</v>
      </c>
      <c r="AV94" s="404">
        <v>3981.16</v>
      </c>
      <c r="AW94" s="402"/>
      <c r="AX94" s="404">
        <v>3748.15</v>
      </c>
    </row>
    <row r="95" spans="2:50" s="131" customFormat="1" ht="16.5" customHeight="1">
      <c r="B95" s="129"/>
      <c r="C95" s="36"/>
      <c r="D95" s="36"/>
      <c r="E95" s="36"/>
      <c r="F95" s="36"/>
      <c r="G95" s="36"/>
      <c r="H95" s="36"/>
      <c r="I95" s="130"/>
      <c r="J95" s="37"/>
      <c r="K95" s="37"/>
      <c r="M95" s="162"/>
      <c r="N95" s="199"/>
      <c r="P95" s="14"/>
      <c r="Q95" s="14"/>
      <c r="R95" s="14"/>
      <c r="S95" s="14"/>
      <c r="T95" s="14"/>
      <c r="U95" s="14"/>
      <c r="V95" s="14"/>
      <c r="X95" s="14"/>
      <c r="Z95" s="269"/>
      <c r="AA95" s="272"/>
      <c r="AB95" s="14"/>
      <c r="AC95" s="276"/>
      <c r="AD95" s="284"/>
      <c r="AE95" s="286"/>
      <c r="AF95" s="289"/>
      <c r="AG95" s="295"/>
      <c r="AH95" s="289"/>
      <c r="AI95" s="295"/>
      <c r="AJ95" s="295"/>
      <c r="AK95" s="295"/>
      <c r="AL95" s="295"/>
      <c r="AM95" s="295"/>
      <c r="AN95" s="295"/>
      <c r="AO95" s="295"/>
      <c r="AP95" s="295"/>
      <c r="AR95" s="295"/>
      <c r="AU95" s="295"/>
      <c r="AV95" s="295"/>
      <c r="AW95" s="295"/>
    </row>
    <row r="96" spans="2:50" ht="14.5">
      <c r="B96" s="43"/>
      <c r="C96" s="43"/>
      <c r="D96" s="43"/>
      <c r="E96" s="42"/>
      <c r="F96" s="28"/>
      <c r="G96" s="28"/>
      <c r="H96" s="28"/>
      <c r="AU96" s="295"/>
      <c r="AV96" s="295"/>
    </row>
    <row r="97" spans="2:48" ht="14.5">
      <c r="B97" s="41"/>
      <c r="C97" s="41"/>
      <c r="D97" s="41"/>
      <c r="E97" s="46"/>
      <c r="F97" s="46"/>
      <c r="G97" s="46"/>
      <c r="H97" s="46"/>
      <c r="AU97" s="295"/>
      <c r="AV97" s="295"/>
    </row>
    <row r="98" spans="2:48">
      <c r="AU98" s="295"/>
      <c r="AV98" s="295"/>
    </row>
    <row r="99" spans="2:48">
      <c r="AU99" s="295"/>
      <c r="AV99" s="295"/>
    </row>
    <row r="100" spans="2:48">
      <c r="AU100" s="295"/>
      <c r="AV100" s="295"/>
    </row>
    <row r="101" spans="2:48">
      <c r="AU101" s="295"/>
      <c r="AV101" s="295"/>
    </row>
    <row r="102" spans="2:48">
      <c r="AU102" s="295"/>
      <c r="AV102" s="295"/>
    </row>
    <row r="103" spans="2:48">
      <c r="AU103" s="295"/>
      <c r="AV103" s="295"/>
    </row>
    <row r="104" spans="2:48">
      <c r="AU104" s="295"/>
      <c r="AV104" s="295"/>
    </row>
    <row r="105" spans="2:48">
      <c r="AU105" s="295"/>
      <c r="AV105" s="295"/>
    </row>
    <row r="106" spans="2:48">
      <c r="AU106" s="295"/>
      <c r="AV106" s="295"/>
    </row>
    <row r="107" spans="2:48">
      <c r="AU107" s="295"/>
      <c r="AV107" s="295"/>
    </row>
    <row r="108" spans="2:48">
      <c r="AV108" s="295"/>
    </row>
    <row r="109" spans="2:48">
      <c r="AV109" s="295"/>
    </row>
    <row r="110" spans="2:48">
      <c r="AV110" s="295"/>
    </row>
    <row r="111" spans="2:48">
      <c r="AV111" s="295"/>
    </row>
    <row r="112" spans="2:48">
      <c r="AV112" s="295"/>
    </row>
  </sheetData>
  <mergeCells count="8">
    <mergeCell ref="AS6:AV6"/>
    <mergeCell ref="AI6:AL6"/>
    <mergeCell ref="AN6:AQ6"/>
    <mergeCell ref="E6:H6"/>
    <mergeCell ref="J6:N6"/>
    <mergeCell ref="AC6:AF6"/>
    <mergeCell ref="X6:AA6"/>
    <mergeCell ref="P6:V6"/>
  </mergeCells>
  <printOptions horizontalCentered="1"/>
  <pageMargins left="0.27" right="0.22" top="0.63" bottom="0.34" header="0" footer="0"/>
  <pageSetup scale="38" orientation="landscape" r:id="rId1"/>
  <headerFooter alignWithMargins="0"/>
  <customProperties>
    <customPr name="EpmWorksheetKeyString_GUID" r:id="rId2"/>
  </customProperties>
  <ignoredErrors>
    <ignoredError sqref="F34:F37 F68:F70 F54 F19:F21 F25 F28 F72" formula="1"/>
  </ignoredErrors>
  <drawing r:id="rId3"/>
  <legacyDrawing r:id="rId4"/>
  <controls>
    <mc:AlternateContent xmlns:mc="http://schemas.openxmlformats.org/markup-compatibility/2006">
      <mc:Choice Requires="x14">
        <control shapeId="38913" r:id="rId5" name="FPMExcelClientSheetOptionstb1">
          <controlPr defaultSize="0" autoLine="0" autoPict="0" r:id="rId6">
            <anchor moveWithCells="1" sizeWithCells="1">
              <from>
                <xdr:col>0</xdr:col>
                <xdr:colOff>0</xdr:colOff>
                <xdr:row>0</xdr:row>
                <xdr:rowOff>0</xdr:rowOff>
              </from>
              <to>
                <xdr:col>1</xdr:col>
                <xdr:colOff>50800</xdr:colOff>
                <xdr:row>0</xdr:row>
                <xdr:rowOff>0</xdr:rowOff>
              </to>
            </anchor>
          </controlPr>
        </control>
      </mc:Choice>
      <mc:Fallback>
        <control shapeId="38913" r:id="rId5" name="FPMExcelClientSheetOptionstb1"/>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D914A-45DC-4EE7-ACE5-A86D3DC96F55}">
  <dimension ref="A1:C76"/>
  <sheetViews>
    <sheetView showGridLines="0" tabSelected="1" zoomScaleNormal="100" workbookViewId="0"/>
  </sheetViews>
  <sheetFormatPr baseColWidth="10" defaultColWidth="11.453125" defaultRowHeight="12.5"/>
  <cols>
    <col min="1" max="1" width="82.1796875" style="407" customWidth="1"/>
    <col min="2" max="2" width="15.81640625" style="407" customWidth="1"/>
    <col min="3" max="3" width="11.54296875" style="407" bestFit="1" customWidth="1"/>
    <col min="4" max="4" width="4.54296875" style="407" bestFit="1" customWidth="1"/>
    <col min="5" max="16384" width="11.453125" style="407"/>
  </cols>
  <sheetData>
    <row r="1" spans="1:3" ht="22.5">
      <c r="A1" s="406" t="s">
        <v>0</v>
      </c>
    </row>
    <row r="2" spans="1:3" ht="19">
      <c r="A2" s="408" t="s">
        <v>311</v>
      </c>
    </row>
    <row r="3" spans="1:3" ht="13.5">
      <c r="A3" s="499" t="s">
        <v>354</v>
      </c>
      <c r="B3" s="500"/>
      <c r="C3" s="500"/>
    </row>
    <row r="4" spans="1:3">
      <c r="A4" s="500"/>
      <c r="B4" s="500"/>
      <c r="C4" s="500"/>
    </row>
    <row r="5" spans="1:3" ht="13" thickBot="1">
      <c r="A5" s="501"/>
      <c r="B5" s="502"/>
      <c r="C5" s="502"/>
    </row>
    <row r="6" spans="1:3" ht="13" thickBot="1">
      <c r="A6" s="501"/>
      <c r="B6" s="503">
        <v>2022</v>
      </c>
      <c r="C6" s="504">
        <v>2021</v>
      </c>
    </row>
    <row r="7" spans="1:3" ht="13" thickBot="1">
      <c r="A7" s="505" t="s">
        <v>191</v>
      </c>
      <c r="B7" s="506"/>
      <c r="C7" s="507"/>
    </row>
    <row r="8" spans="1:3" ht="13" thickTop="1">
      <c r="A8" s="508" t="s">
        <v>227</v>
      </c>
      <c r="B8" s="509">
        <v>314927</v>
      </c>
      <c r="C8" s="510">
        <v>190588</v>
      </c>
    </row>
    <row r="9" spans="1:3">
      <c r="A9" s="511" t="s">
        <v>219</v>
      </c>
      <c r="B9" s="512"/>
      <c r="C9" s="513"/>
    </row>
    <row r="10" spans="1:3">
      <c r="A10" s="511" t="s">
        <v>232</v>
      </c>
      <c r="B10" s="514">
        <v>-57565</v>
      </c>
      <c r="C10" s="515">
        <v>-32654</v>
      </c>
    </row>
    <row r="11" spans="1:3">
      <c r="A11" s="516" t="s">
        <v>218</v>
      </c>
      <c r="B11" s="514">
        <v>183520</v>
      </c>
      <c r="C11" s="515">
        <v>91593</v>
      </c>
    </row>
    <row r="12" spans="1:3">
      <c r="A12" s="516" t="s">
        <v>184</v>
      </c>
      <c r="B12" s="514">
        <v>-136898</v>
      </c>
      <c r="C12" s="515">
        <v>-33765</v>
      </c>
    </row>
    <row r="13" spans="1:3">
      <c r="A13" s="516" t="s">
        <v>267</v>
      </c>
      <c r="B13" s="514">
        <v>260081</v>
      </c>
      <c r="C13" s="515">
        <v>177385</v>
      </c>
    </row>
    <row r="14" spans="1:3">
      <c r="A14" s="516" t="s">
        <v>164</v>
      </c>
      <c r="B14" s="514">
        <v>29841</v>
      </c>
      <c r="C14" s="515">
        <v>13113</v>
      </c>
    </row>
    <row r="15" spans="1:3">
      <c r="A15" s="516" t="s">
        <v>355</v>
      </c>
      <c r="B15" s="514">
        <v>-94863</v>
      </c>
      <c r="C15" s="515">
        <v>2524</v>
      </c>
    </row>
    <row r="16" spans="1:3">
      <c r="A16" s="516" t="s">
        <v>297</v>
      </c>
      <c r="B16" s="514">
        <v>-11686</v>
      </c>
      <c r="C16" s="515">
        <v>-39486</v>
      </c>
    </row>
    <row r="17" spans="1:3">
      <c r="A17" s="516" t="s">
        <v>298</v>
      </c>
      <c r="B17" s="514">
        <v>7462</v>
      </c>
      <c r="C17" s="515">
        <v>13878</v>
      </c>
    </row>
    <row r="18" spans="1:3">
      <c r="A18" s="516" t="s">
        <v>246</v>
      </c>
      <c r="B18" s="514">
        <v>3181</v>
      </c>
      <c r="C18" s="515">
        <v>2349</v>
      </c>
    </row>
    <row r="19" spans="1:3">
      <c r="A19" s="516" t="s">
        <v>165</v>
      </c>
      <c r="B19" s="514">
        <v>421231</v>
      </c>
      <c r="C19" s="515">
        <v>426991</v>
      </c>
    </row>
    <row r="20" spans="1:3">
      <c r="A20" s="516" t="s">
        <v>307</v>
      </c>
      <c r="B20" s="514">
        <v>36713</v>
      </c>
      <c r="C20" s="515">
        <v>29416</v>
      </c>
    </row>
    <row r="21" spans="1:3">
      <c r="A21" s="516" t="s">
        <v>195</v>
      </c>
      <c r="B21" s="514">
        <v>571</v>
      </c>
      <c r="C21" s="515">
        <v>-891</v>
      </c>
    </row>
    <row r="22" spans="1:3" ht="13" thickBot="1">
      <c r="A22" s="517"/>
      <c r="B22" s="518">
        <f>SUM(B8:B21)</f>
        <v>956515</v>
      </c>
      <c r="C22" s="519">
        <f>SUM(C8:C21)</f>
        <v>841041</v>
      </c>
    </row>
    <row r="23" spans="1:3">
      <c r="A23" s="508" t="s">
        <v>242</v>
      </c>
      <c r="B23" s="512"/>
      <c r="C23" s="513"/>
    </row>
    <row r="24" spans="1:3">
      <c r="A24" s="516" t="s">
        <v>166</v>
      </c>
      <c r="B24" s="514">
        <v>-136524</v>
      </c>
      <c r="C24" s="515">
        <v>-195519</v>
      </c>
    </row>
    <row r="25" spans="1:3">
      <c r="A25" s="516" t="s">
        <v>30</v>
      </c>
      <c r="B25" s="514">
        <v>-93140</v>
      </c>
      <c r="C25" s="515">
        <v>-7513</v>
      </c>
    </row>
    <row r="26" spans="1:3">
      <c r="A26" s="516" t="s">
        <v>32</v>
      </c>
      <c r="B26" s="514">
        <v>6158</v>
      </c>
      <c r="C26" s="515">
        <v>-12309</v>
      </c>
    </row>
    <row r="27" spans="1:3">
      <c r="A27" s="516" t="s">
        <v>301</v>
      </c>
      <c r="B27" s="514">
        <v>-209911</v>
      </c>
      <c r="C27" s="515">
        <v>49125</v>
      </c>
    </row>
    <row r="28" spans="1:3">
      <c r="A28" s="516" t="s">
        <v>34</v>
      </c>
      <c r="B28" s="514">
        <v>-23462</v>
      </c>
      <c r="C28" s="515">
        <v>-14790</v>
      </c>
    </row>
    <row r="29" spans="1:3" ht="13" thickBot="1">
      <c r="A29" s="520" t="s">
        <v>243</v>
      </c>
      <c r="B29" s="518">
        <f>SUM(B22:B28)</f>
        <v>499636</v>
      </c>
      <c r="C29" s="519">
        <f>SUM(C22:C28)</f>
        <v>660035</v>
      </c>
    </row>
    <row r="30" spans="1:3">
      <c r="A30" s="511" t="s">
        <v>167</v>
      </c>
      <c r="B30" s="514">
        <v>-154027</v>
      </c>
      <c r="C30" s="515">
        <v>-123121</v>
      </c>
    </row>
    <row r="31" spans="1:3">
      <c r="A31" s="511" t="s">
        <v>268</v>
      </c>
      <c r="B31" s="514">
        <v>53402</v>
      </c>
      <c r="C31" s="515">
        <v>32882</v>
      </c>
    </row>
    <row r="32" spans="1:3" ht="13" thickBot="1">
      <c r="A32" s="520" t="s">
        <v>264</v>
      </c>
      <c r="B32" s="518">
        <f>SUM(B29:B31)</f>
        <v>399011</v>
      </c>
      <c r="C32" s="519">
        <f>SUM(C29:C31)</f>
        <v>569796</v>
      </c>
    </row>
    <row r="33" spans="1:3">
      <c r="A33" s="500"/>
      <c r="B33" s="521"/>
      <c r="C33" s="500"/>
    </row>
    <row r="34" spans="1:3" ht="13" thickBot="1">
      <c r="A34" s="501"/>
      <c r="B34" s="503">
        <v>2022</v>
      </c>
      <c r="C34" s="504">
        <v>2021</v>
      </c>
    </row>
    <row r="35" spans="1:3" ht="13" thickBot="1">
      <c r="A35" s="522" t="s">
        <v>192</v>
      </c>
      <c r="B35" s="523"/>
      <c r="C35" s="522"/>
    </row>
    <row r="36" spans="1:3" ht="13" thickTop="1">
      <c r="A36" s="524" t="s">
        <v>231</v>
      </c>
      <c r="B36" s="514">
        <v>38590</v>
      </c>
      <c r="C36" s="515">
        <v>13001</v>
      </c>
    </row>
    <row r="37" spans="1:3">
      <c r="A37" s="525" t="s">
        <v>168</v>
      </c>
      <c r="B37" s="514">
        <v>-470680</v>
      </c>
      <c r="C37" s="515">
        <v>-343975</v>
      </c>
    </row>
    <row r="38" spans="1:3">
      <c r="A38" s="525" t="s">
        <v>169</v>
      </c>
      <c r="B38" s="514">
        <v>13424</v>
      </c>
      <c r="C38" s="515">
        <v>624</v>
      </c>
    </row>
    <row r="39" spans="1:3">
      <c r="A39" s="525" t="s">
        <v>170</v>
      </c>
      <c r="B39" s="514">
        <v>-2823</v>
      </c>
      <c r="C39" s="515">
        <v>-2625</v>
      </c>
    </row>
    <row r="40" spans="1:3">
      <c r="A40" s="525" t="s">
        <v>171</v>
      </c>
      <c r="B40" s="514">
        <v>882</v>
      </c>
      <c r="C40" s="515">
        <v>0</v>
      </c>
    </row>
    <row r="41" spans="1:3">
      <c r="A41" s="525" t="s">
        <v>172</v>
      </c>
      <c r="B41" s="514">
        <v>-11668</v>
      </c>
      <c r="C41" s="515">
        <v>-12670</v>
      </c>
    </row>
    <row r="42" spans="1:3">
      <c r="A42" s="525" t="s">
        <v>173</v>
      </c>
      <c r="B42" s="514">
        <v>0</v>
      </c>
      <c r="C42" s="515">
        <v>-8</v>
      </c>
    </row>
    <row r="43" spans="1:3">
      <c r="A43" s="525" t="s">
        <v>174</v>
      </c>
      <c r="B43" s="514">
        <v>2234</v>
      </c>
      <c r="C43" s="515">
        <v>2468</v>
      </c>
    </row>
    <row r="44" spans="1:3">
      <c r="A44" s="525" t="s">
        <v>244</v>
      </c>
      <c r="B44" s="514">
        <v>39113</v>
      </c>
      <c r="C44" s="515">
        <v>0</v>
      </c>
    </row>
    <row r="45" spans="1:3">
      <c r="A45" s="525" t="s">
        <v>302</v>
      </c>
      <c r="B45" s="514">
        <v>-7342</v>
      </c>
      <c r="C45" s="515">
        <v>-5917</v>
      </c>
    </row>
    <row r="46" spans="1:3">
      <c r="A46" s="525" t="s">
        <v>175</v>
      </c>
      <c r="B46" s="514">
        <v>0</v>
      </c>
      <c r="C46" s="515">
        <v>4984</v>
      </c>
    </row>
    <row r="47" spans="1:3">
      <c r="A47" s="525" t="s">
        <v>176</v>
      </c>
      <c r="B47" s="514">
        <v>-91526</v>
      </c>
      <c r="C47" s="515">
        <v>-108627</v>
      </c>
    </row>
    <row r="48" spans="1:3">
      <c r="A48" s="525" t="s">
        <v>177</v>
      </c>
      <c r="B48" s="514">
        <v>892819</v>
      </c>
      <c r="C48" s="515">
        <v>108595</v>
      </c>
    </row>
    <row r="49" spans="1:3">
      <c r="A49" s="516" t="s">
        <v>286</v>
      </c>
      <c r="B49" s="514">
        <v>-3500</v>
      </c>
      <c r="C49" s="515">
        <v>0</v>
      </c>
    </row>
    <row r="50" spans="1:3">
      <c r="A50" s="525" t="s">
        <v>348</v>
      </c>
      <c r="B50" s="514">
        <v>11006</v>
      </c>
      <c r="C50" s="515">
        <v>-121</v>
      </c>
    </row>
    <row r="51" spans="1:3" ht="13" thickBot="1">
      <c r="A51" s="526" t="s">
        <v>356</v>
      </c>
      <c r="B51" s="518">
        <f>SUM(B36:B50)</f>
        <v>410529</v>
      </c>
      <c r="C51" s="519">
        <f>SUM(C36:C50)</f>
        <v>-344271</v>
      </c>
    </row>
    <row r="52" spans="1:3">
      <c r="A52" s="527"/>
      <c r="B52" s="528"/>
      <c r="C52" s="529"/>
    </row>
    <row r="53" spans="1:3" ht="13" thickBot="1">
      <c r="A53" s="530" t="s">
        <v>193</v>
      </c>
      <c r="B53" s="531"/>
      <c r="C53" s="532"/>
    </row>
    <row r="54" spans="1:3" ht="13" thickTop="1">
      <c r="A54" s="524" t="s">
        <v>277</v>
      </c>
      <c r="B54" s="514">
        <v>4</v>
      </c>
      <c r="C54" s="515">
        <v>0</v>
      </c>
    </row>
    <row r="55" spans="1:3">
      <c r="A55" s="516" t="s">
        <v>287</v>
      </c>
      <c r="B55" s="514">
        <v>-38500</v>
      </c>
      <c r="C55" s="515">
        <v>-43058</v>
      </c>
    </row>
    <row r="56" spans="1:3">
      <c r="A56" s="525" t="s">
        <v>288</v>
      </c>
      <c r="B56" s="514">
        <v>809034</v>
      </c>
      <c r="C56" s="515">
        <v>1589152</v>
      </c>
    </row>
    <row r="57" spans="1:3">
      <c r="A57" s="525" t="s">
        <v>289</v>
      </c>
      <c r="B57" s="514">
        <v>-1078667</v>
      </c>
      <c r="C57" s="515">
        <v>-1366326</v>
      </c>
    </row>
    <row r="58" spans="1:3">
      <c r="A58" s="525" t="s">
        <v>263</v>
      </c>
      <c r="B58" s="514">
        <v>-41528</v>
      </c>
      <c r="C58" s="515">
        <v>-88906</v>
      </c>
    </row>
    <row r="59" spans="1:3">
      <c r="A59" s="511" t="s">
        <v>269</v>
      </c>
      <c r="B59" s="514">
        <v>-18048</v>
      </c>
      <c r="C59" s="515">
        <v>-52598</v>
      </c>
    </row>
    <row r="60" spans="1:3">
      <c r="A60" s="511" t="s">
        <v>270</v>
      </c>
      <c r="B60" s="514">
        <v>4200</v>
      </c>
      <c r="C60" s="515">
        <v>1633</v>
      </c>
    </row>
    <row r="61" spans="1:3">
      <c r="A61" s="525" t="s">
        <v>247</v>
      </c>
      <c r="B61" s="514">
        <v>-35910</v>
      </c>
      <c r="C61" s="515">
        <v>-168629</v>
      </c>
    </row>
    <row r="62" spans="1:3">
      <c r="A62" s="525" t="s">
        <v>248</v>
      </c>
      <c r="B62" s="514">
        <v>0</v>
      </c>
      <c r="C62" s="515">
        <v>-37215</v>
      </c>
    </row>
    <row r="63" spans="1:3">
      <c r="A63" s="516" t="s">
        <v>127</v>
      </c>
      <c r="B63" s="514">
        <v>-231004</v>
      </c>
      <c r="C63" s="515">
        <v>-180803</v>
      </c>
    </row>
    <row r="64" spans="1:3">
      <c r="A64" s="516" t="s">
        <v>357</v>
      </c>
      <c r="B64" s="514">
        <v>-9939</v>
      </c>
      <c r="C64" s="515">
        <v>-10752</v>
      </c>
    </row>
    <row r="65" spans="1:3" ht="13" thickBot="1">
      <c r="A65" s="520" t="s">
        <v>320</v>
      </c>
      <c r="B65" s="518">
        <f>SUM(B54:B64)</f>
        <v>-640358</v>
      </c>
      <c r="C65" s="519">
        <f>SUM(C54:C64)</f>
        <v>-357502</v>
      </c>
    </row>
    <row r="66" spans="1:3" ht="13" thickBot="1">
      <c r="A66" s="505" t="s">
        <v>358</v>
      </c>
      <c r="B66" s="533">
        <f>+B32+B51+B65</f>
        <v>169182</v>
      </c>
      <c r="C66" s="534">
        <f>+C32+C51+C65</f>
        <v>-131977</v>
      </c>
    </row>
    <row r="67" spans="1:3" ht="13" thickTop="1">
      <c r="A67" s="516" t="s">
        <v>178</v>
      </c>
      <c r="B67" s="514">
        <v>2684818</v>
      </c>
      <c r="C67" s="515">
        <v>2713358</v>
      </c>
    </row>
    <row r="68" spans="1:3" ht="23">
      <c r="A68" s="516" t="s">
        <v>220</v>
      </c>
      <c r="B68" s="514">
        <v>-85707</v>
      </c>
      <c r="C68" s="515">
        <v>82481</v>
      </c>
    </row>
    <row r="69" spans="1:3" ht="13" thickBot="1">
      <c r="A69" s="535" t="s">
        <v>321</v>
      </c>
      <c r="B69" s="536">
        <f>SUM(B66:B68)</f>
        <v>2768293</v>
      </c>
      <c r="C69" s="537">
        <f>SUM(C66:C68)</f>
        <v>2663862</v>
      </c>
    </row>
    <row r="70" spans="1:3" ht="13" thickTop="1">
      <c r="A70" s="511" t="s">
        <v>359</v>
      </c>
      <c r="B70" s="538">
        <v>3258</v>
      </c>
      <c r="C70" s="539">
        <v>3511</v>
      </c>
    </row>
    <row r="71" spans="1:3" ht="22.5" thickBot="1">
      <c r="A71" s="540" t="s">
        <v>322</v>
      </c>
      <c r="B71" s="541">
        <f>+B69-B70</f>
        <v>2765035</v>
      </c>
      <c r="C71" s="542">
        <f>+C69-C70</f>
        <v>2660351</v>
      </c>
    </row>
    <row r="72" spans="1:3" ht="13" thickTop="1">
      <c r="A72" s="500"/>
      <c r="B72" s="500"/>
      <c r="C72" s="500"/>
    </row>
    <row r="73" spans="1:3">
      <c r="A73" s="500"/>
      <c r="B73" s="500"/>
      <c r="C73" s="500"/>
    </row>
    <row r="74" spans="1:3">
      <c r="A74" s="500"/>
      <c r="B74" s="500"/>
      <c r="C74" s="500"/>
    </row>
    <row r="75" spans="1:3">
      <c r="A75" s="500"/>
      <c r="B75" s="500"/>
      <c r="C75" s="500"/>
    </row>
    <row r="76" spans="1:3">
      <c r="A76" s="500"/>
      <c r="B76" s="500"/>
      <c r="C76" s="500"/>
    </row>
  </sheetData>
  <mergeCells count="1">
    <mergeCell ref="B5:C5"/>
  </mergeCells>
  <pageMargins left="0.7" right="0.7" top="0.75" bottom="0.75" header="0.3" footer="0.3"/>
  <pageSetup paperSize="9" orientation="portrait" verticalDpi="597"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B1:BH105"/>
  <sheetViews>
    <sheetView showGridLines="0" topLeftCell="B1" zoomScaleNormal="100" workbookViewId="0">
      <pane xSplit="1" ySplit="9" topLeftCell="AY10" activePane="bottomRight" state="frozen"/>
      <selection activeCell="D38" sqref="D38"/>
      <selection pane="topRight" activeCell="D38" sqref="D38"/>
      <selection pane="bottomLeft" activeCell="D38" sqref="D38"/>
      <selection pane="bottomRight" activeCell="BC3" sqref="BC3"/>
    </sheetView>
  </sheetViews>
  <sheetFormatPr baseColWidth="10" defaultColWidth="13" defaultRowHeight="16.5" customHeight="1"/>
  <cols>
    <col min="1" max="1" width="2.26953125" style="1" customWidth="1"/>
    <col min="2" max="2" width="50.7265625" style="3" bestFit="1" customWidth="1"/>
    <col min="3" max="3" width="11.26953125" style="3" customWidth="1"/>
    <col min="4" max="6" width="11.26953125" style="27" customWidth="1"/>
    <col min="7" max="7" width="1.26953125" style="3" customWidth="1"/>
    <col min="8" max="9" width="11.26953125" style="3" customWidth="1"/>
    <col min="10" max="11" width="11.26953125" style="1" customWidth="1"/>
    <col min="12" max="12" width="11.7265625" style="1" bestFit="1" customWidth="1"/>
    <col min="13" max="13" width="1.26953125" style="1" customWidth="1"/>
    <col min="14" max="14" width="11.26953125" style="3" customWidth="1"/>
    <col min="15" max="15" width="12.26953125" style="3" customWidth="1"/>
    <col min="16" max="19" width="13" style="1"/>
    <col min="20" max="21" width="13.7265625" style="1" customWidth="1"/>
    <col min="22" max="22" width="1.54296875" style="1" customWidth="1"/>
    <col min="23" max="26" width="13" style="1"/>
    <col min="27" max="27" width="10.26953125" style="1" bestFit="1" customWidth="1"/>
    <col min="28" max="28" width="10.26953125" style="1" customWidth="1"/>
    <col min="29" max="30" width="13" style="1"/>
    <col min="31" max="31" width="1.54296875" style="149" customWidth="1"/>
    <col min="32" max="36" width="13" style="1"/>
    <col min="37" max="37" width="13" style="1" customWidth="1"/>
    <col min="38" max="39" width="13" style="1" hidden="1" customWidth="1"/>
    <col min="40" max="41" width="13" style="1"/>
    <col min="42" max="42" width="1.54296875" style="1" customWidth="1"/>
    <col min="43" max="48" width="13" style="1"/>
    <col min="49" max="49" width="1.54296875" style="1" customWidth="1"/>
    <col min="50" max="53" width="13" style="1"/>
    <col min="54" max="54" width="1.54296875" style="1" customWidth="1"/>
    <col min="55" max="58" width="13" style="1"/>
    <col min="59" max="59" width="1.54296875" style="1" customWidth="1"/>
    <col min="60" max="16384" width="13" style="1"/>
  </cols>
  <sheetData>
    <row r="1" spans="2:60" ht="22.5">
      <c r="B1" s="406" t="s">
        <v>0</v>
      </c>
      <c r="C1" s="8"/>
      <c r="D1" s="8"/>
      <c r="E1" s="8"/>
      <c r="F1" s="8"/>
      <c r="G1" s="8"/>
      <c r="H1" s="8"/>
      <c r="I1" s="8"/>
      <c r="N1" s="1"/>
      <c r="O1" s="1"/>
    </row>
    <row r="2" spans="2:60" ht="19">
      <c r="B2" s="408" t="s">
        <v>21</v>
      </c>
      <c r="C2" s="8"/>
      <c r="D2" s="8"/>
      <c r="E2" s="8"/>
      <c r="F2" s="8"/>
      <c r="G2" s="8"/>
      <c r="H2" s="8"/>
      <c r="I2" s="8"/>
      <c r="N2" s="1"/>
      <c r="O2" s="1"/>
    </row>
    <row r="3" spans="2:60" ht="13.5">
      <c r="B3" s="405" t="s">
        <v>1</v>
      </c>
      <c r="C3" s="414"/>
      <c r="D3" s="414"/>
      <c r="E3" s="414"/>
      <c r="F3" s="414"/>
      <c r="G3" s="414"/>
      <c r="H3" s="414"/>
      <c r="I3" s="414"/>
      <c r="J3" s="26"/>
      <c r="K3" s="26"/>
      <c r="L3" s="26"/>
      <c r="N3" s="1"/>
      <c r="O3" s="1"/>
      <c r="BC3" s="454"/>
      <c r="BD3" s="12"/>
    </row>
    <row r="4" spans="2:60" ht="12.75" customHeight="1">
      <c r="B4" s="400"/>
      <c r="C4" s="400"/>
      <c r="D4" s="400"/>
      <c r="E4" s="400"/>
      <c r="F4" s="400"/>
      <c r="G4" s="400"/>
      <c r="H4" s="400"/>
      <c r="I4" s="400"/>
      <c r="J4" s="26"/>
      <c r="K4" s="26"/>
      <c r="L4" s="26"/>
      <c r="N4" s="182"/>
      <c r="O4" s="212"/>
      <c r="BA4" s="12"/>
      <c r="BE4" s="12"/>
      <c r="BF4" s="12"/>
    </row>
    <row r="5" spans="2:60" ht="12.75" customHeight="1">
      <c r="B5" s="183"/>
      <c r="C5" s="183"/>
      <c r="D5" s="183"/>
      <c r="E5" s="183"/>
      <c r="F5" s="183"/>
      <c r="G5" s="183"/>
      <c r="AN5" s="149"/>
      <c r="AO5" s="149"/>
    </row>
    <row r="6" spans="2:60" ht="21" customHeight="1">
      <c r="B6" s="183"/>
      <c r="C6" s="430" t="s">
        <v>101</v>
      </c>
      <c r="D6" s="431"/>
      <c r="E6" s="431"/>
      <c r="F6" s="431"/>
      <c r="G6" s="181"/>
      <c r="H6" s="430" t="s">
        <v>102</v>
      </c>
      <c r="I6" s="431"/>
      <c r="J6" s="431"/>
      <c r="K6" s="431"/>
      <c r="L6" s="206"/>
      <c r="N6" s="427" t="s">
        <v>179</v>
      </c>
      <c r="O6" s="428"/>
      <c r="P6" s="428"/>
      <c r="Q6" s="428"/>
      <c r="R6" s="428"/>
      <c r="S6" s="428"/>
      <c r="T6" s="428"/>
      <c r="U6" s="428"/>
      <c r="W6" s="422" t="s">
        <v>196</v>
      </c>
      <c r="X6" s="423"/>
      <c r="Y6" s="423"/>
      <c r="Z6" s="423"/>
      <c r="AA6" s="423"/>
      <c r="AB6" s="423"/>
      <c r="AC6" s="423"/>
      <c r="AD6" s="287"/>
      <c r="AE6" s="175"/>
      <c r="AF6" s="422" t="s">
        <v>233</v>
      </c>
      <c r="AG6" s="423"/>
      <c r="AH6" s="423"/>
      <c r="AI6" s="423"/>
      <c r="AJ6" s="423"/>
      <c r="AK6" s="423"/>
      <c r="AL6" s="423"/>
      <c r="AM6" s="423"/>
      <c r="AN6" s="423"/>
      <c r="AO6" s="314"/>
      <c r="AQ6" s="422" t="s">
        <v>255</v>
      </c>
      <c r="AR6" s="423"/>
      <c r="AS6" s="423"/>
      <c r="AT6" s="423"/>
      <c r="AU6" s="423"/>
      <c r="AV6" s="423"/>
      <c r="AX6" s="422" t="s">
        <v>291</v>
      </c>
      <c r="AY6" s="423"/>
      <c r="AZ6" s="423"/>
      <c r="BA6" s="423"/>
      <c r="BC6" s="422" t="s">
        <v>303</v>
      </c>
      <c r="BD6" s="453"/>
      <c r="BE6" s="453"/>
      <c r="BF6" s="453"/>
      <c r="BH6" s="418">
        <v>2022</v>
      </c>
    </row>
    <row r="7" spans="2:60" ht="5.25" customHeight="1" thickBot="1">
      <c r="C7" s="54"/>
      <c r="D7" s="54"/>
      <c r="E7" s="54"/>
      <c r="F7" s="54"/>
      <c r="G7" s="54"/>
      <c r="H7" s="54"/>
      <c r="I7" s="54"/>
      <c r="J7" s="25"/>
      <c r="N7" s="54"/>
      <c r="O7" s="54"/>
    </row>
    <row r="8" spans="2:60" ht="27" thickTop="1" thickBot="1">
      <c r="C8" s="185" t="s">
        <v>99</v>
      </c>
      <c r="D8" s="185" t="s">
        <v>82</v>
      </c>
      <c r="E8" s="185" t="s">
        <v>128</v>
      </c>
      <c r="F8" s="185" t="s">
        <v>152</v>
      </c>
      <c r="G8" s="27"/>
      <c r="H8" s="185" t="s">
        <v>98</v>
      </c>
      <c r="I8" s="185" t="s">
        <v>78</v>
      </c>
      <c r="J8" s="185" t="s">
        <v>129</v>
      </c>
      <c r="K8" s="185" t="s">
        <v>153</v>
      </c>
      <c r="L8" s="208" t="s">
        <v>188</v>
      </c>
      <c r="N8" s="185" t="s">
        <v>180</v>
      </c>
      <c r="O8" s="213" t="s">
        <v>198</v>
      </c>
      <c r="P8" s="185" t="s">
        <v>181</v>
      </c>
      <c r="Q8" s="263" t="s">
        <v>222</v>
      </c>
      <c r="R8" s="198" t="s">
        <v>185</v>
      </c>
      <c r="S8" s="270" t="s">
        <v>223</v>
      </c>
      <c r="T8" s="208" t="s">
        <v>189</v>
      </c>
      <c r="U8" s="273" t="s">
        <v>225</v>
      </c>
      <c r="W8" s="211" t="s">
        <v>197</v>
      </c>
      <c r="X8" s="278" t="s">
        <v>235</v>
      </c>
      <c r="Y8" s="263" t="s">
        <v>212</v>
      </c>
      <c r="Z8" s="283" t="s">
        <v>245</v>
      </c>
      <c r="AA8" s="270" t="s">
        <v>215</v>
      </c>
      <c r="AB8" s="285" t="s">
        <v>249</v>
      </c>
      <c r="AC8" s="273" t="s">
        <v>224</v>
      </c>
      <c r="AD8" s="288" t="s">
        <v>252</v>
      </c>
      <c r="AE8" s="150"/>
      <c r="AF8" s="275" t="s">
        <v>234</v>
      </c>
      <c r="AG8" s="285" t="s">
        <v>250</v>
      </c>
      <c r="AH8" s="283" t="s">
        <v>238</v>
      </c>
      <c r="AI8" s="285" t="s">
        <v>251</v>
      </c>
      <c r="AJ8" s="285" t="s">
        <v>239</v>
      </c>
      <c r="AK8" s="312" t="s">
        <v>274</v>
      </c>
      <c r="AN8" s="288" t="s">
        <v>240</v>
      </c>
      <c r="AO8" s="315" t="s">
        <v>279</v>
      </c>
      <c r="AQ8" s="293" t="s">
        <v>258</v>
      </c>
      <c r="AR8" s="313" t="s">
        <v>275</v>
      </c>
      <c r="AS8" s="296" t="s">
        <v>272</v>
      </c>
      <c r="AT8" s="312" t="s">
        <v>266</v>
      </c>
      <c r="AU8" s="311" t="s">
        <v>273</v>
      </c>
      <c r="AV8" s="315" t="s">
        <v>278</v>
      </c>
      <c r="AX8" s="362" t="s">
        <v>290</v>
      </c>
      <c r="AY8" s="371" t="s">
        <v>293</v>
      </c>
      <c r="AZ8" s="378" t="s">
        <v>299</v>
      </c>
      <c r="BA8" s="398" t="s">
        <v>300</v>
      </c>
      <c r="BC8" s="420" t="s">
        <v>304</v>
      </c>
      <c r="BD8" s="420" t="s">
        <v>312</v>
      </c>
      <c r="BE8" s="420" t="s">
        <v>318</v>
      </c>
      <c r="BF8" s="420" t="s">
        <v>323</v>
      </c>
      <c r="BH8" s="420" t="s">
        <v>349</v>
      </c>
    </row>
    <row r="9" spans="2:60" ht="4.5" customHeight="1" thickTop="1">
      <c r="G9" s="27"/>
      <c r="I9" s="27"/>
      <c r="P9" s="3"/>
      <c r="Q9" s="3"/>
      <c r="R9" s="3"/>
      <c r="S9" s="3"/>
    </row>
    <row r="10" spans="2:60" ht="16.5" customHeight="1">
      <c r="B10" s="164" t="s">
        <v>141</v>
      </c>
      <c r="C10" s="48">
        <f>SUM(C12:C15)-C16</f>
        <v>2292775</v>
      </c>
      <c r="D10" s="48">
        <f>SUM(D12:D15)-D16</f>
        <v>2545153</v>
      </c>
      <c r="E10" s="48">
        <f>SUM(E12:E15)-E16</f>
        <v>2234744</v>
      </c>
      <c r="F10" s="71">
        <f>SUM(F12:F15)-F16</f>
        <v>2223617</v>
      </c>
      <c r="G10" s="89"/>
      <c r="H10" s="48">
        <f>SUM(H12:H15)-H16</f>
        <v>2640110</v>
      </c>
      <c r="I10" s="48">
        <f>SUM(I12:I15)-I16</f>
        <v>2849871</v>
      </c>
      <c r="J10" s="48">
        <f>SUM(J12:J15)-J16</f>
        <v>3212391</v>
      </c>
      <c r="K10" s="48">
        <f>SUM(K12:K15)-K16</f>
        <v>3877306</v>
      </c>
      <c r="L10" s="48">
        <f>SUM(L12:L15)-L16</f>
        <v>3997932</v>
      </c>
      <c r="M10" s="48"/>
      <c r="N10" s="48">
        <f t="shared" ref="N10:U10" si="0">SUM(N12:N15)-N16</f>
        <v>4056133</v>
      </c>
      <c r="O10" s="48">
        <f t="shared" si="0"/>
        <v>4042625</v>
      </c>
      <c r="P10" s="48">
        <f t="shared" si="0"/>
        <v>3395640</v>
      </c>
      <c r="Q10" s="48">
        <f t="shared" si="0"/>
        <v>3384378</v>
      </c>
      <c r="R10" s="48">
        <f t="shared" si="0"/>
        <v>3362235</v>
      </c>
      <c r="S10" s="48">
        <f t="shared" si="0"/>
        <v>3401921</v>
      </c>
      <c r="T10" s="48">
        <f t="shared" si="0"/>
        <v>3738876</v>
      </c>
      <c r="U10" s="48">
        <f t="shared" si="0"/>
        <v>3723960</v>
      </c>
      <c r="W10" s="48">
        <f t="shared" ref="W10:AD10" si="1">SUM(W12:W15)-W16</f>
        <v>3357194</v>
      </c>
      <c r="X10" s="48">
        <f t="shared" si="1"/>
        <v>3357194</v>
      </c>
      <c r="Y10" s="48">
        <f t="shared" si="1"/>
        <v>3565133</v>
      </c>
      <c r="Z10" s="48">
        <f t="shared" si="1"/>
        <v>3565133</v>
      </c>
      <c r="AA10" s="48">
        <f t="shared" si="1"/>
        <v>4066042</v>
      </c>
      <c r="AB10" s="48">
        <f t="shared" si="1"/>
        <v>4066041</v>
      </c>
      <c r="AC10" s="48">
        <f t="shared" si="1"/>
        <v>3585209</v>
      </c>
      <c r="AD10" s="48">
        <f t="shared" si="1"/>
        <v>3585211</v>
      </c>
      <c r="AE10" s="71"/>
      <c r="AF10" s="48">
        <f t="shared" ref="AF10:AK10" si="2">SUM(AF12:AF15)-AF16</f>
        <v>3310546</v>
      </c>
      <c r="AG10" s="48">
        <f t="shared" si="2"/>
        <v>3307952</v>
      </c>
      <c r="AH10" s="48">
        <f t="shared" si="2"/>
        <v>3617110</v>
      </c>
      <c r="AI10" s="48">
        <f t="shared" si="2"/>
        <v>3612406</v>
      </c>
      <c r="AJ10" s="48">
        <f t="shared" si="2"/>
        <v>3638242</v>
      </c>
      <c r="AK10" s="48">
        <f t="shared" si="2"/>
        <v>3634422</v>
      </c>
      <c r="AN10" s="48">
        <f>SUM(AN12:AN15)-AN16</f>
        <v>3748115</v>
      </c>
      <c r="AO10" s="48">
        <f>SUM(AO12:AO15)-AO16</f>
        <v>3739895</v>
      </c>
      <c r="AQ10" s="48">
        <f t="shared" ref="AQ10:AV10" si="3">SUM(AQ12:AQ15)-AQ16</f>
        <v>3721316</v>
      </c>
      <c r="AR10" s="48">
        <f t="shared" si="3"/>
        <v>3714904</v>
      </c>
      <c r="AS10" s="48">
        <f t="shared" si="3"/>
        <v>3860566</v>
      </c>
      <c r="AT10" s="48">
        <f t="shared" si="3"/>
        <v>3915194</v>
      </c>
      <c r="AU10" s="48">
        <f t="shared" si="3"/>
        <v>5227687</v>
      </c>
      <c r="AV10" s="48">
        <f t="shared" si="3"/>
        <v>3940804</v>
      </c>
      <c r="AX10" s="48">
        <v>3615782</v>
      </c>
      <c r="AY10" s="380">
        <v>3345809</v>
      </c>
      <c r="AZ10" s="380">
        <v>3453183</v>
      </c>
      <c r="BA10" s="380">
        <f>SUM(BA12:BA15)-BA16</f>
        <v>3575749</v>
      </c>
      <c r="BC10" s="380">
        <f>SUM(BC12:BC15)-BC16</f>
        <v>3733014</v>
      </c>
      <c r="BD10" s="380">
        <f>SUM(BD12:BD15)-BD16</f>
        <v>4026624</v>
      </c>
      <c r="BE10" s="380">
        <f>SUM(BE12:BE15)-BE16</f>
        <v>4115415</v>
      </c>
      <c r="BF10" s="380">
        <f>SUM(BF12:BF15)-BF16</f>
        <v>4434066</v>
      </c>
      <c r="BH10" s="380">
        <f>SUM(BH12:BH15)-BH16</f>
        <v>4613707</v>
      </c>
    </row>
    <row r="11" spans="2:60" ht="16.5" hidden="1" customHeight="1">
      <c r="B11" s="90" t="s">
        <v>48</v>
      </c>
      <c r="C11" s="91">
        <v>1115.1199999999999</v>
      </c>
      <c r="D11" s="91">
        <v>1367.51</v>
      </c>
      <c r="E11" s="91">
        <v>1143.54</v>
      </c>
      <c r="F11" s="73">
        <v>911.8</v>
      </c>
      <c r="G11" s="89"/>
      <c r="H11" s="91">
        <v>1057.43</v>
      </c>
      <c r="I11" s="91">
        <v>1140.18</v>
      </c>
      <c r="J11" s="91">
        <v>1092.03</v>
      </c>
      <c r="K11" s="91">
        <v>1267.8699999999999</v>
      </c>
      <c r="L11" s="91" t="e">
        <f>+#REF!-J11-I11-H11</f>
        <v>#REF!</v>
      </c>
      <c r="N11" s="91">
        <v>1057.43</v>
      </c>
      <c r="O11" s="91">
        <v>1057.43</v>
      </c>
      <c r="P11" s="91">
        <v>1057.43</v>
      </c>
      <c r="Q11" s="91">
        <v>1057.43</v>
      </c>
      <c r="R11" s="91">
        <v>1057.43</v>
      </c>
      <c r="S11" s="91">
        <v>1057.43</v>
      </c>
      <c r="T11" s="91"/>
      <c r="U11" s="91"/>
      <c r="W11" s="91">
        <v>1057.43</v>
      </c>
      <c r="X11" s="91">
        <v>1057.43</v>
      </c>
      <c r="Y11" s="91">
        <v>1057.43</v>
      </c>
      <c r="Z11" s="91">
        <v>1057.43</v>
      </c>
      <c r="AA11" s="91">
        <v>1057.43</v>
      </c>
      <c r="AB11" s="91">
        <v>1057.43</v>
      </c>
      <c r="AC11" s="91">
        <v>1057.43</v>
      </c>
      <c r="AD11" s="91">
        <v>1057.43</v>
      </c>
      <c r="AE11" s="73"/>
      <c r="AF11" s="91">
        <v>1057.43</v>
      </c>
      <c r="AG11" s="91">
        <v>1057.43</v>
      </c>
      <c r="AH11" s="91">
        <v>1057.43</v>
      </c>
      <c r="AI11" s="91">
        <v>1057.43</v>
      </c>
      <c r="AJ11" s="91">
        <v>1057.43</v>
      </c>
      <c r="AK11" s="91">
        <v>1057.43</v>
      </c>
      <c r="AN11" s="91">
        <v>1057.43</v>
      </c>
      <c r="AO11" s="91">
        <v>1057.43</v>
      </c>
      <c r="AQ11" s="91">
        <v>1057.43</v>
      </c>
      <c r="AR11" s="91">
        <v>1057.43</v>
      </c>
      <c r="AS11" s="91">
        <v>1057.43</v>
      </c>
      <c r="AT11" s="91">
        <v>1057.43</v>
      </c>
      <c r="AU11" s="91">
        <v>1057.43</v>
      </c>
      <c r="AV11" s="91">
        <v>1057.43</v>
      </c>
      <c r="AX11" s="91">
        <v>1057.43</v>
      </c>
      <c r="AY11" s="381">
        <v>1057.43</v>
      </c>
      <c r="AZ11" s="381">
        <v>1057.43</v>
      </c>
      <c r="BA11" s="381">
        <v>1057.43</v>
      </c>
      <c r="BC11" s="381">
        <v>1057.43</v>
      </c>
      <c r="BD11" s="381">
        <v>1057.43</v>
      </c>
      <c r="BE11" s="381">
        <v>1057.43</v>
      </c>
      <c r="BF11" s="381">
        <v>1057.43</v>
      </c>
      <c r="BH11" s="381">
        <v>1057.43</v>
      </c>
    </row>
    <row r="12" spans="2:60" ht="16.5" customHeight="1">
      <c r="B12" s="11" t="s">
        <v>142</v>
      </c>
      <c r="C12" s="38">
        <v>1992290</v>
      </c>
      <c r="D12" s="38">
        <v>2374522</v>
      </c>
      <c r="E12" s="38">
        <v>2156742</v>
      </c>
      <c r="F12" s="38">
        <f>1861580+1+148990</f>
        <v>2010571</v>
      </c>
      <c r="G12" s="27"/>
      <c r="H12" s="38">
        <f>2473610+1</f>
        <v>2473611</v>
      </c>
      <c r="I12" s="38">
        <f>2620500-1</f>
        <v>2620499</v>
      </c>
      <c r="J12" s="38">
        <v>3121999</v>
      </c>
      <c r="K12" s="38">
        <f>3699920</f>
        <v>3699920</v>
      </c>
      <c r="L12" s="38">
        <v>3693705</v>
      </c>
      <c r="N12" s="38">
        <v>3759881</v>
      </c>
      <c r="O12" s="38">
        <v>3759881</v>
      </c>
      <c r="P12" s="38">
        <v>3268366</v>
      </c>
      <c r="Q12" s="38">
        <f>3268365</f>
        <v>3268365</v>
      </c>
      <c r="R12" s="38">
        <v>3105623</v>
      </c>
      <c r="S12" s="38">
        <v>3105623</v>
      </c>
      <c r="T12" s="38">
        <v>3001173</v>
      </c>
      <c r="U12" s="38">
        <v>3001173</v>
      </c>
      <c r="W12" s="38">
        <v>3059897</v>
      </c>
      <c r="X12" s="38">
        <v>3059897</v>
      </c>
      <c r="Y12" s="38">
        <v>3202231</v>
      </c>
      <c r="Z12" s="38">
        <v>3202231</v>
      </c>
      <c r="AA12" s="38">
        <v>3264247</v>
      </c>
      <c r="AB12" s="38">
        <v>3264247</v>
      </c>
      <c r="AC12" s="38">
        <v>3222833</v>
      </c>
      <c r="AD12" s="38">
        <f>3222833-1</f>
        <v>3222832</v>
      </c>
      <c r="AE12" s="38"/>
      <c r="AF12" s="38">
        <v>3073465</v>
      </c>
      <c r="AG12" s="38">
        <v>3070871</v>
      </c>
      <c r="AH12" s="38">
        <f>3298956+1</f>
        <v>3298957</v>
      </c>
      <c r="AI12" s="38">
        <v>3294253</v>
      </c>
      <c r="AJ12" s="38">
        <v>3439736</v>
      </c>
      <c r="AK12" s="38">
        <v>3435916</v>
      </c>
      <c r="AN12" s="38">
        <f>3399975+1+1</f>
        <v>3399977</v>
      </c>
      <c r="AO12" s="38">
        <f>3391756+1</f>
        <v>3391757</v>
      </c>
      <c r="AQ12" s="38">
        <v>3391160</v>
      </c>
      <c r="AR12" s="38">
        <v>3384748</v>
      </c>
      <c r="AS12" s="38">
        <f>3618287+1</f>
        <v>3618288</v>
      </c>
      <c r="AT12" s="38">
        <f>3610233+1+1</f>
        <v>3610235</v>
      </c>
      <c r="AU12" s="38">
        <v>3826892</v>
      </c>
      <c r="AV12" s="38">
        <v>3671283</v>
      </c>
      <c r="AX12" s="38">
        <v>3452172</v>
      </c>
      <c r="AY12" s="215">
        <v>3155161</v>
      </c>
      <c r="AZ12" s="215">
        <v>3354549</v>
      </c>
      <c r="BA12" s="215">
        <v>3476079</v>
      </c>
      <c r="BC12" s="215">
        <v>3574647</v>
      </c>
      <c r="BD12" s="215">
        <v>3708297</v>
      </c>
      <c r="BE12" s="215">
        <v>3842351</v>
      </c>
      <c r="BF12" s="215">
        <v>4149579</v>
      </c>
      <c r="BH12" s="215">
        <v>4313197</v>
      </c>
    </row>
    <row r="13" spans="2:60" ht="16.5" customHeight="1">
      <c r="B13" s="11" t="s">
        <v>49</v>
      </c>
      <c r="C13" s="38">
        <f>129401+41394</f>
        <v>170795</v>
      </c>
      <c r="D13" s="38">
        <f>103473-5545</f>
        <v>97928</v>
      </c>
      <c r="E13" s="38">
        <f>80766+1650</f>
        <v>82416</v>
      </c>
      <c r="F13" s="38">
        <f>-10405-14670</f>
        <v>-25075</v>
      </c>
      <c r="G13" s="54"/>
      <c r="H13" s="38">
        <f>51878+19502</f>
        <v>71380</v>
      </c>
      <c r="I13" s="38">
        <f>88150+1438</f>
        <v>89588</v>
      </c>
      <c r="J13" s="38">
        <f>237+1533</f>
        <v>1770</v>
      </c>
      <c r="K13" s="38">
        <f>7882-395</f>
        <v>7487</v>
      </c>
      <c r="L13" s="38">
        <v>8710</v>
      </c>
      <c r="N13" s="38">
        <v>61822</v>
      </c>
      <c r="O13" s="38">
        <v>61043</v>
      </c>
      <c r="P13" s="38">
        <v>24150</v>
      </c>
      <c r="Q13" s="38">
        <f>23394+1</f>
        <v>23395</v>
      </c>
      <c r="R13" s="38">
        <f>138944-17</f>
        <v>138927</v>
      </c>
      <c r="S13" s="38">
        <f>141845-17</f>
        <v>141828</v>
      </c>
      <c r="T13" s="38">
        <f>452070+1532</f>
        <v>453602</v>
      </c>
      <c r="U13" s="38">
        <f>450703+1532</f>
        <v>452235</v>
      </c>
      <c r="W13" s="38">
        <v>71238</v>
      </c>
      <c r="X13" s="38">
        <v>71238</v>
      </c>
      <c r="Y13" s="38">
        <f>111618+196</f>
        <v>111814</v>
      </c>
      <c r="Z13" s="38">
        <f>111618+196</f>
        <v>111814</v>
      </c>
      <c r="AA13" s="38">
        <v>439836</v>
      </c>
      <c r="AB13" s="38">
        <f>439836-1</f>
        <v>439835</v>
      </c>
      <c r="AC13" s="38">
        <f>71207+264</f>
        <v>71471</v>
      </c>
      <c r="AD13" s="38">
        <f>71207+264+1</f>
        <v>71472</v>
      </c>
      <c r="AE13" s="38"/>
      <c r="AF13" s="38">
        <v>86713</v>
      </c>
      <c r="AG13" s="38">
        <v>86713</v>
      </c>
      <c r="AH13" s="38">
        <v>45032</v>
      </c>
      <c r="AI13" s="38">
        <v>45032</v>
      </c>
      <c r="AJ13" s="38">
        <v>58866</v>
      </c>
      <c r="AK13" s="38">
        <v>58866</v>
      </c>
      <c r="AN13" s="38">
        <f>49321+1373</f>
        <v>50694</v>
      </c>
      <c r="AO13" s="38">
        <f>49321+1373</f>
        <v>50694</v>
      </c>
      <c r="AQ13" s="38">
        <v>90744</v>
      </c>
      <c r="AR13" s="38">
        <v>90744</v>
      </c>
      <c r="AS13" s="38">
        <v>41223</v>
      </c>
      <c r="AT13" s="38">
        <v>103904</v>
      </c>
      <c r="AU13" s="38">
        <v>1134165</v>
      </c>
      <c r="AV13" s="38">
        <v>45886</v>
      </c>
      <c r="AW13" s="12"/>
      <c r="AX13" s="38">
        <v>120584</v>
      </c>
      <c r="AY13" s="215">
        <v>70177</v>
      </c>
      <c r="AZ13" s="215">
        <v>52711</v>
      </c>
      <c r="BA13" s="215">
        <v>54121</v>
      </c>
      <c r="BB13" s="12"/>
      <c r="BC13" s="215">
        <v>90812</v>
      </c>
      <c r="BD13" s="215">
        <v>55087</v>
      </c>
      <c r="BE13" s="215">
        <v>57653</v>
      </c>
      <c r="BF13" s="215">
        <f>44157-1</f>
        <v>44156</v>
      </c>
      <c r="BG13" s="12"/>
      <c r="BH13" s="215">
        <v>48859</v>
      </c>
    </row>
    <row r="14" spans="2:60" ht="16.5" customHeight="1">
      <c r="B14" s="60" t="s">
        <v>27</v>
      </c>
      <c r="C14" s="38">
        <v>28578</v>
      </c>
      <c r="D14" s="38">
        <v>12288</v>
      </c>
      <c r="E14" s="38">
        <v>5193</v>
      </c>
      <c r="F14" s="38">
        <f>26088-1</f>
        <v>26087</v>
      </c>
      <c r="G14" s="54"/>
      <c r="H14" s="38">
        <v>10870</v>
      </c>
      <c r="I14" s="38">
        <v>16535</v>
      </c>
      <c r="J14" s="38">
        <v>46411</v>
      </c>
      <c r="K14" s="38">
        <v>224999</v>
      </c>
      <c r="L14" s="38">
        <v>328551</v>
      </c>
      <c r="N14" s="38">
        <v>115479</v>
      </c>
      <c r="O14" s="38">
        <v>115479</v>
      </c>
      <c r="P14" s="38">
        <v>10460</v>
      </c>
      <c r="Q14" s="38">
        <v>10460</v>
      </c>
      <c r="R14" s="38">
        <v>59828</v>
      </c>
      <c r="S14" s="38">
        <v>59828</v>
      </c>
      <c r="T14" s="38">
        <v>183614</v>
      </c>
      <c r="U14" s="38">
        <v>183614</v>
      </c>
      <c r="W14" s="38">
        <v>127058</v>
      </c>
      <c r="X14" s="38">
        <v>127058</v>
      </c>
      <c r="Y14" s="38">
        <v>234338</v>
      </c>
      <c r="Z14" s="38">
        <v>234338</v>
      </c>
      <c r="AA14" s="38">
        <v>284908</v>
      </c>
      <c r="AB14" s="38">
        <v>284908</v>
      </c>
      <c r="AC14" s="38">
        <v>246472</v>
      </c>
      <c r="AD14" s="38">
        <v>246472</v>
      </c>
      <c r="AE14" s="38"/>
      <c r="AF14" s="38">
        <v>114913</v>
      </c>
      <c r="AG14" s="38">
        <f>114913-1024</f>
        <v>113889</v>
      </c>
      <c r="AH14" s="38">
        <f>179778+1</f>
        <v>179779</v>
      </c>
      <c r="AI14" s="38">
        <f>179778+1+1024</f>
        <v>180803</v>
      </c>
      <c r="AJ14" s="38">
        <v>110811</v>
      </c>
      <c r="AK14" s="38">
        <v>110811</v>
      </c>
      <c r="AN14" s="38">
        <v>288479</v>
      </c>
      <c r="AO14" s="38">
        <v>288479</v>
      </c>
      <c r="AQ14" s="38">
        <v>127462</v>
      </c>
      <c r="AR14" s="38">
        <v>127462</v>
      </c>
      <c r="AS14" s="38">
        <v>124351</v>
      </c>
      <c r="AT14" s="38">
        <v>124351</v>
      </c>
      <c r="AU14" s="38">
        <v>177656</v>
      </c>
      <c r="AV14" s="38">
        <v>258046</v>
      </c>
      <c r="AX14" s="38">
        <v>133480</v>
      </c>
      <c r="AY14" s="215">
        <v>83247</v>
      </c>
      <c r="AZ14" s="215">
        <v>60061</v>
      </c>
      <c r="BA14" s="215">
        <v>144687</v>
      </c>
      <c r="BC14" s="215">
        <v>83836</v>
      </c>
      <c r="BD14" s="215">
        <v>200422</v>
      </c>
      <c r="BE14" s="215">
        <f>136057-1</f>
        <v>136056</v>
      </c>
      <c r="BF14" s="215">
        <f>201350+1</f>
        <v>201351</v>
      </c>
      <c r="BH14" s="215">
        <v>180506</v>
      </c>
    </row>
    <row r="15" spans="2:60" ht="25">
      <c r="B15" s="11" t="s">
        <v>143</v>
      </c>
      <c r="C15" s="38">
        <f>203796-58</f>
        <v>203738</v>
      </c>
      <c r="D15" s="38">
        <f>167817+1913</f>
        <v>169730</v>
      </c>
      <c r="E15" s="38">
        <f>87705+1335</f>
        <v>89040</v>
      </c>
      <c r="F15" s="38">
        <f>-42376+4793</f>
        <v>-37583</v>
      </c>
      <c r="G15" s="54"/>
      <c r="H15" s="38">
        <v>101940</v>
      </c>
      <c r="I15" s="38">
        <f>147307+829</f>
        <v>148136</v>
      </c>
      <c r="J15" s="38">
        <f>80792-1711</f>
        <v>79081</v>
      </c>
      <c r="K15" s="38">
        <f>-31596+94+1</f>
        <v>-31501</v>
      </c>
      <c r="L15" s="38">
        <v>-9435</v>
      </c>
      <c r="N15" s="38">
        <v>167011</v>
      </c>
      <c r="O15" s="38">
        <v>154281</v>
      </c>
      <c r="P15" s="38">
        <f>137323-1</f>
        <v>137322</v>
      </c>
      <c r="Q15" s="38">
        <v>126817</v>
      </c>
      <c r="R15" s="38">
        <f>103988-468</f>
        <v>103520</v>
      </c>
      <c r="S15" s="38">
        <f>140773-468</f>
        <v>140305</v>
      </c>
      <c r="T15" s="38">
        <v>132145</v>
      </c>
      <c r="U15" s="38">
        <f>117208+1389-1</f>
        <v>118596</v>
      </c>
      <c r="W15" s="38">
        <v>129970</v>
      </c>
      <c r="X15" s="38">
        <v>129970</v>
      </c>
      <c r="Y15" s="38">
        <f>77954-1386</f>
        <v>76568</v>
      </c>
      <c r="Z15" s="38">
        <f>77954-1386</f>
        <v>76568</v>
      </c>
      <c r="AA15" s="38">
        <v>130368</v>
      </c>
      <c r="AB15" s="38">
        <v>130368</v>
      </c>
      <c r="AC15" s="38">
        <f>102341-3524</f>
        <v>98817</v>
      </c>
      <c r="AD15" s="38">
        <f>102341-3524+1</f>
        <v>98818</v>
      </c>
      <c r="AE15" s="38"/>
      <c r="AF15" s="38">
        <v>111887</v>
      </c>
      <c r="AG15" s="38">
        <v>111887</v>
      </c>
      <c r="AH15" s="38">
        <v>143208</v>
      </c>
      <c r="AI15" s="38">
        <v>143208</v>
      </c>
      <c r="AJ15" s="38">
        <f>137782+1</f>
        <v>137783</v>
      </c>
      <c r="AK15" s="38">
        <f>137782+1</f>
        <v>137783</v>
      </c>
      <c r="AN15" s="38">
        <f>94488-2184-1</f>
        <v>92303</v>
      </c>
      <c r="AO15" s="38">
        <f>94488-2184-1</f>
        <v>92303</v>
      </c>
      <c r="AQ15" s="38">
        <v>176866</v>
      </c>
      <c r="AR15" s="38">
        <v>176866</v>
      </c>
      <c r="AS15" s="38">
        <f>141946-1</f>
        <v>141945</v>
      </c>
      <c r="AT15" s="38">
        <f>141946-1</f>
        <v>141945</v>
      </c>
      <c r="AU15" s="38">
        <v>148648</v>
      </c>
      <c r="AV15" s="38">
        <v>21304</v>
      </c>
      <c r="AX15" s="38">
        <v>-35478</v>
      </c>
      <c r="AY15" s="215">
        <v>72921</v>
      </c>
      <c r="AZ15" s="215">
        <v>34894</v>
      </c>
      <c r="BA15" s="215">
        <v>-41977</v>
      </c>
      <c r="BC15" s="215">
        <v>33765</v>
      </c>
      <c r="BD15" s="215">
        <v>117246</v>
      </c>
      <c r="BE15" s="215">
        <v>141236</v>
      </c>
      <c r="BF15" s="215">
        <v>101985</v>
      </c>
      <c r="BH15" s="215">
        <v>136898</v>
      </c>
    </row>
    <row r="16" spans="2:60" ht="16.5" customHeight="1">
      <c r="B16" s="60" t="s">
        <v>41</v>
      </c>
      <c r="C16" s="38">
        <v>102626</v>
      </c>
      <c r="D16" s="38">
        <v>109315</v>
      </c>
      <c r="E16" s="38">
        <v>98647</v>
      </c>
      <c r="F16" s="38">
        <v>-249617</v>
      </c>
      <c r="G16" s="54"/>
      <c r="H16" s="38">
        <v>17691</v>
      </c>
      <c r="I16" s="38">
        <v>24887</v>
      </c>
      <c r="J16" s="38">
        <v>36870</v>
      </c>
      <c r="K16" s="38">
        <f>23598+1</f>
        <v>23599</v>
      </c>
      <c r="L16" s="38">
        <v>23599</v>
      </c>
      <c r="N16" s="38">
        <v>48060</v>
      </c>
      <c r="O16" s="38">
        <v>48059</v>
      </c>
      <c r="P16" s="38">
        <v>44658</v>
      </c>
      <c r="Q16" s="38">
        <f>44658+1</f>
        <v>44659</v>
      </c>
      <c r="R16" s="38">
        <v>45663</v>
      </c>
      <c r="S16" s="38">
        <v>45663</v>
      </c>
      <c r="T16" s="38">
        <v>31658</v>
      </c>
      <c r="U16" s="38">
        <v>31658</v>
      </c>
      <c r="W16" s="38">
        <v>30969</v>
      </c>
      <c r="X16" s="38">
        <v>30969</v>
      </c>
      <c r="Y16" s="38">
        <v>59818</v>
      </c>
      <c r="Z16" s="38">
        <v>59818</v>
      </c>
      <c r="AA16" s="38">
        <v>53317</v>
      </c>
      <c r="AB16" s="38">
        <v>53317</v>
      </c>
      <c r="AC16" s="38">
        <v>54384</v>
      </c>
      <c r="AD16" s="38">
        <f>54384-1</f>
        <v>54383</v>
      </c>
      <c r="AE16" s="38"/>
      <c r="AF16" s="38">
        <v>76432</v>
      </c>
      <c r="AG16" s="38">
        <f>76432-1024</f>
        <v>75408</v>
      </c>
      <c r="AH16" s="38">
        <v>49866</v>
      </c>
      <c r="AI16" s="38">
        <f>49866+1024</f>
        <v>50890</v>
      </c>
      <c r="AJ16" s="38">
        <v>108954</v>
      </c>
      <c r="AK16" s="38">
        <v>108954</v>
      </c>
      <c r="AN16" s="38">
        <v>83338</v>
      </c>
      <c r="AO16" s="38">
        <v>83338</v>
      </c>
      <c r="AQ16" s="38">
        <v>64916</v>
      </c>
      <c r="AR16" s="38">
        <v>64916</v>
      </c>
      <c r="AS16" s="38">
        <v>65241</v>
      </c>
      <c r="AT16" s="38">
        <v>65241</v>
      </c>
      <c r="AU16" s="38">
        <v>59674</v>
      </c>
      <c r="AV16" s="38">
        <v>55715</v>
      </c>
      <c r="AX16" s="38">
        <v>54976</v>
      </c>
      <c r="AY16" s="215">
        <v>35697</v>
      </c>
      <c r="AZ16" s="215">
        <v>49032</v>
      </c>
      <c r="BA16" s="215">
        <v>57161</v>
      </c>
      <c r="BC16" s="382">
        <v>50046</v>
      </c>
      <c r="BD16" s="382">
        <v>54428</v>
      </c>
      <c r="BE16" s="382">
        <v>61881</v>
      </c>
      <c r="BF16" s="382">
        <v>63005</v>
      </c>
      <c r="BH16" s="382">
        <v>65753</v>
      </c>
    </row>
    <row r="17" spans="2:60" ht="6.75" customHeight="1">
      <c r="C17" s="54"/>
      <c r="D17" s="55"/>
      <c r="E17" s="55"/>
      <c r="F17" s="55"/>
      <c r="G17" s="54"/>
      <c r="H17" s="55"/>
      <c r="I17" s="55"/>
      <c r="J17" s="55"/>
      <c r="K17" s="55"/>
      <c r="L17" s="55"/>
      <c r="N17" s="55"/>
      <c r="O17" s="55"/>
      <c r="P17" s="55"/>
      <c r="Q17" s="55"/>
      <c r="R17" s="55"/>
      <c r="S17" s="55"/>
      <c r="T17" s="55"/>
      <c r="U17" s="55"/>
      <c r="W17" s="55"/>
      <c r="X17" s="55"/>
      <c r="Y17" s="55"/>
      <c r="Z17" s="55"/>
      <c r="AA17" s="55"/>
      <c r="AB17" s="55"/>
      <c r="AC17" s="55"/>
      <c r="AD17" s="55"/>
      <c r="AE17" s="55"/>
      <c r="AF17" s="55"/>
      <c r="AG17" s="55"/>
      <c r="AH17" s="55"/>
      <c r="AI17" s="55"/>
      <c r="AJ17" s="55"/>
      <c r="AK17" s="55"/>
      <c r="AN17" s="55"/>
      <c r="AO17" s="55"/>
      <c r="AQ17" s="55"/>
      <c r="AR17" s="55"/>
      <c r="AS17" s="55"/>
      <c r="AT17" s="55"/>
      <c r="AU17" s="55"/>
      <c r="AV17" s="55"/>
      <c r="AX17" s="55"/>
      <c r="AY17" s="382"/>
      <c r="AZ17" s="382"/>
      <c r="BA17" s="382"/>
    </row>
    <row r="18" spans="2:60" ht="16.5" customHeight="1">
      <c r="B18" s="8" t="s">
        <v>26</v>
      </c>
      <c r="C18" s="70">
        <f>SUM(C19:C22)</f>
        <v>1395579</v>
      </c>
      <c r="D18" s="71">
        <f>SUM(D19:D22)</f>
        <v>1718950.8439674901</v>
      </c>
      <c r="E18" s="71">
        <f>SUM(E19:E22)</f>
        <v>1646441</v>
      </c>
      <c r="F18" s="71">
        <f>SUM(F19:F22)</f>
        <v>1815266</v>
      </c>
      <c r="G18" s="54"/>
      <c r="H18" s="71">
        <f>SUM(H19:H22)</f>
        <v>1932374</v>
      </c>
      <c r="I18" s="71">
        <f t="shared" ref="I18:M18" si="4">SUM(I19:I22)</f>
        <v>2028265</v>
      </c>
      <c r="J18" s="71">
        <f t="shared" si="4"/>
        <v>2441431</v>
      </c>
      <c r="K18" s="71">
        <f t="shared" si="4"/>
        <v>3228975</v>
      </c>
      <c r="L18" s="71">
        <f t="shared" si="4"/>
        <v>3322002</v>
      </c>
      <c r="M18" s="71">
        <f t="shared" si="4"/>
        <v>0</v>
      </c>
      <c r="N18" s="71">
        <f t="shared" ref="N18:T18" si="5">SUM(N19:N22)</f>
        <v>2952728</v>
      </c>
      <c r="O18" s="71">
        <f t="shared" si="5"/>
        <v>2952525</v>
      </c>
      <c r="P18" s="71">
        <f t="shared" si="5"/>
        <v>2379246</v>
      </c>
      <c r="Q18" s="71">
        <f t="shared" si="5"/>
        <v>2378643</v>
      </c>
      <c r="R18" s="71">
        <f t="shared" si="5"/>
        <v>2357572</v>
      </c>
      <c r="S18" s="71">
        <f t="shared" ref="S18" si="6">SUM(S19:S22)</f>
        <v>2361600</v>
      </c>
      <c r="T18" s="71">
        <f t="shared" si="5"/>
        <v>2741928</v>
      </c>
      <c r="U18" s="71">
        <f t="shared" ref="U18" si="7">SUM(U19:U22)</f>
        <v>2738706</v>
      </c>
      <c r="W18" s="71">
        <f t="shared" ref="W18:AC18" si="8">SUM(W19:W22)</f>
        <v>2416638</v>
      </c>
      <c r="X18" s="71">
        <f t="shared" si="8"/>
        <v>2479144</v>
      </c>
      <c r="Y18" s="71">
        <f t="shared" si="8"/>
        <v>2476082</v>
      </c>
      <c r="Z18" s="71">
        <f t="shared" si="8"/>
        <v>2579363</v>
      </c>
      <c r="AA18" s="71">
        <f t="shared" si="8"/>
        <v>2622976</v>
      </c>
      <c r="AB18" s="71">
        <f t="shared" si="8"/>
        <v>2854732</v>
      </c>
      <c r="AC18" s="71">
        <f t="shared" si="8"/>
        <v>2803579</v>
      </c>
      <c r="AD18" s="71">
        <f t="shared" ref="AD18" si="9">SUM(AD19:AD22)</f>
        <v>2578896</v>
      </c>
      <c r="AE18" s="71"/>
      <c r="AF18" s="71">
        <f t="shared" ref="AF18:AK18" si="10">SUM(AF19:AF22)</f>
        <v>2317141</v>
      </c>
      <c r="AG18" s="71">
        <f t="shared" si="10"/>
        <v>2375672</v>
      </c>
      <c r="AH18" s="71">
        <f t="shared" si="10"/>
        <v>2546340</v>
      </c>
      <c r="AI18" s="71">
        <f t="shared" si="10"/>
        <v>2604825</v>
      </c>
      <c r="AJ18" s="71">
        <f t="shared" si="10"/>
        <v>2579168</v>
      </c>
      <c r="AK18" s="71">
        <f t="shared" si="10"/>
        <v>2579169</v>
      </c>
      <c r="AN18" s="71">
        <f t="shared" ref="AN18:AO18" si="11">SUM(AN19:AN22)</f>
        <v>2651727</v>
      </c>
      <c r="AO18" s="71">
        <f t="shared" si="11"/>
        <v>2651727</v>
      </c>
      <c r="AQ18" s="71">
        <f t="shared" ref="AQ18:AV18" si="12">SUM(AQ19:AQ22)</f>
        <v>2685456</v>
      </c>
      <c r="AR18" s="71">
        <f t="shared" si="12"/>
        <v>2685456</v>
      </c>
      <c r="AS18" s="71">
        <f t="shared" si="12"/>
        <v>2822418</v>
      </c>
      <c r="AT18" s="71">
        <f t="shared" si="12"/>
        <v>2866576</v>
      </c>
      <c r="AU18" s="71">
        <f t="shared" si="12"/>
        <v>3851920</v>
      </c>
      <c r="AV18" s="71">
        <f t="shared" si="12"/>
        <v>2861060</v>
      </c>
      <c r="AX18" s="71">
        <v>2797682</v>
      </c>
      <c r="AY18" s="383">
        <v>2498216</v>
      </c>
      <c r="AZ18" s="383">
        <v>2615417</v>
      </c>
      <c r="BA18" s="383">
        <f t="shared" ref="BA18" si="13">SUM(BA19:BA22)</f>
        <v>2720609</v>
      </c>
      <c r="BC18" s="383">
        <f t="shared" ref="BC18:BF18" si="14">SUM(BC19:BC22)</f>
        <v>2750841</v>
      </c>
      <c r="BD18" s="383">
        <f t="shared" si="14"/>
        <v>2923945</v>
      </c>
      <c r="BE18" s="383">
        <f t="shared" si="14"/>
        <v>2989665</v>
      </c>
      <c r="BF18" s="383">
        <f t="shared" si="14"/>
        <v>3183862</v>
      </c>
      <c r="BH18" s="383">
        <f t="shared" ref="BH18" si="15">SUM(BH19:BH22)</f>
        <v>3417804</v>
      </c>
    </row>
    <row r="19" spans="2:60" ht="16.5" customHeight="1">
      <c r="B19" s="60" t="s">
        <v>22</v>
      </c>
      <c r="C19" s="74">
        <v>1219105</v>
      </c>
      <c r="D19" s="38">
        <v>1457032.1981916202</v>
      </c>
      <c r="E19" s="38">
        <v>1470281</v>
      </c>
      <c r="F19" s="38">
        <f>1532585+148990</f>
        <v>1681575</v>
      </c>
      <c r="G19" s="54"/>
      <c r="H19" s="38">
        <f>1735140+1</f>
        <v>1735141</v>
      </c>
      <c r="I19" s="38">
        <f>1816481-1</f>
        <v>1816480</v>
      </c>
      <c r="J19" s="38">
        <v>2234831</v>
      </c>
      <c r="K19" s="38">
        <v>2846760</v>
      </c>
      <c r="L19" s="38">
        <v>2925128</v>
      </c>
      <c r="N19" s="38">
        <v>2695173</v>
      </c>
      <c r="O19" s="38">
        <v>2695173</v>
      </c>
      <c r="P19" s="38">
        <v>2175634</v>
      </c>
      <c r="Q19" s="38">
        <v>2175634</v>
      </c>
      <c r="R19" s="38">
        <v>2066846</v>
      </c>
      <c r="S19" s="38">
        <v>2066846</v>
      </c>
      <c r="T19" s="38">
        <v>2045753</v>
      </c>
      <c r="U19" s="38">
        <v>2045753</v>
      </c>
      <c r="W19" s="38">
        <v>2100364</v>
      </c>
      <c r="X19" s="38">
        <v>2162870</v>
      </c>
      <c r="Y19" s="38">
        <f>2051400</f>
        <v>2051400</v>
      </c>
      <c r="Z19" s="38">
        <f>2154681-1</f>
        <v>2154680</v>
      </c>
      <c r="AA19" s="38">
        <v>2074681</v>
      </c>
      <c r="AB19" s="38">
        <v>2180785</v>
      </c>
      <c r="AC19" s="38">
        <f>2486736+2</f>
        <v>2486738</v>
      </c>
      <c r="AD19" s="38">
        <f>2214846+2</f>
        <v>2214848</v>
      </c>
      <c r="AE19" s="38"/>
      <c r="AF19" s="38">
        <v>2086302</v>
      </c>
      <c r="AG19" s="38">
        <v>2086302</v>
      </c>
      <c r="AH19" s="38">
        <f>2268617+1</f>
        <v>2268618</v>
      </c>
      <c r="AI19" s="38">
        <f>2268617+1</f>
        <v>2268618</v>
      </c>
      <c r="AJ19" s="38">
        <v>2276872</v>
      </c>
      <c r="AK19" s="38">
        <v>2276872</v>
      </c>
      <c r="AL19" s="12"/>
      <c r="AM19" s="12"/>
      <c r="AN19" s="38">
        <v>2349342</v>
      </c>
      <c r="AO19" s="38">
        <v>2349342</v>
      </c>
      <c r="AP19" s="12"/>
      <c r="AQ19" s="38">
        <v>2346085</v>
      </c>
      <c r="AR19" s="38">
        <v>2346085</v>
      </c>
      <c r="AS19" s="38">
        <f>2439852+1</f>
        <v>2439853</v>
      </c>
      <c r="AT19" s="38">
        <f>2439852+1</f>
        <v>2439853</v>
      </c>
      <c r="AU19" s="38">
        <f>2647845-1</f>
        <v>2647844</v>
      </c>
      <c r="AV19" s="38">
        <v>2458935</v>
      </c>
      <c r="AW19" s="12"/>
      <c r="AX19" s="38">
        <v>2383062</v>
      </c>
      <c r="AY19" s="215">
        <v>2122510</v>
      </c>
      <c r="AZ19" s="215">
        <v>2247991</v>
      </c>
      <c r="BA19" s="215">
        <v>2312010</v>
      </c>
      <c r="BB19" s="12"/>
      <c r="BC19" s="215">
        <v>2383803</v>
      </c>
      <c r="BD19" s="215">
        <f>2485337+1</f>
        <v>2485338</v>
      </c>
      <c r="BE19" s="215">
        <v>2603062</v>
      </c>
      <c r="BF19" s="215">
        <v>2772862</v>
      </c>
      <c r="BG19" s="12"/>
      <c r="BH19" s="215">
        <v>3013948</v>
      </c>
    </row>
    <row r="20" spans="2:60" ht="16.5" customHeight="1">
      <c r="B20" s="60" t="s">
        <v>25</v>
      </c>
      <c r="C20" s="74">
        <v>133215</v>
      </c>
      <c r="D20" s="38">
        <v>147306.10460471999</v>
      </c>
      <c r="E20" s="38">
        <v>111773</v>
      </c>
      <c r="F20" s="38">
        <f>78595-1</f>
        <v>78594</v>
      </c>
      <c r="G20" s="54"/>
      <c r="H20" s="38">
        <v>197626</v>
      </c>
      <c r="I20" s="38">
        <v>166732</v>
      </c>
      <c r="J20" s="38">
        <v>189486</v>
      </c>
      <c r="K20" s="38">
        <v>201199</v>
      </c>
      <c r="L20" s="38">
        <v>200459</v>
      </c>
      <c r="N20" s="38">
        <v>214247</v>
      </c>
      <c r="O20" s="38">
        <v>213654</v>
      </c>
      <c r="P20" s="38">
        <v>196554</v>
      </c>
      <c r="Q20" s="38">
        <v>195961</v>
      </c>
      <c r="R20" s="38">
        <v>200431</v>
      </c>
      <c r="S20" s="38">
        <v>204459</v>
      </c>
      <c r="T20" s="38">
        <v>243653</v>
      </c>
      <c r="U20" s="38">
        <v>240811</v>
      </c>
      <c r="W20" s="38">
        <v>245643</v>
      </c>
      <c r="X20" s="38">
        <v>245643</v>
      </c>
      <c r="Y20" s="38">
        <f>227496</f>
        <v>227496</v>
      </c>
      <c r="Z20" s="38">
        <f>227496</f>
        <v>227496</v>
      </c>
      <c r="AA20" s="38">
        <v>233124</v>
      </c>
      <c r="AB20" s="38">
        <v>358777</v>
      </c>
      <c r="AC20" s="38">
        <v>224870</v>
      </c>
      <c r="AD20" s="38">
        <f>272076+1</f>
        <v>272077</v>
      </c>
      <c r="AE20" s="38"/>
      <c r="AF20" s="38">
        <v>221530</v>
      </c>
      <c r="AG20" s="38">
        <v>280061</v>
      </c>
      <c r="AH20" s="38">
        <v>235774</v>
      </c>
      <c r="AI20" s="38">
        <f>294260-1</f>
        <v>294259</v>
      </c>
      <c r="AJ20" s="38">
        <f>285940-1</f>
        <v>285939</v>
      </c>
      <c r="AK20" s="38">
        <f>285940</f>
        <v>285940</v>
      </c>
      <c r="AL20" s="12">
        <f>+AG20-AF20</f>
        <v>58531</v>
      </c>
      <c r="AM20" s="12">
        <f>+AI20-AH20</f>
        <v>58485</v>
      </c>
      <c r="AN20" s="38">
        <f>268477+1</f>
        <v>268478</v>
      </c>
      <c r="AO20" s="38">
        <f>268477+1</f>
        <v>268478</v>
      </c>
      <c r="AP20" s="12"/>
      <c r="AQ20" s="38">
        <v>328510</v>
      </c>
      <c r="AR20" s="38">
        <v>328510</v>
      </c>
      <c r="AS20" s="38">
        <v>373108</v>
      </c>
      <c r="AT20" s="38">
        <v>373108</v>
      </c>
      <c r="AU20" s="38">
        <v>365534</v>
      </c>
      <c r="AV20" s="38">
        <v>344788</v>
      </c>
      <c r="AW20" s="12"/>
      <c r="AX20" s="38">
        <v>356537</v>
      </c>
      <c r="AY20" s="215">
        <v>368685</v>
      </c>
      <c r="AZ20" s="215">
        <v>357938</v>
      </c>
      <c r="BA20" s="215">
        <v>358260</v>
      </c>
      <c r="BB20" s="12"/>
      <c r="BC20" s="215">
        <v>360552</v>
      </c>
      <c r="BD20" s="215">
        <v>367081</v>
      </c>
      <c r="BE20" s="215">
        <v>366743</v>
      </c>
      <c r="BF20" s="215">
        <f>371398-1</f>
        <v>371397</v>
      </c>
      <c r="BG20" s="12"/>
      <c r="BH20" s="215">
        <v>373933</v>
      </c>
    </row>
    <row r="21" spans="2:60" ht="15.75" customHeight="1">
      <c r="B21" s="11" t="s">
        <v>144</v>
      </c>
      <c r="C21" s="74">
        <v>32888</v>
      </c>
      <c r="D21" s="38">
        <v>116153.38323199999</v>
      </c>
      <c r="E21" s="38">
        <v>65351</v>
      </c>
      <c r="F21" s="38">
        <v>42445</v>
      </c>
      <c r="G21" s="54"/>
      <c r="H21" s="38">
        <v>0</v>
      </c>
      <c r="I21" s="38">
        <v>42075</v>
      </c>
      <c r="J21" s="38">
        <v>0</v>
      </c>
      <c r="K21" s="38">
        <v>57390</v>
      </c>
      <c r="L21" s="38">
        <v>57390</v>
      </c>
      <c r="N21" s="38">
        <v>11323</v>
      </c>
      <c r="O21" s="38">
        <v>11713</v>
      </c>
      <c r="P21" s="38">
        <f>79</f>
        <v>79</v>
      </c>
      <c r="Q21" s="38">
        <v>69</v>
      </c>
      <c r="R21" s="38">
        <v>77774</v>
      </c>
      <c r="S21" s="38">
        <v>77774</v>
      </c>
      <c r="T21" s="38">
        <v>373087</v>
      </c>
      <c r="U21" s="38">
        <v>372707</v>
      </c>
      <c r="W21" s="38">
        <v>0</v>
      </c>
      <c r="X21" s="38">
        <v>0</v>
      </c>
      <c r="Y21" s="38">
        <v>66801</v>
      </c>
      <c r="Z21" s="38">
        <v>66801</v>
      </c>
      <c r="AA21" s="38">
        <f>250218-1</f>
        <v>250217</v>
      </c>
      <c r="AB21" s="38">
        <f>250218-1</f>
        <v>250217</v>
      </c>
      <c r="AC21" s="38">
        <v>0</v>
      </c>
      <c r="AD21" s="38">
        <v>0</v>
      </c>
      <c r="AE21" s="38"/>
      <c r="AF21" s="38">
        <v>0</v>
      </c>
      <c r="AG21" s="38">
        <v>0</v>
      </c>
      <c r="AH21" s="38">
        <v>0</v>
      </c>
      <c r="AI21" s="38">
        <v>0</v>
      </c>
      <c r="AJ21" s="38">
        <v>0</v>
      </c>
      <c r="AK21" s="38">
        <v>0</v>
      </c>
      <c r="AN21" s="38">
        <v>932</v>
      </c>
      <c r="AO21" s="38">
        <v>932</v>
      </c>
      <c r="AQ21" s="38">
        <v>0</v>
      </c>
      <c r="AR21" s="38">
        <v>0</v>
      </c>
      <c r="AS21" s="38">
        <v>0</v>
      </c>
      <c r="AT21" s="38">
        <v>44158</v>
      </c>
      <c r="AU21" s="38">
        <v>781170</v>
      </c>
      <c r="AV21" s="38">
        <v>0</v>
      </c>
      <c r="AW21" s="12"/>
      <c r="AX21" s="38">
        <v>43276</v>
      </c>
      <c r="AY21" s="215">
        <v>0</v>
      </c>
      <c r="AZ21" s="215">
        <v>835</v>
      </c>
      <c r="BA21" s="215">
        <v>18630</v>
      </c>
      <c r="BB21" s="12"/>
      <c r="BC21" s="215">
        <v>0</v>
      </c>
      <c r="BD21" s="215">
        <v>909</v>
      </c>
      <c r="BE21" s="215">
        <v>0</v>
      </c>
      <c r="BF21" s="215">
        <v>6874</v>
      </c>
      <c r="BG21" s="12"/>
      <c r="BH21" s="215">
        <v>0</v>
      </c>
    </row>
    <row r="22" spans="2:60" ht="15" customHeight="1">
      <c r="B22" s="60" t="s">
        <v>9</v>
      </c>
      <c r="C22" s="74">
        <v>10371</v>
      </c>
      <c r="D22" s="38">
        <v>-1540.8420608499998</v>
      </c>
      <c r="E22" s="38">
        <v>-964</v>
      </c>
      <c r="F22" s="38">
        <v>12652</v>
      </c>
      <c r="G22" s="54"/>
      <c r="H22" s="38">
        <v>-393</v>
      </c>
      <c r="I22" s="38">
        <v>2978</v>
      </c>
      <c r="J22" s="38">
        <v>17114</v>
      </c>
      <c r="K22" s="38">
        <v>123626</v>
      </c>
      <c r="L22" s="38">
        <v>139025</v>
      </c>
      <c r="N22" s="38">
        <v>31985</v>
      </c>
      <c r="O22" s="38">
        <v>31985</v>
      </c>
      <c r="P22" s="38">
        <v>6979</v>
      </c>
      <c r="Q22" s="38">
        <v>6979</v>
      </c>
      <c r="R22" s="38">
        <v>12521</v>
      </c>
      <c r="S22" s="38">
        <v>12521</v>
      </c>
      <c r="T22" s="38">
        <v>79435</v>
      </c>
      <c r="U22" s="38">
        <v>79435</v>
      </c>
      <c r="W22" s="38">
        <v>70631</v>
      </c>
      <c r="X22" s="38">
        <v>70631</v>
      </c>
      <c r="Y22" s="38">
        <v>130385</v>
      </c>
      <c r="Z22" s="38">
        <f>130385+1</f>
        <v>130386</v>
      </c>
      <c r="AA22" s="38">
        <f>64953+1</f>
        <v>64954</v>
      </c>
      <c r="AB22" s="38">
        <f>64953</f>
        <v>64953</v>
      </c>
      <c r="AC22" s="38">
        <v>91971</v>
      </c>
      <c r="AD22" s="38">
        <v>91971</v>
      </c>
      <c r="AE22" s="38"/>
      <c r="AF22" s="38">
        <v>9309</v>
      </c>
      <c r="AG22" s="38">
        <v>9309</v>
      </c>
      <c r="AH22" s="38">
        <v>41948</v>
      </c>
      <c r="AI22" s="38">
        <v>41948</v>
      </c>
      <c r="AJ22" s="38">
        <f>16356+1</f>
        <v>16357</v>
      </c>
      <c r="AK22" s="38">
        <f>16356+1</f>
        <v>16357</v>
      </c>
      <c r="AN22" s="38">
        <v>32975</v>
      </c>
      <c r="AO22" s="38">
        <v>32975</v>
      </c>
      <c r="AQ22" s="38">
        <v>10861</v>
      </c>
      <c r="AR22" s="38">
        <v>10861</v>
      </c>
      <c r="AS22" s="38">
        <v>9457</v>
      </c>
      <c r="AT22" s="38">
        <v>9457</v>
      </c>
      <c r="AU22" s="38">
        <v>57372</v>
      </c>
      <c r="AV22" s="38">
        <v>57337</v>
      </c>
      <c r="AW22" s="12"/>
      <c r="AX22" s="38">
        <v>14807</v>
      </c>
      <c r="AY22" s="215">
        <v>7021</v>
      </c>
      <c r="AZ22" s="215">
        <v>8653</v>
      </c>
      <c r="BA22" s="215">
        <f>31710-1</f>
        <v>31709</v>
      </c>
      <c r="BB22" s="12"/>
      <c r="BC22" s="215">
        <v>6486</v>
      </c>
      <c r="BD22" s="215">
        <f>70616+1</f>
        <v>70617</v>
      </c>
      <c r="BE22" s="215">
        <v>19860</v>
      </c>
      <c r="BF22" s="215">
        <v>32729</v>
      </c>
      <c r="BG22" s="12"/>
      <c r="BH22" s="215">
        <v>29923</v>
      </c>
    </row>
    <row r="23" spans="2:60" ht="10.5" customHeight="1">
      <c r="C23" s="54"/>
      <c r="D23" s="55"/>
      <c r="E23" s="55"/>
      <c r="F23" s="55"/>
      <c r="G23" s="54"/>
      <c r="H23" s="55"/>
      <c r="I23" s="55"/>
      <c r="J23" s="55"/>
      <c r="K23" s="55"/>
      <c r="L23" s="55"/>
      <c r="N23" s="55"/>
      <c r="O23" s="55"/>
      <c r="P23" s="55"/>
      <c r="Q23" s="55"/>
      <c r="R23" s="55"/>
      <c r="S23" s="55"/>
      <c r="T23" s="55"/>
      <c r="U23" s="55"/>
      <c r="W23" s="55"/>
      <c r="X23" s="55"/>
      <c r="Y23" s="55"/>
      <c r="Z23" s="55"/>
      <c r="AA23" s="55"/>
      <c r="AB23" s="55"/>
      <c r="AC23" s="55"/>
      <c r="AD23" s="55"/>
      <c r="AE23" s="55"/>
      <c r="AF23" s="55"/>
      <c r="AG23" s="55"/>
      <c r="AH23" s="55"/>
      <c r="AI23" s="55"/>
      <c r="AJ23" s="55"/>
      <c r="AK23" s="55"/>
      <c r="AN23" s="55"/>
      <c r="AO23" s="55"/>
      <c r="AQ23" s="55"/>
      <c r="AR23" s="55"/>
      <c r="AS23" s="55"/>
      <c r="AT23" s="55"/>
      <c r="AU23" s="55"/>
      <c r="AV23" s="55"/>
      <c r="AW23" s="12"/>
      <c r="AX23" s="55"/>
      <c r="AY23" s="382"/>
      <c r="AZ23" s="382"/>
      <c r="BA23" s="382"/>
      <c r="BB23" s="12"/>
      <c r="BC23" s="382"/>
      <c r="BD23" s="382"/>
      <c r="BE23" s="382"/>
      <c r="BF23" s="382"/>
      <c r="BG23" s="12"/>
      <c r="BH23" s="382"/>
    </row>
    <row r="24" spans="2:60" s="2" customFormat="1" ht="16.5" customHeight="1">
      <c r="B24" s="8" t="s">
        <v>2</v>
      </c>
      <c r="C24" s="59">
        <f>+C10-C18</f>
        <v>897196</v>
      </c>
      <c r="D24" s="75">
        <f>+D10-D18</f>
        <v>826202.15603250987</v>
      </c>
      <c r="E24" s="75">
        <f>+E10-E18</f>
        <v>588303</v>
      </c>
      <c r="F24" s="75">
        <f>+F10-F18</f>
        <v>408351</v>
      </c>
      <c r="G24" s="54"/>
      <c r="H24" s="75">
        <f>+H10-H18</f>
        <v>707736</v>
      </c>
      <c r="I24" s="75">
        <f>+I10-I18</f>
        <v>821606</v>
      </c>
      <c r="J24" s="75">
        <f>+J10-J18</f>
        <v>770960</v>
      </c>
      <c r="K24" s="75">
        <f>+K10-K18</f>
        <v>648331</v>
      </c>
      <c r="L24" s="75">
        <f>+L10-L18</f>
        <v>675930</v>
      </c>
      <c r="N24" s="75">
        <f t="shared" ref="N24:U24" si="16">+N10-N18</f>
        <v>1103405</v>
      </c>
      <c r="O24" s="75">
        <f t="shared" si="16"/>
        <v>1090100</v>
      </c>
      <c r="P24" s="75">
        <f t="shared" si="16"/>
        <v>1016394</v>
      </c>
      <c r="Q24" s="75">
        <f t="shared" si="16"/>
        <v>1005735</v>
      </c>
      <c r="R24" s="75">
        <f t="shared" si="16"/>
        <v>1004663</v>
      </c>
      <c r="S24" s="75">
        <f t="shared" si="16"/>
        <v>1040321</v>
      </c>
      <c r="T24" s="75">
        <f t="shared" si="16"/>
        <v>996948</v>
      </c>
      <c r="U24" s="75">
        <f t="shared" si="16"/>
        <v>985254</v>
      </c>
      <c r="W24" s="75">
        <f t="shared" ref="W24:AD24" si="17">+W10-W18</f>
        <v>940556</v>
      </c>
      <c r="X24" s="75">
        <f t="shared" si="17"/>
        <v>878050</v>
      </c>
      <c r="Y24" s="75">
        <f t="shared" si="17"/>
        <v>1089051</v>
      </c>
      <c r="Z24" s="75">
        <f t="shared" si="17"/>
        <v>985770</v>
      </c>
      <c r="AA24" s="75">
        <f t="shared" si="17"/>
        <v>1443066</v>
      </c>
      <c r="AB24" s="75">
        <f t="shared" si="17"/>
        <v>1211309</v>
      </c>
      <c r="AC24" s="75">
        <f t="shared" si="17"/>
        <v>781630</v>
      </c>
      <c r="AD24" s="75">
        <f t="shared" si="17"/>
        <v>1006315</v>
      </c>
      <c r="AE24" s="75"/>
      <c r="AF24" s="75">
        <f t="shared" ref="AF24:AK24" si="18">+AF10-AF18</f>
        <v>993405</v>
      </c>
      <c r="AG24" s="75">
        <f t="shared" si="18"/>
        <v>932280</v>
      </c>
      <c r="AH24" s="75">
        <f t="shared" si="18"/>
        <v>1070770</v>
      </c>
      <c r="AI24" s="75">
        <f t="shared" si="18"/>
        <v>1007581</v>
      </c>
      <c r="AJ24" s="75">
        <f t="shared" si="18"/>
        <v>1059074</v>
      </c>
      <c r="AK24" s="75">
        <f t="shared" si="18"/>
        <v>1055253</v>
      </c>
      <c r="AN24" s="75">
        <f>+AN10-AN18</f>
        <v>1096388</v>
      </c>
      <c r="AO24" s="75">
        <f>+AO10-AO18</f>
        <v>1088168</v>
      </c>
      <c r="AQ24" s="75">
        <f t="shared" ref="AQ24:AV24" si="19">+AQ10-AQ18</f>
        <v>1035860</v>
      </c>
      <c r="AR24" s="75">
        <f t="shared" si="19"/>
        <v>1029448</v>
      </c>
      <c r="AS24" s="75">
        <f t="shared" si="19"/>
        <v>1038148</v>
      </c>
      <c r="AT24" s="75">
        <f t="shared" si="19"/>
        <v>1048618</v>
      </c>
      <c r="AU24" s="75">
        <f t="shared" si="19"/>
        <v>1375767</v>
      </c>
      <c r="AV24" s="75">
        <f t="shared" si="19"/>
        <v>1079744</v>
      </c>
      <c r="AW24" s="297"/>
      <c r="AX24" s="75">
        <v>818100</v>
      </c>
      <c r="AY24" s="384">
        <v>847593</v>
      </c>
      <c r="AZ24" s="384">
        <v>837766</v>
      </c>
      <c r="BA24" s="384">
        <f>+BA10-BA18</f>
        <v>855140</v>
      </c>
      <c r="BB24" s="297"/>
      <c r="BC24" s="384">
        <f>+BC10-BC18</f>
        <v>982173</v>
      </c>
      <c r="BD24" s="384">
        <f>+BD10-BD18</f>
        <v>1102679</v>
      </c>
      <c r="BE24" s="384">
        <f>+BE10-BE18</f>
        <v>1125750</v>
      </c>
      <c r="BF24" s="384">
        <f>+BF10-BF18</f>
        <v>1250204</v>
      </c>
      <c r="BG24" s="297"/>
      <c r="BH24" s="384">
        <f>+BH10-BH18</f>
        <v>1195903</v>
      </c>
    </row>
    <row r="25" spans="2:60" ht="16.5" customHeight="1">
      <c r="B25" s="76" t="s">
        <v>3</v>
      </c>
      <c r="C25" s="77">
        <f>+C24/C10</f>
        <v>0.3913144551907623</v>
      </c>
      <c r="D25" s="77">
        <f>+D24/D10</f>
        <v>0.32461787406592446</v>
      </c>
      <c r="E25" s="77">
        <f>+E24/E10</f>
        <v>0.26325297215251503</v>
      </c>
      <c r="F25" s="77">
        <f>+F24/F10</f>
        <v>0.18364268666771302</v>
      </c>
      <c r="G25" s="54"/>
      <c r="H25" s="77">
        <f>+H24/H10</f>
        <v>0.26807064857146101</v>
      </c>
      <c r="I25" s="77">
        <f>+I24/I10</f>
        <v>0.28829585619840337</v>
      </c>
      <c r="J25" s="77">
        <f>+J24/J10</f>
        <v>0.23999569168261273</v>
      </c>
      <c r="K25" s="77">
        <f>+K24/K10</f>
        <v>0.1672117186520744</v>
      </c>
      <c r="L25" s="77">
        <f>+L24/L10</f>
        <v>0.16906990914302694</v>
      </c>
      <c r="N25" s="77">
        <f t="shared" ref="N25:U25" si="20">+N24/N10</f>
        <v>0.27203373262168673</v>
      </c>
      <c r="O25" s="77">
        <f t="shared" si="20"/>
        <v>0.26965152592684211</v>
      </c>
      <c r="P25" s="77">
        <f t="shared" si="20"/>
        <v>0.29932324981446795</v>
      </c>
      <c r="Q25" s="77">
        <f t="shared" si="20"/>
        <v>0.29716981968326234</v>
      </c>
      <c r="R25" s="77">
        <f t="shared" si="20"/>
        <v>0.29880808450331403</v>
      </c>
      <c r="S25" s="77">
        <f t="shared" si="20"/>
        <v>0.30580398545410081</v>
      </c>
      <c r="T25" s="77">
        <f t="shared" si="20"/>
        <v>0.26664377208551449</v>
      </c>
      <c r="U25" s="77">
        <f t="shared" si="20"/>
        <v>0.26457158508684303</v>
      </c>
      <c r="W25" s="77">
        <f t="shared" ref="W25:AD25" si="21">+W24/W10</f>
        <v>0.28016134903136369</v>
      </c>
      <c r="X25" s="77">
        <f t="shared" si="21"/>
        <v>0.26154282415612562</v>
      </c>
      <c r="Y25" s="77">
        <f t="shared" si="21"/>
        <v>0.30547275515387506</v>
      </c>
      <c r="Z25" s="77">
        <f t="shared" si="21"/>
        <v>0.27650300844316328</v>
      </c>
      <c r="AA25" s="77">
        <f t="shared" si="21"/>
        <v>0.35490681109540922</v>
      </c>
      <c r="AB25" s="77">
        <f t="shared" si="21"/>
        <v>0.29790870283895315</v>
      </c>
      <c r="AC25" s="77">
        <f t="shared" si="21"/>
        <v>0.21801518405203155</v>
      </c>
      <c r="AD25" s="77">
        <f t="shared" si="21"/>
        <v>0.28068501407588003</v>
      </c>
      <c r="AE25" s="77"/>
      <c r="AF25" s="77">
        <f t="shared" ref="AF25:AK25" si="22">+AF24/AF10</f>
        <v>0.30007285807235423</v>
      </c>
      <c r="AG25" s="77">
        <f t="shared" si="22"/>
        <v>0.28182996609382482</v>
      </c>
      <c r="AH25" s="77">
        <f t="shared" si="22"/>
        <v>0.29602915034378274</v>
      </c>
      <c r="AI25" s="77">
        <f t="shared" si="22"/>
        <v>0.27892241348286989</v>
      </c>
      <c r="AJ25" s="77">
        <f t="shared" si="22"/>
        <v>0.29109498488555735</v>
      </c>
      <c r="AK25" s="77">
        <f t="shared" si="22"/>
        <v>0.29034960717274988</v>
      </c>
      <c r="AN25" s="77">
        <f>+AN24/AN10</f>
        <v>0.29251717196510779</v>
      </c>
      <c r="AO25" s="77">
        <f>+AO24/AO10</f>
        <v>0.29096217941947566</v>
      </c>
      <c r="AQ25" s="77">
        <f t="shared" ref="AQ25:AV25" si="23">+AQ24/AQ10</f>
        <v>0.27835851618083496</v>
      </c>
      <c r="AR25" s="77">
        <f t="shared" si="23"/>
        <v>0.27711294827537941</v>
      </c>
      <c r="AS25" s="77">
        <f t="shared" si="23"/>
        <v>0.26891082810137168</v>
      </c>
      <c r="AT25" s="77">
        <f t="shared" si="23"/>
        <v>0.26783296051230154</v>
      </c>
      <c r="AU25" s="77">
        <f t="shared" si="23"/>
        <v>0.26316935195240265</v>
      </c>
      <c r="AV25" s="77">
        <f t="shared" si="23"/>
        <v>0.2739907896967218</v>
      </c>
      <c r="AX25" s="77">
        <v>0.22625810958735898</v>
      </c>
      <c r="AY25" s="77">
        <v>0.25332976269715335</v>
      </c>
      <c r="AZ25" s="77">
        <v>0.2426068934081976</v>
      </c>
      <c r="BA25" s="77">
        <f>+BA24/BA10</f>
        <v>0.2391498955883089</v>
      </c>
      <c r="BC25" s="77">
        <f>+BC24/BC10</f>
        <v>0.26310455840776381</v>
      </c>
      <c r="BD25" s="77">
        <f>+BD24/BD10</f>
        <v>0.27384702420687901</v>
      </c>
      <c r="BE25" s="77">
        <f>+BE24/BE10</f>
        <v>0.27354470934280017</v>
      </c>
      <c r="BF25" s="77">
        <f>+BF24/BF10</f>
        <v>0.28195430559671419</v>
      </c>
      <c r="BH25" s="77">
        <f>+BH24/BH10</f>
        <v>0.25920653392163828</v>
      </c>
    </row>
    <row r="26" spans="2:60" ht="4.5" customHeight="1">
      <c r="C26" s="54"/>
      <c r="D26" s="55"/>
      <c r="E26" s="55"/>
      <c r="F26" s="55"/>
      <c r="G26" s="54"/>
      <c r="H26" s="55"/>
      <c r="I26" s="55"/>
      <c r="J26" s="55"/>
      <c r="K26" s="55"/>
      <c r="L26" s="55"/>
      <c r="N26" s="55"/>
      <c r="O26" s="55"/>
      <c r="P26" s="55"/>
      <c r="Q26" s="55"/>
      <c r="R26" s="55"/>
      <c r="S26" s="55"/>
      <c r="T26" s="55"/>
      <c r="U26" s="55"/>
      <c r="W26" s="55"/>
      <c r="X26" s="55"/>
      <c r="Y26" s="55"/>
      <c r="Z26" s="55"/>
      <c r="AA26" s="55"/>
      <c r="AB26" s="55"/>
      <c r="AC26" s="55"/>
      <c r="AD26" s="55"/>
      <c r="AE26" s="55"/>
      <c r="AF26" s="55"/>
      <c r="AG26" s="55"/>
      <c r="AH26" s="55"/>
      <c r="AI26" s="55"/>
      <c r="AJ26" s="55"/>
      <c r="AK26" s="55"/>
      <c r="AN26" s="55"/>
      <c r="AO26" s="55"/>
      <c r="AQ26" s="55"/>
      <c r="AR26" s="55"/>
      <c r="AS26" s="55"/>
      <c r="AT26" s="55"/>
      <c r="AU26" s="55"/>
      <c r="AV26" s="55"/>
      <c r="AX26" s="55"/>
      <c r="AY26" s="382"/>
      <c r="AZ26" s="382"/>
      <c r="BA26" s="382"/>
      <c r="BC26" s="382"/>
      <c r="BD26" s="382"/>
      <c r="BE26" s="382"/>
      <c r="BF26" s="382"/>
      <c r="BH26" s="382"/>
    </row>
    <row r="27" spans="2:60" ht="15" customHeight="1">
      <c r="B27" s="8" t="s">
        <v>146</v>
      </c>
      <c r="C27" s="70">
        <f>SUM(C28:C31)</f>
        <v>218824</v>
      </c>
      <c r="D27" s="71">
        <f>SUM(D28:D31)</f>
        <v>237914.21017954001</v>
      </c>
      <c r="E27" s="71">
        <f>SUM(E28:E31)</f>
        <v>221217</v>
      </c>
      <c r="F27" s="71">
        <f>SUM(F28:F31)</f>
        <v>320645</v>
      </c>
      <c r="G27" s="54"/>
      <c r="H27" s="71">
        <f>SUM(H28:H31)</f>
        <v>254132</v>
      </c>
      <c r="I27" s="71">
        <f t="shared" ref="I27:L27" si="24">SUM(I28:I31)</f>
        <v>270744</v>
      </c>
      <c r="J27" s="71">
        <f t="shared" si="24"/>
        <v>298121</v>
      </c>
      <c r="K27" s="71">
        <f t="shared" si="24"/>
        <v>401537</v>
      </c>
      <c r="L27" s="71">
        <f t="shared" si="24"/>
        <v>423472</v>
      </c>
      <c r="N27" s="71">
        <f t="shared" ref="N27:T27" si="25">SUM(N28:N31)</f>
        <v>374650</v>
      </c>
      <c r="O27" s="71">
        <f t="shared" si="25"/>
        <v>375691</v>
      </c>
      <c r="P27" s="71">
        <f t="shared" si="25"/>
        <v>338703</v>
      </c>
      <c r="Q27" s="71">
        <f t="shared" si="25"/>
        <v>323102</v>
      </c>
      <c r="R27" s="71">
        <f t="shared" si="25"/>
        <v>350059</v>
      </c>
      <c r="S27" s="71">
        <f t="shared" ref="S27" si="26">SUM(S28:S31)</f>
        <v>359112</v>
      </c>
      <c r="T27" s="71">
        <f t="shared" si="25"/>
        <v>511526</v>
      </c>
      <c r="U27" s="71">
        <f t="shared" ref="U27" si="27">SUM(U28:U31)</f>
        <v>517033</v>
      </c>
      <c r="W27" s="71">
        <f t="shared" ref="W27:AC27" si="28">SUM(W28:W31)</f>
        <v>516450</v>
      </c>
      <c r="X27" s="71">
        <f t="shared" si="28"/>
        <v>453945</v>
      </c>
      <c r="Y27" s="71">
        <f t="shared" si="28"/>
        <v>529111</v>
      </c>
      <c r="Z27" s="71">
        <f t="shared" si="28"/>
        <v>425830</v>
      </c>
      <c r="AA27" s="71">
        <f t="shared" si="28"/>
        <v>568293</v>
      </c>
      <c r="AB27" s="71">
        <f t="shared" si="28"/>
        <v>336536</v>
      </c>
      <c r="AC27" s="71">
        <f t="shared" si="28"/>
        <v>265323</v>
      </c>
      <c r="AD27" s="71">
        <f t="shared" ref="AD27" si="29">SUM(AD28:AD31)</f>
        <v>490006</v>
      </c>
      <c r="AE27" s="71"/>
      <c r="AF27" s="71">
        <f t="shared" ref="AF27:AK27" si="30">SUM(AF28:AF31)</f>
        <v>469371</v>
      </c>
      <c r="AG27" s="71">
        <f t="shared" si="30"/>
        <v>410841</v>
      </c>
      <c r="AH27" s="71">
        <f t="shared" si="30"/>
        <v>450565</v>
      </c>
      <c r="AI27" s="71">
        <f t="shared" si="30"/>
        <v>392079</v>
      </c>
      <c r="AJ27" s="71">
        <f t="shared" si="30"/>
        <v>395698</v>
      </c>
      <c r="AK27" s="71">
        <f t="shared" si="30"/>
        <v>395697</v>
      </c>
      <c r="AN27" s="71">
        <f t="shared" ref="AN27:AO27" si="31">SUM(AN28:AN31)</f>
        <v>414505</v>
      </c>
      <c r="AO27" s="71">
        <f t="shared" si="31"/>
        <v>414505</v>
      </c>
      <c r="AQ27" s="71">
        <f t="shared" ref="AQ27:AV27" si="32">SUM(AQ28:AQ31)</f>
        <v>443235</v>
      </c>
      <c r="AR27" s="71">
        <f t="shared" si="32"/>
        <v>443235</v>
      </c>
      <c r="AS27" s="71">
        <f t="shared" si="32"/>
        <v>458570</v>
      </c>
      <c r="AT27" s="71">
        <f t="shared" si="32"/>
        <v>458570</v>
      </c>
      <c r="AU27" s="71">
        <f t="shared" si="32"/>
        <v>427531</v>
      </c>
      <c r="AV27" s="71">
        <f t="shared" si="32"/>
        <v>523442</v>
      </c>
      <c r="AX27" s="71">
        <v>438590</v>
      </c>
      <c r="AY27" s="383">
        <v>394217</v>
      </c>
      <c r="AZ27" s="383">
        <v>416929</v>
      </c>
      <c r="BA27" s="383">
        <f t="shared" ref="BA27" si="33">SUM(BA28:BA31)</f>
        <v>438377</v>
      </c>
      <c r="BC27" s="383">
        <f t="shared" ref="BC27:BF27" si="34">SUM(BC28:BC31)</f>
        <v>443454</v>
      </c>
      <c r="BD27" s="383">
        <f t="shared" si="34"/>
        <v>419071</v>
      </c>
      <c r="BE27" s="383">
        <f t="shared" si="34"/>
        <v>405701</v>
      </c>
      <c r="BF27" s="383">
        <f t="shared" si="34"/>
        <v>509432</v>
      </c>
      <c r="BH27" s="383">
        <f t="shared" ref="BH27" si="35">SUM(BH28:BH31)</f>
        <v>495906</v>
      </c>
    </row>
    <row r="28" spans="2:60" ht="12.5">
      <c r="B28" s="60" t="s">
        <v>4</v>
      </c>
      <c r="C28" s="74">
        <v>156362</v>
      </c>
      <c r="D28" s="38">
        <v>165131.00481824999</v>
      </c>
      <c r="E28" s="38">
        <v>155601</v>
      </c>
      <c r="F28" s="38">
        <f>235633-1</f>
        <v>235632</v>
      </c>
      <c r="G28" s="54"/>
      <c r="H28" s="38">
        <v>176549</v>
      </c>
      <c r="I28" s="38">
        <f>188427+1</f>
        <v>188428</v>
      </c>
      <c r="J28" s="38">
        <v>202847</v>
      </c>
      <c r="K28" s="38">
        <v>273836</v>
      </c>
      <c r="L28" s="38">
        <v>293375</v>
      </c>
      <c r="N28" s="38">
        <v>273896</v>
      </c>
      <c r="O28" s="38">
        <v>273896</v>
      </c>
      <c r="P28" s="38">
        <v>227500</v>
      </c>
      <c r="Q28" s="38">
        <f>227749</f>
        <v>227749</v>
      </c>
      <c r="R28" s="38">
        <v>232226</v>
      </c>
      <c r="S28" s="38">
        <v>231977</v>
      </c>
      <c r="T28" s="38">
        <v>382408</v>
      </c>
      <c r="U28" s="38">
        <v>382408</v>
      </c>
      <c r="W28" s="38">
        <v>379041</v>
      </c>
      <c r="X28" s="38">
        <v>316536</v>
      </c>
      <c r="Y28" s="38">
        <v>381636</v>
      </c>
      <c r="Z28" s="38">
        <v>278355</v>
      </c>
      <c r="AA28" s="38">
        <v>383907</v>
      </c>
      <c r="AB28" s="38">
        <v>277803</v>
      </c>
      <c r="AC28" s="38">
        <f>99278-1</f>
        <v>99277</v>
      </c>
      <c r="AD28" s="38">
        <v>371167</v>
      </c>
      <c r="AE28" s="38"/>
      <c r="AF28" s="38">
        <v>302984</v>
      </c>
      <c r="AG28" s="38">
        <v>302984</v>
      </c>
      <c r="AH28" s="38">
        <v>284767</v>
      </c>
      <c r="AI28" s="38">
        <v>284767</v>
      </c>
      <c r="AJ28" s="38">
        <v>279324</v>
      </c>
      <c r="AK28" s="38">
        <v>279324</v>
      </c>
      <c r="AL28" s="12"/>
      <c r="AM28" s="12"/>
      <c r="AN28" s="38">
        <v>298440</v>
      </c>
      <c r="AO28" s="38">
        <v>298440</v>
      </c>
      <c r="AP28" s="12"/>
      <c r="AQ28" s="38">
        <v>328881</v>
      </c>
      <c r="AR28" s="38">
        <v>328881</v>
      </c>
      <c r="AS28" s="38">
        <v>316734</v>
      </c>
      <c r="AT28" s="38">
        <v>316734</v>
      </c>
      <c r="AU28" s="38">
        <v>300328</v>
      </c>
      <c r="AV28" s="38">
        <v>366319</v>
      </c>
      <c r="AW28" s="12"/>
      <c r="AX28" s="38">
        <v>314204</v>
      </c>
      <c r="AY28" s="215">
        <v>274170</v>
      </c>
      <c r="AZ28" s="215">
        <v>289241</v>
      </c>
      <c r="BA28" s="215">
        <v>313251</v>
      </c>
      <c r="BB28" s="12"/>
      <c r="BC28" s="215">
        <v>316608</v>
      </c>
      <c r="BD28" s="215">
        <v>299882</v>
      </c>
      <c r="BE28" s="215">
        <v>283671</v>
      </c>
      <c r="BF28" s="215">
        <f>381818-1</f>
        <v>381817</v>
      </c>
      <c r="BG28" s="12"/>
      <c r="BH28" s="215">
        <v>380742</v>
      </c>
    </row>
    <row r="29" spans="2:60" ht="12.5">
      <c r="B29" s="60" t="s">
        <v>23</v>
      </c>
      <c r="C29" s="74">
        <v>7535</v>
      </c>
      <c r="D29" s="38">
        <v>23586.429190990002</v>
      </c>
      <c r="E29" s="38">
        <v>8473</v>
      </c>
      <c r="F29" s="38">
        <v>6093</v>
      </c>
      <c r="G29" s="54"/>
      <c r="H29" s="38">
        <v>17128</v>
      </c>
      <c r="I29" s="38">
        <v>25492</v>
      </c>
      <c r="J29" s="38">
        <v>39591</v>
      </c>
      <c r="K29" s="38">
        <f>28947</f>
        <v>28947</v>
      </c>
      <c r="L29" s="38">
        <v>32001</v>
      </c>
      <c r="N29" s="38">
        <v>35387</v>
      </c>
      <c r="O29" s="38">
        <v>36428</v>
      </c>
      <c r="P29" s="38">
        <v>41710</v>
      </c>
      <c r="Q29" s="38">
        <v>25860</v>
      </c>
      <c r="R29" s="38">
        <v>49767</v>
      </c>
      <c r="S29" s="38">
        <v>59069</v>
      </c>
      <c r="T29" s="38">
        <v>62156</v>
      </c>
      <c r="U29" s="38">
        <v>67663</v>
      </c>
      <c r="W29" s="38">
        <v>74705</v>
      </c>
      <c r="X29" s="38">
        <v>74705</v>
      </c>
      <c r="Y29" s="38">
        <v>82978</v>
      </c>
      <c r="Z29" s="38">
        <v>82978</v>
      </c>
      <c r="AA29" s="38">
        <v>122335</v>
      </c>
      <c r="AB29" s="38">
        <v>-3318</v>
      </c>
      <c r="AC29" s="38">
        <f>97762+1</f>
        <v>97763</v>
      </c>
      <c r="AD29" s="38">
        <v>50556</v>
      </c>
      <c r="AE29" s="38"/>
      <c r="AF29" s="38">
        <v>104315</v>
      </c>
      <c r="AG29" s="38">
        <f>45785</f>
        <v>45785</v>
      </c>
      <c r="AH29" s="38">
        <f>102554+1</f>
        <v>102555</v>
      </c>
      <c r="AI29" s="38">
        <f>44068+1</f>
        <v>44069</v>
      </c>
      <c r="AJ29" s="38">
        <f>50751+1</f>
        <v>50752</v>
      </c>
      <c r="AK29" s="38">
        <f>50751</f>
        <v>50751</v>
      </c>
      <c r="AL29" s="12">
        <f>+AG29-AF29</f>
        <v>-58530</v>
      </c>
      <c r="AM29" s="12">
        <f>+AI29-AH29</f>
        <v>-58486</v>
      </c>
      <c r="AN29" s="38">
        <f>44819-1</f>
        <v>44818</v>
      </c>
      <c r="AO29" s="38">
        <f>44819-1</f>
        <v>44818</v>
      </c>
      <c r="AP29" s="12"/>
      <c r="AQ29" s="38">
        <v>51309</v>
      </c>
      <c r="AR29" s="38">
        <v>51309</v>
      </c>
      <c r="AS29" s="38">
        <v>59811</v>
      </c>
      <c r="AT29" s="38">
        <v>59811</v>
      </c>
      <c r="AU29" s="38">
        <v>57751</v>
      </c>
      <c r="AV29" s="38">
        <v>91625</v>
      </c>
      <c r="AW29" s="12"/>
      <c r="AX29" s="38">
        <v>55538</v>
      </c>
      <c r="AY29" s="215">
        <v>61624</v>
      </c>
      <c r="AZ29" s="215">
        <v>61589</v>
      </c>
      <c r="BA29" s="215">
        <v>55631</v>
      </c>
      <c r="BB29" s="12"/>
      <c r="BC29" s="215">
        <v>55999</v>
      </c>
      <c r="BD29" s="215">
        <v>51399</v>
      </c>
      <c r="BE29" s="215">
        <f>50557-1</f>
        <v>50556</v>
      </c>
      <c r="BF29" s="215">
        <f>50853+1</f>
        <v>50854</v>
      </c>
      <c r="BG29" s="12"/>
      <c r="BH29" s="215">
        <f>36249+1</f>
        <v>36250</v>
      </c>
    </row>
    <row r="30" spans="2:60" ht="12.5">
      <c r="B30" s="60" t="s">
        <v>12</v>
      </c>
      <c r="C30" s="74">
        <v>49888</v>
      </c>
      <c r="D30" s="38">
        <v>52310.244474430001</v>
      </c>
      <c r="E30" s="38">
        <v>40892</v>
      </c>
      <c r="F30" s="38">
        <v>52226</v>
      </c>
      <c r="G30" s="54"/>
      <c r="H30" s="38">
        <v>53907</v>
      </c>
      <c r="I30" s="38">
        <v>46027</v>
      </c>
      <c r="J30" s="38">
        <v>57854</v>
      </c>
      <c r="K30" s="38">
        <v>77136</v>
      </c>
      <c r="L30" s="38">
        <v>78653</v>
      </c>
      <c r="N30" s="38">
        <v>54764</v>
      </c>
      <c r="O30" s="38">
        <v>54764</v>
      </c>
      <c r="P30" s="38">
        <v>60111</v>
      </c>
      <c r="Q30" s="38">
        <v>60111</v>
      </c>
      <c r="R30" s="38">
        <v>58651</v>
      </c>
      <c r="S30" s="38">
        <v>58651</v>
      </c>
      <c r="T30" s="38">
        <v>56747</v>
      </c>
      <c r="U30" s="38">
        <v>56747</v>
      </c>
      <c r="W30" s="38">
        <f>54732</f>
        <v>54732</v>
      </c>
      <c r="X30" s="38">
        <v>54732</v>
      </c>
      <c r="Y30" s="38">
        <v>56284</v>
      </c>
      <c r="Z30" s="38">
        <f>56284-1</f>
        <v>56283</v>
      </c>
      <c r="AA30" s="38">
        <f>52748-1</f>
        <v>52747</v>
      </c>
      <c r="AB30" s="38">
        <f>52748</f>
        <v>52748</v>
      </c>
      <c r="AC30" s="38">
        <f>58360</f>
        <v>58360</v>
      </c>
      <c r="AD30" s="38">
        <f>58360</f>
        <v>58360</v>
      </c>
      <c r="AE30" s="38"/>
      <c r="AF30" s="38">
        <v>53841</v>
      </c>
      <c r="AG30" s="38">
        <v>53841</v>
      </c>
      <c r="AH30" s="38">
        <v>55810</v>
      </c>
      <c r="AI30" s="38">
        <v>55810</v>
      </c>
      <c r="AJ30" s="38">
        <f>57128+1</f>
        <v>57129</v>
      </c>
      <c r="AK30" s="38">
        <f>57128+1</f>
        <v>57129</v>
      </c>
      <c r="AN30" s="38">
        <v>62609</v>
      </c>
      <c r="AO30" s="38">
        <v>62609</v>
      </c>
      <c r="AQ30" s="38">
        <v>54074</v>
      </c>
      <c r="AR30" s="38">
        <v>54074</v>
      </c>
      <c r="AS30" s="38">
        <f>72332+1</f>
        <v>72333</v>
      </c>
      <c r="AT30" s="38">
        <f>72332+1</f>
        <v>72333</v>
      </c>
      <c r="AU30" s="38">
        <f>59534-1</f>
        <v>59533</v>
      </c>
      <c r="AV30" s="38">
        <v>55461</v>
      </c>
      <c r="AX30" s="38">
        <v>58784</v>
      </c>
      <c r="AY30" s="215">
        <v>47564</v>
      </c>
      <c r="AZ30" s="215">
        <v>55266</v>
      </c>
      <c r="BA30" s="215">
        <f>60366-1</f>
        <v>60365</v>
      </c>
      <c r="BC30" s="215">
        <v>60407</v>
      </c>
      <c r="BD30" s="215">
        <f>56991-1</f>
        <v>56990</v>
      </c>
      <c r="BE30" s="215">
        <f>59731-1</f>
        <v>59730</v>
      </c>
      <c r="BF30" s="215">
        <f>65674+1</f>
        <v>65675</v>
      </c>
      <c r="BH30" s="215">
        <v>67866</v>
      </c>
    </row>
    <row r="31" spans="2:60" ht="12.5">
      <c r="B31" s="60" t="s">
        <v>24</v>
      </c>
      <c r="C31" s="74">
        <v>5039</v>
      </c>
      <c r="D31" s="38">
        <v>-3113.46830413</v>
      </c>
      <c r="E31" s="38">
        <v>16251</v>
      </c>
      <c r="F31" s="38">
        <v>26694</v>
      </c>
      <c r="G31" s="54"/>
      <c r="H31" s="38">
        <v>6548</v>
      </c>
      <c r="I31" s="38">
        <v>10797</v>
      </c>
      <c r="J31" s="38">
        <v>-2171</v>
      </c>
      <c r="K31" s="38">
        <f>21618</f>
        <v>21618</v>
      </c>
      <c r="L31" s="38">
        <v>19443</v>
      </c>
      <c r="N31" s="38">
        <v>10603</v>
      </c>
      <c r="O31" s="38">
        <v>10603</v>
      </c>
      <c r="P31" s="38">
        <v>9382</v>
      </c>
      <c r="Q31" s="38">
        <v>9382</v>
      </c>
      <c r="R31" s="38">
        <v>9415</v>
      </c>
      <c r="S31" s="38">
        <v>9415</v>
      </c>
      <c r="T31" s="38">
        <v>10215</v>
      </c>
      <c r="U31" s="38">
        <v>10215</v>
      </c>
      <c r="W31" s="38">
        <v>7972</v>
      </c>
      <c r="X31" s="38">
        <v>7972</v>
      </c>
      <c r="Y31" s="38">
        <v>8213</v>
      </c>
      <c r="Z31" s="38">
        <f>8213+1</f>
        <v>8214</v>
      </c>
      <c r="AA31" s="38">
        <f>9303+1</f>
        <v>9304</v>
      </c>
      <c r="AB31" s="38">
        <f>9303</f>
        <v>9303</v>
      </c>
      <c r="AC31" s="38">
        <v>9923</v>
      </c>
      <c r="AD31" s="38">
        <v>9923</v>
      </c>
      <c r="AE31" s="38"/>
      <c r="AF31" s="38">
        <v>8231</v>
      </c>
      <c r="AG31" s="38">
        <v>8231</v>
      </c>
      <c r="AH31" s="38">
        <f>7434-1</f>
        <v>7433</v>
      </c>
      <c r="AI31" s="38">
        <f>7434-1</f>
        <v>7433</v>
      </c>
      <c r="AJ31" s="38">
        <v>8493</v>
      </c>
      <c r="AK31" s="38">
        <v>8493</v>
      </c>
      <c r="AN31" s="38">
        <v>8638</v>
      </c>
      <c r="AO31" s="38">
        <v>8638</v>
      </c>
      <c r="AQ31" s="38">
        <v>8971</v>
      </c>
      <c r="AR31" s="38">
        <v>8971</v>
      </c>
      <c r="AS31" s="38">
        <v>9692</v>
      </c>
      <c r="AT31" s="38">
        <v>9692</v>
      </c>
      <c r="AU31" s="38">
        <v>9919</v>
      </c>
      <c r="AV31" s="38">
        <f>10038-1</f>
        <v>10037</v>
      </c>
      <c r="AX31" s="38">
        <v>10064</v>
      </c>
      <c r="AY31" s="215">
        <v>10859</v>
      </c>
      <c r="AZ31" s="215">
        <v>10833</v>
      </c>
      <c r="BA31" s="215">
        <v>9130</v>
      </c>
      <c r="BC31" s="215">
        <v>10440</v>
      </c>
      <c r="BD31" s="215">
        <v>10800</v>
      </c>
      <c r="BE31" s="215">
        <f>11742+2</f>
        <v>11744</v>
      </c>
      <c r="BF31" s="215">
        <f>11087-1</f>
        <v>11086</v>
      </c>
      <c r="BH31" s="215">
        <v>11048</v>
      </c>
    </row>
    <row r="32" spans="2:60" ht="12.5">
      <c r="C32" s="54"/>
      <c r="D32" s="55"/>
      <c r="E32" s="55"/>
      <c r="F32" s="55"/>
      <c r="G32" s="54"/>
      <c r="H32" s="55"/>
      <c r="I32" s="55"/>
      <c r="J32" s="55"/>
      <c r="K32" s="55"/>
      <c r="L32" s="55"/>
      <c r="N32" s="55"/>
      <c r="O32" s="55"/>
      <c r="P32" s="55"/>
      <c r="Q32" s="55"/>
      <c r="R32" s="55"/>
      <c r="S32" s="55"/>
      <c r="T32" s="55"/>
      <c r="U32" s="55"/>
      <c r="W32" s="55"/>
      <c r="X32" s="55"/>
      <c r="Y32" s="55"/>
      <c r="Z32" s="55"/>
      <c r="AA32" s="55"/>
      <c r="AB32" s="55"/>
      <c r="AC32" s="55"/>
      <c r="AD32" s="55"/>
      <c r="AE32" s="55"/>
      <c r="AF32" s="55"/>
      <c r="AG32" s="55"/>
      <c r="AH32" s="55"/>
      <c r="AI32" s="55"/>
      <c r="AJ32" s="55"/>
      <c r="AK32" s="55"/>
      <c r="AN32" s="55"/>
      <c r="AO32" s="55"/>
      <c r="AQ32" s="55"/>
      <c r="AR32" s="55"/>
      <c r="AS32" s="55"/>
      <c r="AT32" s="55"/>
      <c r="AU32" s="55"/>
      <c r="AV32" s="55"/>
      <c r="AX32" s="55"/>
      <c r="AY32" s="382"/>
      <c r="AZ32" s="382"/>
      <c r="BA32" s="382"/>
      <c r="BC32" s="382"/>
      <c r="BD32" s="382"/>
      <c r="BE32" s="382"/>
      <c r="BF32" s="382"/>
      <c r="BH32" s="382"/>
    </row>
    <row r="33" spans="2:60" ht="15" customHeight="1">
      <c r="B33" s="8" t="s">
        <v>14</v>
      </c>
      <c r="C33" s="70">
        <f>+C34-C35-C36</f>
        <v>-20908</v>
      </c>
      <c r="D33" s="70">
        <f>+D34-D35-D36</f>
        <v>-15806.034953820001</v>
      </c>
      <c r="E33" s="70">
        <f>+E34-E35-E36</f>
        <v>-44938</v>
      </c>
      <c r="F33" s="70">
        <f>+F34-F35-F36</f>
        <v>23371</v>
      </c>
      <c r="G33" s="54"/>
      <c r="H33" s="70">
        <f>+H34-H35-H36</f>
        <v>-109849</v>
      </c>
      <c r="I33" s="70">
        <f>+I34-I35-I36</f>
        <v>11651</v>
      </c>
      <c r="J33" s="70">
        <f>+J34-J35-J36</f>
        <v>-18378</v>
      </c>
      <c r="K33" s="70">
        <f>+K34-K35-K36</f>
        <v>23488</v>
      </c>
      <c r="L33" s="70">
        <f>+L34-L35-L36</f>
        <v>12046</v>
      </c>
      <c r="M33" s="70">
        <f t="shared" ref="M33" si="36">+SUM(M34:M36)</f>
        <v>0</v>
      </c>
      <c r="N33" s="70">
        <f t="shared" ref="N33:U33" si="37">+N34-N35-N36</f>
        <v>-125617</v>
      </c>
      <c r="O33" s="70">
        <f t="shared" si="37"/>
        <v>-115100</v>
      </c>
      <c r="P33" s="70">
        <f t="shared" si="37"/>
        <v>-34930</v>
      </c>
      <c r="Q33" s="70">
        <f t="shared" si="37"/>
        <v>-32384</v>
      </c>
      <c r="R33" s="70">
        <f t="shared" si="37"/>
        <v>-32286</v>
      </c>
      <c r="S33" s="70">
        <f t="shared" si="37"/>
        <v>-17065</v>
      </c>
      <c r="T33" s="70">
        <f t="shared" si="37"/>
        <v>82399</v>
      </c>
      <c r="U33" s="70">
        <f t="shared" si="37"/>
        <v>74714</v>
      </c>
      <c r="W33" s="70">
        <f t="shared" ref="W33:AD33" si="38">+W34-W35-W36</f>
        <v>71208</v>
      </c>
      <c r="X33" s="70">
        <f t="shared" si="38"/>
        <v>71208</v>
      </c>
      <c r="Y33" s="70">
        <f t="shared" si="38"/>
        <v>-2988</v>
      </c>
      <c r="Z33" s="70">
        <f t="shared" si="38"/>
        <v>-2989</v>
      </c>
      <c r="AA33" s="70">
        <f t="shared" si="38"/>
        <v>-46172</v>
      </c>
      <c r="AB33" s="70">
        <f t="shared" si="38"/>
        <v>-46171</v>
      </c>
      <c r="AC33" s="70">
        <f t="shared" si="38"/>
        <v>123358</v>
      </c>
      <c r="AD33" s="70">
        <f t="shared" si="38"/>
        <v>123358</v>
      </c>
      <c r="AE33" s="70"/>
      <c r="AF33" s="70">
        <f t="shared" ref="AF33:AK33" si="39">+AF34-AF35-AF36</f>
        <v>83103</v>
      </c>
      <c r="AG33" s="70">
        <f t="shared" si="39"/>
        <v>83103</v>
      </c>
      <c r="AH33" s="70">
        <f t="shared" si="39"/>
        <v>-74743</v>
      </c>
      <c r="AI33" s="70">
        <f t="shared" si="39"/>
        <v>-74743</v>
      </c>
      <c r="AJ33" s="70">
        <f t="shared" si="39"/>
        <v>13936</v>
      </c>
      <c r="AK33" s="70">
        <f t="shared" si="39"/>
        <v>13936</v>
      </c>
      <c r="AN33" s="70">
        <f>+AN34-AN35-AN36</f>
        <v>107255</v>
      </c>
      <c r="AO33" s="70">
        <f>+AO34-AO35-AO36</f>
        <v>107255</v>
      </c>
      <c r="AQ33" s="70">
        <f t="shared" ref="AQ33:AV33" si="40">+AQ34-AQ35-AQ36</f>
        <v>16879</v>
      </c>
      <c r="AR33" s="70">
        <f t="shared" si="40"/>
        <v>16879</v>
      </c>
      <c r="AS33" s="70">
        <f t="shared" si="40"/>
        <v>30763</v>
      </c>
      <c r="AT33" s="70">
        <f t="shared" si="40"/>
        <v>12239</v>
      </c>
      <c r="AU33" s="70">
        <f t="shared" si="40"/>
        <v>31099</v>
      </c>
      <c r="AV33" s="70">
        <f t="shared" si="40"/>
        <v>335458</v>
      </c>
      <c r="AX33" s="70">
        <v>17119</v>
      </c>
      <c r="AY33" s="385">
        <v>-4404</v>
      </c>
      <c r="AZ33" s="385">
        <v>5675</v>
      </c>
      <c r="BA33" s="385">
        <f>+BA34-BA35-BA36</f>
        <v>-50749</v>
      </c>
      <c r="BC33" s="385">
        <f>+BC34-BC35-BC36</f>
        <v>-14161</v>
      </c>
      <c r="BD33" s="385">
        <f>+BD34-BD35-BD36</f>
        <v>189632</v>
      </c>
      <c r="BE33" s="385">
        <f>+BE34-BE35-BE36</f>
        <v>9737</v>
      </c>
      <c r="BF33" s="385">
        <f>+BF34-BF35-BF36</f>
        <v>-250902</v>
      </c>
      <c r="BH33" s="385">
        <f>+BH34-BH35-BH36</f>
        <v>94581</v>
      </c>
    </row>
    <row r="34" spans="2:60" ht="15" customHeight="1">
      <c r="B34" s="63" t="s">
        <v>10</v>
      </c>
      <c r="C34" s="74">
        <v>8251</v>
      </c>
      <c r="D34" s="38">
        <v>14873.740913690001</v>
      </c>
      <c r="E34" s="38">
        <v>21754</v>
      </c>
      <c r="F34" s="38">
        <v>112178</v>
      </c>
      <c r="G34" s="54"/>
      <c r="H34" s="38">
        <f>22025+1</f>
        <v>22026</v>
      </c>
      <c r="I34" s="38">
        <f>63830-2</f>
        <v>63828</v>
      </c>
      <c r="J34" s="38">
        <f>31718</f>
        <v>31718</v>
      </c>
      <c r="K34" s="38">
        <v>77032</v>
      </c>
      <c r="L34" s="38">
        <v>80799</v>
      </c>
      <c r="N34" s="38">
        <v>23708</v>
      </c>
      <c r="O34" s="38">
        <v>23707</v>
      </c>
      <c r="P34" s="38">
        <v>27776</v>
      </c>
      <c r="Q34" s="38">
        <v>27776</v>
      </c>
      <c r="R34" s="38">
        <v>23052</v>
      </c>
      <c r="S34" s="38">
        <v>32768</v>
      </c>
      <c r="T34" s="38">
        <f>453631+1</f>
        <v>453632</v>
      </c>
      <c r="U34" s="38">
        <f>443916+1</f>
        <v>443917</v>
      </c>
      <c r="W34" s="38">
        <v>161888</v>
      </c>
      <c r="X34" s="38">
        <v>161888</v>
      </c>
      <c r="Y34" s="38">
        <v>17790</v>
      </c>
      <c r="Z34" s="38">
        <f>17790+1</f>
        <v>17791</v>
      </c>
      <c r="AA34" s="38">
        <v>18400</v>
      </c>
      <c r="AB34" s="38">
        <v>18400</v>
      </c>
      <c r="AC34" s="38">
        <v>178759</v>
      </c>
      <c r="AD34" s="38">
        <v>178759</v>
      </c>
      <c r="AE34" s="38"/>
      <c r="AF34" s="38">
        <v>124768</v>
      </c>
      <c r="AG34" s="38">
        <v>124768</v>
      </c>
      <c r="AH34" s="38">
        <v>25381</v>
      </c>
      <c r="AI34" s="38">
        <v>25381</v>
      </c>
      <c r="AJ34" s="38">
        <v>50127</v>
      </c>
      <c r="AK34" s="38">
        <v>50127</v>
      </c>
      <c r="AN34" s="38">
        <v>156613</v>
      </c>
      <c r="AO34" s="38">
        <v>156613</v>
      </c>
      <c r="AQ34" s="38">
        <v>51085</v>
      </c>
      <c r="AR34" s="38">
        <v>51085</v>
      </c>
      <c r="AS34" s="38">
        <v>80819</v>
      </c>
      <c r="AT34" s="38">
        <v>62295</v>
      </c>
      <c r="AU34" s="38">
        <v>61925</v>
      </c>
      <c r="AV34" s="38">
        <v>497511</v>
      </c>
      <c r="AW34" s="12"/>
      <c r="AX34" s="38">
        <v>51301</v>
      </c>
      <c r="AY34" s="215">
        <v>24671</v>
      </c>
      <c r="AZ34" s="215">
        <v>38214</v>
      </c>
      <c r="BA34" s="215">
        <v>60737</v>
      </c>
      <c r="BB34" s="12"/>
      <c r="BC34" s="215">
        <v>23498</v>
      </c>
      <c r="BD34" s="215">
        <f>227206+1</f>
        <v>227207</v>
      </c>
      <c r="BE34" s="215">
        <v>43371</v>
      </c>
      <c r="BF34" s="215">
        <v>1931396</v>
      </c>
      <c r="BG34" s="12"/>
      <c r="BH34" s="215">
        <v>130921</v>
      </c>
    </row>
    <row r="35" spans="2:60" ht="15" customHeight="1">
      <c r="B35" s="60" t="s">
        <v>11</v>
      </c>
      <c r="C35" s="74">
        <v>29159</v>
      </c>
      <c r="D35" s="38">
        <v>30679.775867510001</v>
      </c>
      <c r="E35" s="38">
        <v>66692</v>
      </c>
      <c r="F35" s="38">
        <f>88808-1</f>
        <v>88807</v>
      </c>
      <c r="G35" s="54"/>
      <c r="H35" s="38">
        <v>26711</v>
      </c>
      <c r="I35" s="38">
        <v>52465</v>
      </c>
      <c r="J35" s="38">
        <v>48704</v>
      </c>
      <c r="K35" s="38">
        <f>53541+1</f>
        <v>53542</v>
      </c>
      <c r="L35" s="38">
        <v>68753</v>
      </c>
      <c r="N35" s="38">
        <v>50019</v>
      </c>
      <c r="O35" s="38">
        <f>50019-12377</f>
        <v>37642</v>
      </c>
      <c r="P35" s="38">
        <v>61397</v>
      </c>
      <c r="Q35" s="38">
        <f>61397-2546</f>
        <v>58851</v>
      </c>
      <c r="R35" s="38">
        <v>54718</v>
      </c>
      <c r="S35" s="38">
        <f>36149+18569-3646</f>
        <v>51072</v>
      </c>
      <c r="T35" s="38">
        <v>371599</v>
      </c>
      <c r="U35" s="38">
        <f>369570-1</f>
        <v>369569</v>
      </c>
      <c r="W35" s="38">
        <f>59794-8804</f>
        <v>50990</v>
      </c>
      <c r="X35" s="38">
        <f>59794-8804</f>
        <v>50990</v>
      </c>
      <c r="Y35" s="38">
        <f>23608-2910</f>
        <v>20698</v>
      </c>
      <c r="Z35" s="38">
        <f>23608-2910+1</f>
        <v>20699</v>
      </c>
      <c r="AA35" s="38">
        <f>52858+15302-3588</f>
        <v>64572</v>
      </c>
      <c r="AB35" s="38">
        <f>52858+15302-3588-1</f>
        <v>64571</v>
      </c>
      <c r="AC35" s="38">
        <v>55401</v>
      </c>
      <c r="AD35" s="38">
        <v>55401</v>
      </c>
      <c r="AE35" s="38"/>
      <c r="AF35" s="38">
        <v>41665</v>
      </c>
      <c r="AG35" s="38">
        <v>41665</v>
      </c>
      <c r="AH35" s="38">
        <v>100124</v>
      </c>
      <c r="AI35" s="38">
        <v>100124</v>
      </c>
      <c r="AJ35" s="38">
        <v>36191</v>
      </c>
      <c r="AK35" s="38">
        <v>36191</v>
      </c>
      <c r="AN35" s="38">
        <v>49358</v>
      </c>
      <c r="AO35" s="38">
        <v>49358</v>
      </c>
      <c r="AQ35" s="38">
        <v>34206</v>
      </c>
      <c r="AR35" s="38">
        <v>34206</v>
      </c>
      <c r="AS35" s="38">
        <f>50055+1</f>
        <v>50056</v>
      </c>
      <c r="AT35" s="38">
        <f>50055+1</f>
        <v>50056</v>
      </c>
      <c r="AU35" s="38">
        <v>30826</v>
      </c>
      <c r="AV35" s="38">
        <f>162054-1</f>
        <v>162053</v>
      </c>
      <c r="AX35" s="38">
        <v>34182</v>
      </c>
      <c r="AY35" s="215">
        <v>29075</v>
      </c>
      <c r="AZ35" s="215">
        <v>32539</v>
      </c>
      <c r="BA35" s="215">
        <v>111486</v>
      </c>
      <c r="BC35" s="215">
        <v>37659</v>
      </c>
      <c r="BD35" s="215">
        <v>37575</v>
      </c>
      <c r="BE35" s="215">
        <v>33634</v>
      </c>
      <c r="BF35" s="215">
        <v>2182298</v>
      </c>
      <c r="BH35" s="215">
        <v>36340</v>
      </c>
    </row>
    <row r="36" spans="2:60" ht="12.5">
      <c r="B36" s="60" t="s">
        <v>20</v>
      </c>
      <c r="C36" s="74">
        <v>0</v>
      </c>
      <c r="D36" s="186">
        <v>0</v>
      </c>
      <c r="E36" s="186">
        <v>0</v>
      </c>
      <c r="F36" s="186"/>
      <c r="G36" s="54"/>
      <c r="H36" s="186">
        <v>105164</v>
      </c>
      <c r="I36" s="186">
        <f>-287-1</f>
        <v>-288</v>
      </c>
      <c r="J36" s="186">
        <v>1392</v>
      </c>
      <c r="K36" s="186">
        <v>2</v>
      </c>
      <c r="L36" s="186">
        <v>0</v>
      </c>
      <c r="N36" s="186">
        <v>99306</v>
      </c>
      <c r="O36" s="186">
        <v>101165</v>
      </c>
      <c r="P36" s="38">
        <v>1309</v>
      </c>
      <c r="Q36" s="38">
        <v>1309</v>
      </c>
      <c r="R36" s="38">
        <v>620</v>
      </c>
      <c r="S36" s="38">
        <v>-1239</v>
      </c>
      <c r="T36" s="38">
        <v>-366</v>
      </c>
      <c r="U36" s="38">
        <v>-366</v>
      </c>
      <c r="W36" s="186">
        <v>39690</v>
      </c>
      <c r="X36" s="186">
        <v>39690</v>
      </c>
      <c r="Y36" s="186">
        <v>80</v>
      </c>
      <c r="Z36" s="186">
        <f>80+1</f>
        <v>81</v>
      </c>
      <c r="AA36" s="186">
        <v>0</v>
      </c>
      <c r="AB36" s="186">
        <v>0</v>
      </c>
      <c r="AC36" s="186">
        <v>0</v>
      </c>
      <c r="AD36" s="186">
        <v>0</v>
      </c>
      <c r="AE36" s="186"/>
      <c r="AF36" s="186">
        <v>0</v>
      </c>
      <c r="AG36" s="186">
        <v>0</v>
      </c>
      <c r="AH36" s="186">
        <v>0</v>
      </c>
      <c r="AI36" s="186">
        <v>0</v>
      </c>
      <c r="AJ36" s="186">
        <v>0</v>
      </c>
      <c r="AK36" s="186">
        <v>0</v>
      </c>
      <c r="AN36" s="186">
        <v>0</v>
      </c>
      <c r="AO36" s="186">
        <v>0</v>
      </c>
      <c r="AQ36" s="186">
        <v>0</v>
      </c>
      <c r="AR36" s="186">
        <v>0</v>
      </c>
      <c r="AS36" s="186">
        <v>0</v>
      </c>
      <c r="AT36" s="186">
        <v>0</v>
      </c>
      <c r="AU36" s="186">
        <v>0</v>
      </c>
      <c r="AV36" s="186">
        <v>0</v>
      </c>
      <c r="AX36" s="186">
        <v>0</v>
      </c>
      <c r="AY36" s="386">
        <v>0</v>
      </c>
      <c r="AZ36" s="386">
        <v>0</v>
      </c>
      <c r="BA36" s="386">
        <v>0</v>
      </c>
      <c r="BC36" s="386">
        <v>0</v>
      </c>
      <c r="BD36" s="386">
        <v>0</v>
      </c>
      <c r="BE36" s="386">
        <v>0</v>
      </c>
      <c r="BF36" s="386">
        <v>0</v>
      </c>
      <c r="BH36" s="386">
        <v>0</v>
      </c>
    </row>
    <row r="37" spans="2:60" ht="4.5" customHeight="1">
      <c r="C37" s="54"/>
      <c r="D37" s="22"/>
      <c r="E37" s="22"/>
      <c r="F37" s="22"/>
      <c r="G37" s="54"/>
      <c r="H37" s="22"/>
      <c r="I37" s="22"/>
      <c r="J37" s="22"/>
      <c r="K37" s="22"/>
      <c r="L37" s="22"/>
      <c r="N37" s="22"/>
      <c r="O37" s="22"/>
      <c r="P37" s="22"/>
      <c r="Q37" s="22"/>
      <c r="R37" s="22"/>
      <c r="S37" s="22"/>
      <c r="T37" s="22"/>
      <c r="U37" s="22"/>
      <c r="W37" s="22"/>
      <c r="X37" s="22"/>
      <c r="Y37" s="22"/>
      <c r="Z37" s="22"/>
      <c r="AA37" s="22"/>
      <c r="AB37" s="22"/>
      <c r="AC37" s="22"/>
      <c r="AD37" s="22"/>
      <c r="AE37" s="22"/>
      <c r="AF37" s="22"/>
      <c r="AG37" s="22"/>
      <c r="AH37" s="22"/>
      <c r="AI37" s="22"/>
      <c r="AJ37" s="22"/>
      <c r="AK37" s="22"/>
      <c r="AN37" s="22"/>
      <c r="AO37" s="22"/>
      <c r="AQ37" s="22"/>
      <c r="AR37" s="22"/>
      <c r="AS37" s="22"/>
      <c r="AT37" s="22"/>
      <c r="AU37" s="22"/>
      <c r="AV37" s="22"/>
      <c r="AX37" s="22"/>
      <c r="AY37" s="387"/>
      <c r="AZ37" s="387"/>
      <c r="BA37" s="387"/>
      <c r="BC37" s="387"/>
      <c r="BD37" s="387"/>
      <c r="BE37" s="387"/>
      <c r="BF37" s="387"/>
      <c r="BH37" s="387"/>
    </row>
    <row r="38" spans="2:60" s="2" customFormat="1" ht="16.5" customHeight="1">
      <c r="B38" s="8" t="s">
        <v>13</v>
      </c>
      <c r="C38" s="59">
        <f>+C24-C27+C33</f>
        <v>657464</v>
      </c>
      <c r="D38" s="59">
        <f>+D24-D27+D33</f>
        <v>572481.91089914984</v>
      </c>
      <c r="E38" s="59">
        <f>+E24-E27+E33</f>
        <v>322148</v>
      </c>
      <c r="F38" s="59">
        <f>+F24-F27+F33</f>
        <v>111077</v>
      </c>
      <c r="G38" s="54"/>
      <c r="H38" s="59">
        <f>+H24-H27+H33</f>
        <v>343755</v>
      </c>
      <c r="I38" s="59">
        <f t="shared" ref="I38:L38" si="41">+I24-I27+I33</f>
        <v>562513</v>
      </c>
      <c r="J38" s="59">
        <f t="shared" si="41"/>
        <v>454461</v>
      </c>
      <c r="K38" s="59">
        <f t="shared" si="41"/>
        <v>270282</v>
      </c>
      <c r="L38" s="59">
        <f t="shared" si="41"/>
        <v>264504</v>
      </c>
      <c r="N38" s="59">
        <f t="shared" ref="N38:T38" si="42">+N24-N27+N33</f>
        <v>603138</v>
      </c>
      <c r="O38" s="59">
        <f t="shared" si="42"/>
        <v>599309</v>
      </c>
      <c r="P38" s="59">
        <f t="shared" si="42"/>
        <v>642761</v>
      </c>
      <c r="Q38" s="59">
        <f t="shared" si="42"/>
        <v>650249</v>
      </c>
      <c r="R38" s="59">
        <f t="shared" si="42"/>
        <v>622318</v>
      </c>
      <c r="S38" s="59">
        <f t="shared" ref="S38" si="43">+S24-S27+S33</f>
        <v>664144</v>
      </c>
      <c r="T38" s="59">
        <f t="shared" si="42"/>
        <v>567821</v>
      </c>
      <c r="U38" s="59">
        <f t="shared" ref="U38" si="44">+U24-U27+U33</f>
        <v>542935</v>
      </c>
      <c r="W38" s="59">
        <f t="shared" ref="W38:AC38" si="45">+W24-W27+W33</f>
        <v>495314</v>
      </c>
      <c r="X38" s="59">
        <f t="shared" si="45"/>
        <v>495313</v>
      </c>
      <c r="Y38" s="59">
        <f t="shared" si="45"/>
        <v>556952</v>
      </c>
      <c r="Z38" s="59">
        <f t="shared" si="45"/>
        <v>556951</v>
      </c>
      <c r="AA38" s="59">
        <f t="shared" si="45"/>
        <v>828601</v>
      </c>
      <c r="AB38" s="59">
        <f t="shared" ref="AB38" si="46">+AB24-AB27+AB33</f>
        <v>828602</v>
      </c>
      <c r="AC38" s="59">
        <f t="shared" si="45"/>
        <v>639665</v>
      </c>
      <c r="AD38" s="59">
        <f t="shared" ref="AD38" si="47">+AD24-AD27+AD33</f>
        <v>639667</v>
      </c>
      <c r="AE38" s="59"/>
      <c r="AF38" s="59">
        <f t="shared" ref="AF38:AK38" si="48">+AF24-AF27+AF33</f>
        <v>607137</v>
      </c>
      <c r="AG38" s="59">
        <f t="shared" si="48"/>
        <v>604542</v>
      </c>
      <c r="AH38" s="59">
        <f t="shared" si="48"/>
        <v>545462</v>
      </c>
      <c r="AI38" s="59">
        <f t="shared" si="48"/>
        <v>540759</v>
      </c>
      <c r="AJ38" s="59">
        <f t="shared" si="48"/>
        <v>677312</v>
      </c>
      <c r="AK38" s="59">
        <f t="shared" si="48"/>
        <v>673492</v>
      </c>
      <c r="AN38" s="59">
        <f t="shared" ref="AN38:AO38" si="49">+AN24-AN27+AN33</f>
        <v>789138</v>
      </c>
      <c r="AO38" s="59">
        <f t="shared" si="49"/>
        <v>780918</v>
      </c>
      <c r="AQ38" s="59">
        <f t="shared" ref="AQ38:AV38" si="50">+AQ24-AQ27+AQ33</f>
        <v>609504</v>
      </c>
      <c r="AR38" s="59">
        <f t="shared" si="50"/>
        <v>603092</v>
      </c>
      <c r="AS38" s="59">
        <f t="shared" si="50"/>
        <v>610341</v>
      </c>
      <c r="AT38" s="59">
        <f t="shared" si="50"/>
        <v>602287</v>
      </c>
      <c r="AU38" s="59">
        <f t="shared" si="50"/>
        <v>979335</v>
      </c>
      <c r="AV38" s="59">
        <f t="shared" si="50"/>
        <v>891760</v>
      </c>
      <c r="AX38" s="59">
        <v>396629</v>
      </c>
      <c r="AY38" s="388">
        <v>448972</v>
      </c>
      <c r="AZ38" s="388">
        <v>426512</v>
      </c>
      <c r="BA38" s="388">
        <f t="shared" ref="BA38" si="51">+BA24-BA27+BA33</f>
        <v>366014</v>
      </c>
      <c r="BC38" s="388">
        <f t="shared" ref="BC38:BF38" si="52">+BC24-BC27+BC33</f>
        <v>524558</v>
      </c>
      <c r="BD38" s="388">
        <f t="shared" si="52"/>
        <v>873240</v>
      </c>
      <c r="BE38" s="388">
        <f t="shared" si="52"/>
        <v>729786</v>
      </c>
      <c r="BF38" s="388">
        <f t="shared" si="52"/>
        <v>489870</v>
      </c>
      <c r="BH38" s="388">
        <f t="shared" ref="BH38" si="53">+BH24-BH27+BH33</f>
        <v>794578</v>
      </c>
    </row>
    <row r="39" spans="2:60" s="2" customFormat="1" ht="16.5" hidden="1" customHeight="1">
      <c r="B39" s="72" t="s">
        <v>48</v>
      </c>
      <c r="C39" s="78">
        <v>305.32</v>
      </c>
      <c r="D39" s="78">
        <v>309.13</v>
      </c>
      <c r="E39" s="78">
        <v>163.72999999999999</v>
      </c>
      <c r="F39" s="78">
        <v>56.22</v>
      </c>
      <c r="G39" s="54"/>
      <c r="H39" s="78">
        <v>126.58</v>
      </c>
      <c r="I39" s="78">
        <v>223.73</v>
      </c>
      <c r="J39" s="78">
        <v>154.26</v>
      </c>
      <c r="K39" s="78">
        <v>91.97</v>
      </c>
      <c r="L39" s="78" t="e">
        <f>+#REF!-J39-I39-H39</f>
        <v>#REF!</v>
      </c>
      <c r="N39" s="78">
        <v>126.58</v>
      </c>
      <c r="O39" s="78">
        <v>126.58</v>
      </c>
      <c r="P39" s="78">
        <v>126.58</v>
      </c>
      <c r="Q39" s="78">
        <v>126.58</v>
      </c>
      <c r="R39" s="78">
        <v>126.58</v>
      </c>
      <c r="S39" s="78">
        <v>126.58</v>
      </c>
      <c r="T39" s="78"/>
      <c r="U39" s="78"/>
      <c r="W39" s="78">
        <v>126.58</v>
      </c>
      <c r="X39" s="78">
        <v>126.58</v>
      </c>
      <c r="Y39" s="78">
        <v>126.58</v>
      </c>
      <c r="Z39" s="78">
        <v>126.58</v>
      </c>
      <c r="AA39" s="78">
        <v>126.58</v>
      </c>
      <c r="AB39" s="78">
        <v>126.58</v>
      </c>
      <c r="AC39" s="78">
        <v>126.58</v>
      </c>
      <c r="AD39" s="78">
        <v>126.58</v>
      </c>
      <c r="AE39" s="78"/>
      <c r="AF39" s="78">
        <v>126.58</v>
      </c>
      <c r="AG39" s="78">
        <v>126.58</v>
      </c>
      <c r="AH39" s="78">
        <v>126.58</v>
      </c>
      <c r="AI39" s="78">
        <v>126.58</v>
      </c>
      <c r="AJ39" s="78">
        <v>126.58</v>
      </c>
      <c r="AK39" s="78">
        <v>126.58</v>
      </c>
      <c r="AN39" s="78">
        <v>126.58</v>
      </c>
      <c r="AO39" s="78">
        <v>126.58</v>
      </c>
      <c r="AQ39" s="78">
        <v>126.58</v>
      </c>
      <c r="AR39" s="78">
        <v>126.58</v>
      </c>
      <c r="AS39" s="78">
        <v>126.58</v>
      </c>
      <c r="AT39" s="78">
        <v>126.58</v>
      </c>
      <c r="AU39" s="78">
        <v>126.58</v>
      </c>
      <c r="AV39" s="78">
        <v>126.58</v>
      </c>
      <c r="AX39" s="78">
        <v>126.58</v>
      </c>
      <c r="AY39" s="389">
        <v>126.58</v>
      </c>
      <c r="AZ39" s="389">
        <v>126.58</v>
      </c>
      <c r="BA39" s="389">
        <v>126.58</v>
      </c>
      <c r="BC39" s="389">
        <v>126.58</v>
      </c>
      <c r="BD39" s="389">
        <v>126.58</v>
      </c>
      <c r="BE39" s="389">
        <v>126.58</v>
      </c>
      <c r="BF39" s="389">
        <v>126.58</v>
      </c>
      <c r="BH39" s="389">
        <v>126.58</v>
      </c>
    </row>
    <row r="40" spans="2:60" ht="16.5" customHeight="1">
      <c r="B40" s="92" t="s">
        <v>47</v>
      </c>
      <c r="C40" s="93">
        <f>+C38/C$10</f>
        <v>0.28675469681935645</v>
      </c>
      <c r="D40" s="93">
        <f>+D38/D$10</f>
        <v>0.2249302540551196</v>
      </c>
      <c r="E40" s="93">
        <f>+E38/E$10</f>
        <v>0.14415431924193553</v>
      </c>
      <c r="F40" s="93">
        <f>+F38/F$10</f>
        <v>4.9953296813255159E-2</v>
      </c>
      <c r="G40" s="94"/>
      <c r="H40" s="93">
        <f>+H38/H$10</f>
        <v>0.1302048020726409</v>
      </c>
      <c r="I40" s="93">
        <f t="shared" ref="I40:L40" si="54">+I38/I$10</f>
        <v>0.19738191658499629</v>
      </c>
      <c r="J40" s="93">
        <f t="shared" si="54"/>
        <v>0.14147125925829079</v>
      </c>
      <c r="K40" s="93">
        <f t="shared" si="54"/>
        <v>6.9708710119861572E-2</v>
      </c>
      <c r="L40" s="93">
        <f t="shared" si="54"/>
        <v>6.6160204825894992E-2</v>
      </c>
      <c r="N40" s="93">
        <f t="shared" ref="N40:T40" si="55">+N38/N$10</f>
        <v>0.14869778678361878</v>
      </c>
      <c r="O40" s="93">
        <f t="shared" si="55"/>
        <v>0.1482474877090999</v>
      </c>
      <c r="P40" s="93">
        <f t="shared" si="55"/>
        <v>0.18929008964436747</v>
      </c>
      <c r="Q40" s="93">
        <f t="shared" si="55"/>
        <v>0.19213249820203299</v>
      </c>
      <c r="R40" s="93">
        <f t="shared" si="55"/>
        <v>0.18509057219379371</v>
      </c>
      <c r="S40" s="93">
        <f t="shared" ref="S40" si="56">+S38/S$10</f>
        <v>0.19522616780342636</v>
      </c>
      <c r="T40" s="93">
        <f t="shared" si="55"/>
        <v>0.15186943883669851</v>
      </c>
      <c r="U40" s="93">
        <f t="shared" ref="U40" si="57">+U38/U$10</f>
        <v>0.14579506761619351</v>
      </c>
      <c r="W40" s="93">
        <f t="shared" ref="W40:AC40" si="58">+W38/W$10</f>
        <v>0.14753809282394761</v>
      </c>
      <c r="X40" s="93">
        <f t="shared" si="58"/>
        <v>0.14753779495614491</v>
      </c>
      <c r="Y40" s="93">
        <f t="shared" si="58"/>
        <v>0.15622194179010992</v>
      </c>
      <c r="Z40" s="93">
        <f t="shared" si="58"/>
        <v>0.15622166129566556</v>
      </c>
      <c r="AA40" s="93">
        <f t="shared" si="58"/>
        <v>0.20378564707398497</v>
      </c>
      <c r="AB40" s="93">
        <f t="shared" ref="AB40" si="59">+AB38/AB$10</f>
        <v>0.20378594313239831</v>
      </c>
      <c r="AC40" s="93">
        <f t="shared" si="58"/>
        <v>0.17841777146046436</v>
      </c>
      <c r="AD40" s="93">
        <f t="shared" ref="AD40" si="60">+AD38/AD$10</f>
        <v>0.17841822977782898</v>
      </c>
      <c r="AE40" s="93"/>
      <c r="AF40" s="93">
        <f t="shared" ref="AF40:AK40" si="61">+AF38/AF$10</f>
        <v>0.18339482369373511</v>
      </c>
      <c r="AG40" s="93">
        <f t="shared" si="61"/>
        <v>0.18275416330103944</v>
      </c>
      <c r="AH40" s="93">
        <f t="shared" si="61"/>
        <v>0.15080050095241782</v>
      </c>
      <c r="AI40" s="93">
        <f t="shared" si="61"/>
        <v>0.14969496784137773</v>
      </c>
      <c r="AJ40" s="93">
        <f t="shared" si="61"/>
        <v>0.18616463665693486</v>
      </c>
      <c r="AK40" s="93">
        <f t="shared" si="61"/>
        <v>0.18530924587183326</v>
      </c>
      <c r="AN40" s="93">
        <f t="shared" ref="AN40:AO40" si="62">+AN38/AN$10</f>
        <v>0.2105426327634024</v>
      </c>
      <c r="AO40" s="93">
        <f t="shared" si="62"/>
        <v>0.20880746651978196</v>
      </c>
      <c r="AQ40" s="93">
        <f t="shared" ref="AQ40:AV40" si="63">+AQ38/AQ$10</f>
        <v>0.16378721936003285</v>
      </c>
      <c r="AR40" s="93">
        <f t="shared" si="63"/>
        <v>0.16234389906172542</v>
      </c>
      <c r="AS40" s="93">
        <f t="shared" si="63"/>
        <v>0.15809624806310785</v>
      </c>
      <c r="AT40" s="93">
        <f t="shared" si="63"/>
        <v>0.15383324555564806</v>
      </c>
      <c r="AU40" s="93">
        <f t="shared" si="63"/>
        <v>0.18733619667742157</v>
      </c>
      <c r="AV40" s="93">
        <f t="shared" si="63"/>
        <v>0.22628884867148938</v>
      </c>
      <c r="AX40" s="93">
        <v>0.10969383663063757</v>
      </c>
      <c r="AY40" s="281">
        <v>0.13418936944697082</v>
      </c>
      <c r="AZ40" s="281">
        <v>0.12351271276384715</v>
      </c>
      <c r="BA40" s="281">
        <f t="shared" ref="BA40" si="64">+BA38/BA$10</f>
        <v>0.10236009294835852</v>
      </c>
      <c r="BC40" s="281">
        <f t="shared" ref="BC40:BF40" si="65">+BC38/BC$10</f>
        <v>0.14051862650394562</v>
      </c>
      <c r="BD40" s="281">
        <f t="shared" si="65"/>
        <v>0.21686653633415984</v>
      </c>
      <c r="BE40" s="281">
        <f t="shared" si="65"/>
        <v>0.17732986831218722</v>
      </c>
      <c r="BF40" s="281">
        <f t="shared" si="65"/>
        <v>0.11047873441667309</v>
      </c>
      <c r="BH40" s="281">
        <f t="shared" ref="BH40" si="66">+BH38/BH$10</f>
        <v>0.17222116619022404</v>
      </c>
    </row>
    <row r="41" spans="2:60" ht="4.5" customHeight="1">
      <c r="B41" s="11"/>
      <c r="C41" s="56"/>
      <c r="D41" s="22"/>
      <c r="E41" s="22"/>
      <c r="F41" s="22"/>
      <c r="G41" s="54"/>
      <c r="H41" s="22"/>
      <c r="I41" s="22"/>
      <c r="J41" s="22"/>
      <c r="K41" s="22"/>
      <c r="L41" s="22"/>
      <c r="N41" s="22"/>
      <c r="O41" s="22"/>
      <c r="P41" s="22"/>
      <c r="Q41" s="22"/>
      <c r="R41" s="22"/>
      <c r="S41" s="22"/>
      <c r="T41" s="22"/>
      <c r="U41" s="22"/>
      <c r="W41" s="22"/>
      <c r="X41" s="22"/>
      <c r="Y41" s="22"/>
      <c r="Z41" s="22"/>
      <c r="AA41" s="22"/>
      <c r="AB41" s="22"/>
      <c r="AC41" s="22"/>
      <c r="AD41" s="22"/>
      <c r="AE41" s="22"/>
      <c r="AF41" s="22"/>
      <c r="AG41" s="22"/>
      <c r="AH41" s="22"/>
      <c r="AI41" s="22"/>
      <c r="AJ41" s="22"/>
      <c r="AK41" s="22"/>
      <c r="AN41" s="22"/>
      <c r="AO41" s="22"/>
      <c r="AQ41" s="22"/>
      <c r="AR41" s="22"/>
      <c r="AS41" s="22"/>
      <c r="AT41" s="22"/>
      <c r="AU41" s="22"/>
      <c r="AV41" s="22"/>
      <c r="AX41" s="22"/>
      <c r="AY41" s="387"/>
      <c r="AZ41" s="387"/>
      <c r="BA41" s="387"/>
      <c r="BC41" s="387"/>
      <c r="BD41" s="387"/>
      <c r="BE41" s="387"/>
      <c r="BF41" s="387"/>
      <c r="BH41" s="387"/>
    </row>
    <row r="42" spans="2:60" s="2" customFormat="1" ht="16.5" customHeight="1">
      <c r="B42" s="69" t="s">
        <v>5</v>
      </c>
      <c r="C42" s="95">
        <f>+C38+C20+C29+C31-C36</f>
        <v>803253</v>
      </c>
      <c r="D42" s="95">
        <f>+D38+D20+D29+D31-D36</f>
        <v>740260.97639072989</v>
      </c>
      <c r="E42" s="95">
        <f>+E38+E20+E29+E31-E36</f>
        <v>458645</v>
      </c>
      <c r="F42" s="95">
        <f>+F38+F20+F29+F31-F36</f>
        <v>222458</v>
      </c>
      <c r="G42" s="89"/>
      <c r="H42" s="95">
        <f>+H38+H20+H29+H31-H36</f>
        <v>459893</v>
      </c>
      <c r="I42" s="95">
        <f t="shared" ref="I42:L42" si="67">+I38+I20+I29+I31-I36</f>
        <v>765822</v>
      </c>
      <c r="J42" s="95">
        <f t="shared" si="67"/>
        <v>679975</v>
      </c>
      <c r="K42" s="95">
        <f t="shared" si="67"/>
        <v>522044</v>
      </c>
      <c r="L42" s="95">
        <f t="shared" si="67"/>
        <v>516407</v>
      </c>
      <c r="N42" s="95">
        <f t="shared" ref="N42:T42" si="68">+N38+N20+N29+N31-N36</f>
        <v>764069</v>
      </c>
      <c r="O42" s="95">
        <f t="shared" si="68"/>
        <v>758829</v>
      </c>
      <c r="P42" s="95">
        <f t="shared" si="68"/>
        <v>889098</v>
      </c>
      <c r="Q42" s="95">
        <f t="shared" si="68"/>
        <v>880143</v>
      </c>
      <c r="R42" s="95">
        <f t="shared" si="68"/>
        <v>881311</v>
      </c>
      <c r="S42" s="95">
        <f t="shared" ref="S42" si="69">+S38+S20+S29+S31-S36</f>
        <v>938326</v>
      </c>
      <c r="T42" s="95">
        <f t="shared" si="68"/>
        <v>884211</v>
      </c>
      <c r="U42" s="95">
        <f t="shared" ref="U42" si="70">+U38+U20+U29+U31-U36</f>
        <v>861990</v>
      </c>
      <c r="W42" s="95">
        <f t="shared" ref="W42:AC42" si="71">+W38+W20+W29+W31-W36</f>
        <v>783944</v>
      </c>
      <c r="X42" s="95">
        <f t="shared" si="71"/>
        <v>783943</v>
      </c>
      <c r="Y42" s="95">
        <f t="shared" si="71"/>
        <v>875559</v>
      </c>
      <c r="Z42" s="95">
        <f t="shared" si="71"/>
        <v>875558</v>
      </c>
      <c r="AA42" s="95">
        <f t="shared" si="71"/>
        <v>1193364</v>
      </c>
      <c r="AB42" s="95">
        <f t="shared" ref="AB42" si="72">+AB38+AB20+AB29+AB31-AB36</f>
        <v>1193364</v>
      </c>
      <c r="AC42" s="95">
        <f t="shared" si="71"/>
        <v>972221</v>
      </c>
      <c r="AD42" s="95">
        <f t="shared" ref="AD42" si="73">+AD38+AD20+AD29+AD31-AD36</f>
        <v>972223</v>
      </c>
      <c r="AE42" s="279"/>
      <c r="AF42" s="95">
        <f t="shared" ref="AF42:AK42" si="74">+AF38+AF20+AF29+AF31-AF36</f>
        <v>941213</v>
      </c>
      <c r="AG42" s="95">
        <f t="shared" si="74"/>
        <v>938619</v>
      </c>
      <c r="AH42" s="95">
        <f t="shared" si="74"/>
        <v>891224</v>
      </c>
      <c r="AI42" s="95">
        <f t="shared" si="74"/>
        <v>886520</v>
      </c>
      <c r="AJ42" s="95">
        <f t="shared" si="74"/>
        <v>1022496</v>
      </c>
      <c r="AK42" s="95">
        <f t="shared" si="74"/>
        <v>1018676</v>
      </c>
      <c r="AN42" s="95">
        <f t="shared" ref="AN42:AO42" si="75">+AN38+AN20+AN29+AN31-AN36</f>
        <v>1111072</v>
      </c>
      <c r="AO42" s="95">
        <f t="shared" si="75"/>
        <v>1102852</v>
      </c>
      <c r="AQ42" s="95">
        <f t="shared" ref="AQ42:AV42" si="76">+AQ38+AQ20+AQ29+AQ31-AQ36</f>
        <v>998294</v>
      </c>
      <c r="AR42" s="95">
        <f t="shared" si="76"/>
        <v>991882</v>
      </c>
      <c r="AS42" s="95">
        <f t="shared" si="76"/>
        <v>1052952</v>
      </c>
      <c r="AT42" s="95">
        <f t="shared" si="76"/>
        <v>1044898</v>
      </c>
      <c r="AU42" s="95">
        <f t="shared" si="76"/>
        <v>1412539</v>
      </c>
      <c r="AV42" s="95">
        <f t="shared" si="76"/>
        <v>1338210</v>
      </c>
      <c r="AX42" s="95">
        <v>818768</v>
      </c>
      <c r="AY42" s="390">
        <v>890140</v>
      </c>
      <c r="AZ42" s="390">
        <v>856872</v>
      </c>
      <c r="BA42" s="390">
        <f t="shared" ref="BA42" si="77">+BA38+BA20+BA29+BA31-BA36</f>
        <v>789035</v>
      </c>
      <c r="BC42" s="390">
        <f t="shared" ref="BC42:BF42" si="78">+BC38+BC20+BC29+BC31-BC36</f>
        <v>951549</v>
      </c>
      <c r="BD42" s="390">
        <f t="shared" si="78"/>
        <v>1302520</v>
      </c>
      <c r="BE42" s="390">
        <f t="shared" si="78"/>
        <v>1158829</v>
      </c>
      <c r="BF42" s="390">
        <f t="shared" si="78"/>
        <v>923207</v>
      </c>
      <c r="BH42" s="390">
        <f t="shared" ref="BH42" si="79">+BH38+BH20+BH29+BH31-BH36</f>
        <v>1215809</v>
      </c>
    </row>
    <row r="43" spans="2:60" s="2" customFormat="1" ht="16.5" hidden="1" customHeight="1">
      <c r="B43" s="96" t="s">
        <v>48</v>
      </c>
      <c r="C43" s="97">
        <v>377.6</v>
      </c>
      <c r="D43" s="97">
        <v>399.12</v>
      </c>
      <c r="E43" s="97">
        <v>233.72</v>
      </c>
      <c r="F43" s="97">
        <v>105.58</v>
      </c>
      <c r="G43" s="89"/>
      <c r="H43" s="97">
        <v>260.04000000000002</v>
      </c>
      <c r="I43" s="97">
        <v>304.83</v>
      </c>
      <c r="J43" s="97">
        <v>232</v>
      </c>
      <c r="K43" s="97">
        <v>174.11</v>
      </c>
      <c r="L43" s="97" t="e">
        <f>+#REF!-J43-I43-H43</f>
        <v>#REF!</v>
      </c>
      <c r="N43" s="97">
        <v>260.04000000000002</v>
      </c>
      <c r="O43" s="97">
        <v>260.04000000000002</v>
      </c>
      <c r="P43" s="97">
        <v>260.04000000000002</v>
      </c>
      <c r="Q43" s="97">
        <v>260.04000000000002</v>
      </c>
      <c r="R43" s="97">
        <v>260.04000000000002</v>
      </c>
      <c r="S43" s="97">
        <v>260.04000000000002</v>
      </c>
      <c r="T43" s="97"/>
      <c r="U43" s="97"/>
      <c r="W43" s="97">
        <v>260.04000000000002</v>
      </c>
      <c r="X43" s="97">
        <v>260.04000000000002</v>
      </c>
      <c r="Y43" s="97">
        <v>260.04000000000002</v>
      </c>
      <c r="Z43" s="97">
        <v>260.04000000000002</v>
      </c>
      <c r="AA43" s="97">
        <v>260.04000000000002</v>
      </c>
      <c r="AB43" s="97">
        <v>260.04000000000002</v>
      </c>
      <c r="AC43" s="97">
        <v>260.04000000000002</v>
      </c>
      <c r="AD43" s="97">
        <v>260.04000000000002</v>
      </c>
      <c r="AE43" s="280"/>
      <c r="AF43" s="97">
        <v>260.04000000000002</v>
      </c>
      <c r="AG43" s="97">
        <v>260.04000000000002</v>
      </c>
      <c r="AH43" s="97">
        <v>260.04000000000002</v>
      </c>
      <c r="AI43" s="97">
        <v>260.04000000000002</v>
      </c>
      <c r="AJ43" s="97">
        <v>260.04000000000002</v>
      </c>
      <c r="AK43" s="97">
        <v>260.04000000000002</v>
      </c>
      <c r="AN43" s="97">
        <v>260.04000000000002</v>
      </c>
      <c r="AO43" s="97">
        <v>260.04000000000002</v>
      </c>
      <c r="AQ43" s="97">
        <v>260.04000000000002</v>
      </c>
      <c r="AR43" s="97">
        <v>260.04000000000002</v>
      </c>
      <c r="AS43" s="97">
        <v>260.04000000000002</v>
      </c>
      <c r="AT43" s="97">
        <v>260.04000000000002</v>
      </c>
      <c r="AU43" s="97">
        <v>260.04000000000002</v>
      </c>
      <c r="AV43" s="97">
        <v>260.04000000000002</v>
      </c>
      <c r="AX43" s="97">
        <v>260.04000000000002</v>
      </c>
      <c r="AY43" s="391">
        <v>260.04000000000002</v>
      </c>
      <c r="AZ43" s="391">
        <v>260.04000000000002</v>
      </c>
      <c r="BA43" s="391">
        <v>260.04000000000002</v>
      </c>
      <c r="BC43" s="391">
        <v>260.04000000000002</v>
      </c>
      <c r="BD43" s="391">
        <v>260.04000000000002</v>
      </c>
      <c r="BE43" s="391">
        <v>260.04000000000002</v>
      </c>
      <c r="BF43" s="391">
        <v>260.04000000000002</v>
      </c>
      <c r="BH43" s="391">
        <v>260.04000000000002</v>
      </c>
    </row>
    <row r="44" spans="2:60" s="2" customFormat="1" ht="16.5" customHeight="1">
      <c r="B44" s="98" t="s">
        <v>6</v>
      </c>
      <c r="C44" s="99">
        <f>+C42/C$10</f>
        <v>0.35034096237092605</v>
      </c>
      <c r="D44" s="99">
        <f>+D42/D$10</f>
        <v>0.29085126764117125</v>
      </c>
      <c r="E44" s="99">
        <f>+E42/E$10</f>
        <v>0.20523379859169552</v>
      </c>
      <c r="F44" s="99">
        <f>+F42/F$10</f>
        <v>0.10004330781784813</v>
      </c>
      <c r="G44" s="100"/>
      <c r="H44" s="99">
        <f>+H42/H$10</f>
        <v>0.17419463582956771</v>
      </c>
      <c r="I44" s="99">
        <f t="shared" ref="I44:L44" si="80">+I42/I$10</f>
        <v>0.26872163687409006</v>
      </c>
      <c r="J44" s="99">
        <f t="shared" si="80"/>
        <v>0.21167255169124805</v>
      </c>
      <c r="K44" s="99">
        <f t="shared" si="80"/>
        <v>0.13464090788810582</v>
      </c>
      <c r="L44" s="99">
        <f t="shared" si="80"/>
        <v>0.12916853013007726</v>
      </c>
      <c r="N44" s="99">
        <f t="shared" ref="N44:T44" si="81">+N42/N$10</f>
        <v>0.18837375401644868</v>
      </c>
      <c r="O44" s="99">
        <f t="shared" si="81"/>
        <v>0.18770699730991622</v>
      </c>
      <c r="P44" s="99">
        <f t="shared" si="81"/>
        <v>0.26183517687387353</v>
      </c>
      <c r="Q44" s="99">
        <f t="shared" si="81"/>
        <v>0.26006048969707285</v>
      </c>
      <c r="R44" s="99">
        <f t="shared" si="81"/>
        <v>0.26212058348092859</v>
      </c>
      <c r="S44" s="99">
        <f t="shared" ref="S44" si="82">+S42/S$10</f>
        <v>0.2758223956405807</v>
      </c>
      <c r="T44" s="99">
        <f t="shared" si="81"/>
        <v>0.23649112727996327</v>
      </c>
      <c r="U44" s="99">
        <f t="shared" ref="U44" si="83">+U42/U$10</f>
        <v>0.23147133696387717</v>
      </c>
      <c r="W44" s="99">
        <f t="shared" ref="W44:AC44" si="84">+W42/W$10</f>
        <v>0.23351167671573345</v>
      </c>
      <c r="X44" s="99">
        <f t="shared" si="84"/>
        <v>0.23351137884793075</v>
      </c>
      <c r="Y44" s="99">
        <f t="shared" si="84"/>
        <v>0.24558943523285107</v>
      </c>
      <c r="Z44" s="99">
        <f t="shared" si="84"/>
        <v>0.24558915473840667</v>
      </c>
      <c r="AA44" s="99">
        <f t="shared" si="84"/>
        <v>0.29349524672888277</v>
      </c>
      <c r="AB44" s="99">
        <f t="shared" ref="AB44" si="85">+AB42/AB$10</f>
        <v>0.29349531891095049</v>
      </c>
      <c r="AC44" s="99">
        <f t="shared" si="84"/>
        <v>0.27117554374096459</v>
      </c>
      <c r="AD44" s="99">
        <f t="shared" ref="AD44" si="86">+AD42/AD$10</f>
        <v>0.27117595031366354</v>
      </c>
      <c r="AE44" s="281"/>
      <c r="AF44" s="99">
        <f t="shared" ref="AF44:AK44" si="87">+AF42/AF$10</f>
        <v>0.28430748281401313</v>
      </c>
      <c r="AG44" s="99">
        <f t="shared" si="87"/>
        <v>0.28374625750313187</v>
      </c>
      <c r="AH44" s="99">
        <f t="shared" si="87"/>
        <v>0.24639117969870974</v>
      </c>
      <c r="AI44" s="99">
        <f t="shared" si="87"/>
        <v>0.24540984595862148</v>
      </c>
      <c r="AJ44" s="99">
        <f t="shared" si="87"/>
        <v>0.28104122815359728</v>
      </c>
      <c r="AK44" s="99">
        <f t="shared" si="87"/>
        <v>0.28028555847394715</v>
      </c>
      <c r="AN44" s="99">
        <f t="shared" ref="AN44:AO44" si="88">+AN42/AN$10</f>
        <v>0.29643487459696405</v>
      </c>
      <c r="AO44" s="99">
        <f t="shared" si="88"/>
        <v>0.29488849285875673</v>
      </c>
      <c r="AQ44" s="99">
        <f t="shared" ref="AQ44:AV44" si="89">+AQ42/AQ$10</f>
        <v>0.26826370026087543</v>
      </c>
      <c r="AR44" s="99">
        <f t="shared" si="89"/>
        <v>0.26700070849744706</v>
      </c>
      <c r="AS44" s="99">
        <f t="shared" si="89"/>
        <v>0.27274549897605688</v>
      </c>
      <c r="AT44" s="99">
        <f t="shared" si="89"/>
        <v>0.26688281602393138</v>
      </c>
      <c r="AU44" s="99">
        <f t="shared" si="89"/>
        <v>0.2702034379640556</v>
      </c>
      <c r="AV44" s="99">
        <f t="shared" si="89"/>
        <v>0.33957791354251571</v>
      </c>
      <c r="AX44" s="99">
        <v>0.22644285523850718</v>
      </c>
      <c r="AY44" s="99">
        <v>0.26604626863039699</v>
      </c>
      <c r="AZ44" s="99">
        <v>0.2481397597520896</v>
      </c>
      <c r="BA44" s="99">
        <f t="shared" ref="BA44" si="90">+BA42/BA$10</f>
        <v>0.22066285972533306</v>
      </c>
      <c r="BC44" s="99">
        <f t="shared" ref="BC44:BF44" si="91">+BC42/BC$10</f>
        <v>0.25490099956764156</v>
      </c>
      <c r="BD44" s="99">
        <f t="shared" si="91"/>
        <v>0.32347693750397355</v>
      </c>
      <c r="BE44" s="99">
        <f t="shared" si="91"/>
        <v>0.28158253784855231</v>
      </c>
      <c r="BF44" s="99">
        <f t="shared" si="91"/>
        <v>0.20820777137733176</v>
      </c>
      <c r="BH44" s="99">
        <f t="shared" ref="BH44" si="92">+BH42/BH$10</f>
        <v>0.26352106884984244</v>
      </c>
    </row>
    <row r="45" spans="2:60" ht="4.5" customHeight="1">
      <c r="C45" s="54"/>
      <c r="D45" s="55"/>
      <c r="E45" s="55"/>
      <c r="F45" s="55"/>
      <c r="G45" s="54"/>
      <c r="H45" s="55"/>
      <c r="I45" s="55"/>
      <c r="J45" s="55"/>
      <c r="K45" s="55"/>
      <c r="L45" s="55"/>
      <c r="N45" s="55"/>
      <c r="O45" s="55"/>
      <c r="P45" s="55"/>
      <c r="Q45" s="55"/>
      <c r="R45" s="55"/>
      <c r="S45" s="55"/>
      <c r="T45" s="55"/>
      <c r="U45" s="55"/>
      <c r="W45" s="55"/>
      <c r="X45" s="55"/>
      <c r="Y45" s="55"/>
      <c r="Z45" s="55"/>
      <c r="AA45" s="55"/>
      <c r="AB45" s="55"/>
      <c r="AC45" s="55"/>
      <c r="AD45" s="55"/>
      <c r="AE45" s="55"/>
      <c r="AF45" s="55"/>
      <c r="AG45" s="55"/>
      <c r="AH45" s="55"/>
      <c r="AI45" s="55"/>
      <c r="AJ45" s="55"/>
      <c r="AK45" s="55"/>
      <c r="AN45" s="55"/>
      <c r="AO45" s="55"/>
      <c r="AQ45" s="55"/>
      <c r="AR45" s="55"/>
      <c r="AS45" s="55"/>
      <c r="AT45" s="55"/>
      <c r="AU45" s="55"/>
      <c r="AV45" s="55"/>
      <c r="AX45" s="55"/>
      <c r="AY45" s="382"/>
      <c r="AZ45" s="382"/>
      <c r="BA45" s="382"/>
      <c r="BC45" s="382"/>
      <c r="BD45" s="382"/>
      <c r="BE45" s="382"/>
      <c r="BF45" s="382"/>
      <c r="BH45" s="382"/>
    </row>
    <row r="46" spans="2:60" ht="16.5" customHeight="1">
      <c r="B46" s="8" t="s">
        <v>156</v>
      </c>
      <c r="C46" s="70">
        <f>SUM(C47:C49)</f>
        <v>-274858</v>
      </c>
      <c r="D46" s="71">
        <f>SUM(D47:D49)</f>
        <v>110083.87971088001</v>
      </c>
      <c r="E46" s="71">
        <f>SUM(E47:E49)</f>
        <v>-91925</v>
      </c>
      <c r="F46" s="71">
        <f>SUM(F47:F49)</f>
        <v>-104873</v>
      </c>
      <c r="G46" s="54"/>
      <c r="H46" s="71">
        <f>SUM(H47:H49)</f>
        <v>-157390</v>
      </c>
      <c r="I46" s="71">
        <f t="shared" ref="I46:L46" si="93">SUM(I47:I49)</f>
        <v>-150581</v>
      </c>
      <c r="J46" s="71">
        <f t="shared" si="93"/>
        <v>-194136</v>
      </c>
      <c r="K46" s="71">
        <f t="shared" si="93"/>
        <v>-211928</v>
      </c>
      <c r="L46" s="71">
        <f t="shared" si="93"/>
        <v>-213297</v>
      </c>
      <c r="N46" s="71">
        <f t="shared" ref="N46:T46" si="94">SUM(N47:N49)</f>
        <v>-203291</v>
      </c>
      <c r="O46" s="71">
        <f t="shared" si="94"/>
        <v>-203290</v>
      </c>
      <c r="P46" s="71">
        <f t="shared" si="94"/>
        <v>-268582</v>
      </c>
      <c r="Q46" s="71">
        <f t="shared" si="94"/>
        <v>-268582</v>
      </c>
      <c r="R46" s="71">
        <f t="shared" si="94"/>
        <v>-243502</v>
      </c>
      <c r="S46" s="71">
        <f t="shared" ref="S46" si="95">SUM(S47:S49)</f>
        <v>-243502</v>
      </c>
      <c r="T46" s="71">
        <f t="shared" si="94"/>
        <v>-256227</v>
      </c>
      <c r="U46" s="71">
        <f t="shared" ref="U46" si="96">SUM(U47:U49)</f>
        <v>-256228</v>
      </c>
      <c r="W46" s="71">
        <f t="shared" ref="W46:AC46" si="97">SUM(W47:W49)</f>
        <v>-271918</v>
      </c>
      <c r="X46" s="71">
        <f t="shared" si="97"/>
        <v>-271918</v>
      </c>
      <c r="Y46" s="71">
        <f t="shared" si="97"/>
        <v>-253126</v>
      </c>
      <c r="Z46" s="71">
        <f t="shared" si="97"/>
        <v>-253126</v>
      </c>
      <c r="AA46" s="71">
        <f t="shared" si="97"/>
        <v>-277134</v>
      </c>
      <c r="AB46" s="71">
        <f t="shared" si="97"/>
        <v>-277133</v>
      </c>
      <c r="AC46" s="71">
        <f t="shared" si="97"/>
        <v>-276908</v>
      </c>
      <c r="AD46" s="71">
        <f t="shared" ref="AD46" si="98">SUM(AD47:AD49)</f>
        <v>-276908</v>
      </c>
      <c r="AE46" s="71"/>
      <c r="AF46" s="71">
        <f t="shared" ref="AF46:AK46" si="99">SUM(AF47:AF49)</f>
        <v>-268932</v>
      </c>
      <c r="AG46" s="71">
        <f t="shared" si="99"/>
        <v>-266338</v>
      </c>
      <c r="AH46" s="71">
        <f t="shared" si="99"/>
        <v>-242510</v>
      </c>
      <c r="AI46" s="71">
        <f t="shared" si="99"/>
        <v>-237807</v>
      </c>
      <c r="AJ46" s="71">
        <f t="shared" si="99"/>
        <v>-286113</v>
      </c>
      <c r="AK46" s="71">
        <f t="shared" si="99"/>
        <v>-282292</v>
      </c>
      <c r="AN46" s="71">
        <f t="shared" ref="AN46:AO46" si="100">SUM(AN47:AN49)</f>
        <v>-284469</v>
      </c>
      <c r="AO46" s="71">
        <f t="shared" si="100"/>
        <v>-276249</v>
      </c>
      <c r="AQ46" s="71">
        <f t="shared" ref="AQ46:AV46" si="101">SUM(AQ47:AQ49)</f>
        <v>-300140</v>
      </c>
      <c r="AR46" s="71">
        <f t="shared" si="101"/>
        <v>-293728</v>
      </c>
      <c r="AS46" s="71">
        <f t="shared" si="101"/>
        <v>-309171</v>
      </c>
      <c r="AT46" s="71">
        <f t="shared" si="101"/>
        <v>-301117</v>
      </c>
      <c r="AU46" s="71">
        <f t="shared" si="101"/>
        <v>-339835</v>
      </c>
      <c r="AV46" s="71">
        <f t="shared" si="101"/>
        <v>-278361</v>
      </c>
      <c r="AX46" s="71">
        <v>-282338</v>
      </c>
      <c r="AY46" s="383">
        <v>-352017</v>
      </c>
      <c r="AZ46" s="383">
        <v>-280422</v>
      </c>
      <c r="BA46" s="383">
        <f t="shared" ref="BA46" si="102">SUM(BA47:BA49)</f>
        <v>-317308</v>
      </c>
      <c r="BC46" s="383">
        <f t="shared" ref="BC46:BF46" si="103">SUM(BC47:BC49)</f>
        <v>-242377</v>
      </c>
      <c r="BD46" s="383">
        <f t="shared" si="103"/>
        <v>-284409</v>
      </c>
      <c r="BE46" s="383">
        <f t="shared" si="103"/>
        <v>-255519</v>
      </c>
      <c r="BF46" s="383">
        <f t="shared" si="103"/>
        <v>-178529</v>
      </c>
      <c r="BH46" s="383">
        <f t="shared" ref="BH46" si="104">SUM(BH47:BH49)</f>
        <v>-296131</v>
      </c>
    </row>
    <row r="47" spans="2:60" ht="16.5" customHeight="1">
      <c r="B47" s="65" t="s">
        <v>15</v>
      </c>
      <c r="C47" s="74">
        <v>-271498</v>
      </c>
      <c r="D47" s="38">
        <f>91817</f>
        <v>91817</v>
      </c>
      <c r="E47" s="38">
        <v>-86348</v>
      </c>
      <c r="F47" s="38">
        <v>-137095</v>
      </c>
      <c r="G47" s="54"/>
      <c r="H47" s="38">
        <f>-161839</f>
        <v>-161839</v>
      </c>
      <c r="I47" s="38">
        <f>-143935+2</f>
        <v>-143933</v>
      </c>
      <c r="J47" s="38">
        <v>-172868</v>
      </c>
      <c r="K47" s="38">
        <f>-201914</f>
        <v>-201914</v>
      </c>
      <c r="L47" s="38">
        <v>-202390</v>
      </c>
      <c r="N47" s="38">
        <v>-213835</v>
      </c>
      <c r="O47" s="38">
        <v>-213834</v>
      </c>
      <c r="P47" s="38">
        <f>-264231</f>
        <v>-264231</v>
      </c>
      <c r="Q47" s="38">
        <f>-264232</f>
        <v>-264232</v>
      </c>
      <c r="R47" s="38">
        <v>-256109</v>
      </c>
      <c r="S47" s="38">
        <v>-256109</v>
      </c>
      <c r="T47" s="38">
        <f>-277702+1</f>
        <v>-277701</v>
      </c>
      <c r="U47" s="38">
        <v>-277702</v>
      </c>
      <c r="W47" s="38">
        <v>-262567</v>
      </c>
      <c r="X47" s="38">
        <v>-262567</v>
      </c>
      <c r="Y47" s="38">
        <v>-277709</v>
      </c>
      <c r="Z47" s="38">
        <v>-277709</v>
      </c>
      <c r="AA47" s="38">
        <f>-274299</f>
        <v>-274299</v>
      </c>
      <c r="AB47" s="38">
        <f>-274299</f>
        <v>-274299</v>
      </c>
      <c r="AC47" s="38">
        <v>-287705</v>
      </c>
      <c r="AD47" s="38">
        <v>-287705</v>
      </c>
      <c r="AE47" s="38"/>
      <c r="AF47" s="38">
        <v>-270568</v>
      </c>
      <c r="AG47" s="38">
        <v>-270568</v>
      </c>
      <c r="AH47" s="38">
        <v>-268875</v>
      </c>
      <c r="AI47" s="38">
        <v>-268875</v>
      </c>
      <c r="AJ47" s="38">
        <f>-276287+1</f>
        <v>-276286</v>
      </c>
      <c r="AK47" s="38">
        <f>-276287+1</f>
        <v>-276286</v>
      </c>
      <c r="AN47" s="38">
        <v>-291890</v>
      </c>
      <c r="AO47" s="38">
        <v>-291890</v>
      </c>
      <c r="AQ47" s="38">
        <v>-297421</v>
      </c>
      <c r="AR47" s="38">
        <v>-297421</v>
      </c>
      <c r="AS47" s="38">
        <v>-331832</v>
      </c>
      <c r="AT47" s="38">
        <v>-331832</v>
      </c>
      <c r="AU47" s="38">
        <f>-325321+1</f>
        <v>-325320</v>
      </c>
      <c r="AV47" s="38">
        <f>-319735-1</f>
        <v>-319736</v>
      </c>
      <c r="AX47" s="38">
        <v>-299549</v>
      </c>
      <c r="AY47" s="215">
        <v>-344902</v>
      </c>
      <c r="AZ47" s="215">
        <v>-265637</v>
      </c>
      <c r="BA47" s="215">
        <f>-328343-2</f>
        <v>-328345</v>
      </c>
      <c r="BC47" s="215">
        <v>-217003</v>
      </c>
      <c r="BD47" s="215">
        <v>-274276</v>
      </c>
      <c r="BE47" s="215">
        <f>-256699+1</f>
        <v>-256698</v>
      </c>
      <c r="BF47" s="215">
        <f>-240671-1</f>
        <v>-240672</v>
      </c>
      <c r="BH47" s="215">
        <v>-276686</v>
      </c>
    </row>
    <row r="48" spans="2:60" ht="16.5" customHeight="1">
      <c r="B48" s="65" t="s">
        <v>18</v>
      </c>
      <c r="C48" s="74">
        <v>-3360</v>
      </c>
      <c r="D48" s="38">
        <v>18266.879710880003</v>
      </c>
      <c r="E48" s="38">
        <v>-5577</v>
      </c>
      <c r="F48" s="38">
        <v>32222</v>
      </c>
      <c r="G48" s="54"/>
      <c r="H48" s="38">
        <v>4449</v>
      </c>
      <c r="I48" s="38">
        <v>-6648</v>
      </c>
      <c r="J48" s="38">
        <v>-21268</v>
      </c>
      <c r="K48" s="38">
        <f>-10013-1</f>
        <v>-10014</v>
      </c>
      <c r="L48" s="38">
        <v>-10907</v>
      </c>
      <c r="N48" s="38">
        <v>10544</v>
      </c>
      <c r="O48" s="38">
        <v>10544</v>
      </c>
      <c r="P48" s="38">
        <v>-4351</v>
      </c>
      <c r="Q48" s="38">
        <f>-4350</f>
        <v>-4350</v>
      </c>
      <c r="R48" s="38">
        <v>12607</v>
      </c>
      <c r="S48" s="38">
        <v>12607</v>
      </c>
      <c r="T48" s="38">
        <v>21474</v>
      </c>
      <c r="U48" s="38">
        <v>21474</v>
      </c>
      <c r="W48" s="38">
        <v>-9351</v>
      </c>
      <c r="X48" s="38">
        <v>-9351</v>
      </c>
      <c r="Y48" s="38">
        <v>24583</v>
      </c>
      <c r="Z48" s="38">
        <v>24583</v>
      </c>
      <c r="AA48" s="38">
        <f>-2834-1</f>
        <v>-2835</v>
      </c>
      <c r="AB48" s="38">
        <f>-2834</f>
        <v>-2834</v>
      </c>
      <c r="AC48" s="38">
        <v>10797</v>
      </c>
      <c r="AD48" s="38">
        <v>10797</v>
      </c>
      <c r="AE48" s="38"/>
      <c r="AF48" s="38">
        <v>1636</v>
      </c>
      <c r="AG48" s="38">
        <v>4230</v>
      </c>
      <c r="AH48" s="38">
        <v>26365</v>
      </c>
      <c r="AI48" s="38">
        <v>31068</v>
      </c>
      <c r="AJ48" s="38">
        <v>-9827</v>
      </c>
      <c r="AK48" s="38">
        <v>-6006</v>
      </c>
      <c r="AN48" s="38">
        <v>7421</v>
      </c>
      <c r="AO48" s="38">
        <f>15640+1</f>
        <v>15641</v>
      </c>
      <c r="AQ48" s="38">
        <v>-2719</v>
      </c>
      <c r="AR48" s="38">
        <f>3694-1</f>
        <v>3693</v>
      </c>
      <c r="AS48" s="38">
        <v>22661</v>
      </c>
      <c r="AT48" s="38">
        <f>30715</f>
        <v>30715</v>
      </c>
      <c r="AU48" s="38">
        <v>-14515</v>
      </c>
      <c r="AV48" s="38">
        <v>41375</v>
      </c>
      <c r="AX48" s="38">
        <v>17211</v>
      </c>
      <c r="AY48" s="215">
        <v>-7115</v>
      </c>
      <c r="AZ48" s="215">
        <v>-14785</v>
      </c>
      <c r="BA48" s="215">
        <f>11036+1</f>
        <v>11037</v>
      </c>
      <c r="BC48" s="215">
        <v>-25374</v>
      </c>
      <c r="BD48" s="215">
        <v>-10133</v>
      </c>
      <c r="BE48" s="215">
        <v>1179</v>
      </c>
      <c r="BF48" s="215">
        <v>62143</v>
      </c>
      <c r="BH48" s="215">
        <v>-19445</v>
      </c>
    </row>
    <row r="49" spans="2:60" ht="16.5" customHeight="1">
      <c r="B49" s="65"/>
      <c r="C49" s="74"/>
      <c r="D49" s="74"/>
      <c r="E49" s="74"/>
      <c r="F49" s="74"/>
      <c r="G49" s="54"/>
      <c r="H49" s="74"/>
      <c r="I49" s="38"/>
      <c r="J49" s="200"/>
      <c r="K49" s="38"/>
      <c r="L49" s="38"/>
      <c r="N49" s="74"/>
      <c r="O49" s="74"/>
      <c r="P49" s="74"/>
      <c r="Q49" s="74"/>
      <c r="R49" s="74"/>
      <c r="S49" s="74"/>
      <c r="T49" s="74"/>
      <c r="U49" s="74"/>
      <c r="W49" s="74"/>
      <c r="X49" s="74"/>
      <c r="Y49" s="74"/>
      <c r="Z49" s="74"/>
      <c r="AA49" s="74"/>
      <c r="AB49" s="74"/>
      <c r="AC49" s="74"/>
      <c r="AD49" s="74"/>
      <c r="AE49" s="74"/>
      <c r="AF49" s="74"/>
      <c r="AG49" s="74"/>
      <c r="AH49" s="74"/>
      <c r="AI49" s="74"/>
      <c r="AJ49" s="74"/>
      <c r="AK49" s="74"/>
      <c r="AN49" s="74"/>
      <c r="AO49" s="74"/>
      <c r="AQ49" s="74"/>
      <c r="AR49" s="74"/>
      <c r="AS49" s="74"/>
      <c r="AT49" s="74"/>
      <c r="AU49" s="74"/>
      <c r="AV49" s="74"/>
      <c r="AX49" s="74"/>
      <c r="AY49" s="168"/>
      <c r="AZ49" s="168"/>
      <c r="BA49" s="168"/>
      <c r="BC49" s="168"/>
      <c r="BD49" s="168"/>
      <c r="BE49" s="168"/>
      <c r="BF49" s="168"/>
      <c r="BH49" s="168"/>
    </row>
    <row r="50" spans="2:60" ht="4.5" customHeight="1">
      <c r="C50" s="54"/>
      <c r="D50" s="55"/>
      <c r="E50" s="55"/>
      <c r="F50" s="55"/>
      <c r="G50" s="54"/>
      <c r="H50" s="55"/>
      <c r="I50" s="55"/>
      <c r="J50" s="55"/>
      <c r="K50" s="55"/>
      <c r="L50" s="55"/>
      <c r="N50" s="55"/>
      <c r="O50" s="55"/>
      <c r="P50" s="55"/>
      <c r="Q50" s="55"/>
      <c r="R50" s="55"/>
      <c r="S50" s="55"/>
      <c r="T50" s="55"/>
      <c r="U50" s="55"/>
      <c r="W50" s="55"/>
      <c r="X50" s="55"/>
      <c r="Y50" s="55"/>
      <c r="Z50" s="55"/>
      <c r="AA50" s="55"/>
      <c r="AB50" s="55"/>
      <c r="AC50" s="55"/>
      <c r="AD50" s="55"/>
      <c r="AE50" s="55"/>
      <c r="AF50" s="55"/>
      <c r="AG50" s="55"/>
      <c r="AH50" s="55"/>
      <c r="AI50" s="55"/>
      <c r="AJ50" s="55"/>
      <c r="AK50" s="55"/>
      <c r="AN50" s="55"/>
      <c r="AO50" s="55"/>
      <c r="AQ50" s="55"/>
      <c r="AR50" s="55"/>
      <c r="AS50" s="55"/>
      <c r="AT50" s="55"/>
      <c r="AU50" s="55"/>
      <c r="AV50" s="55"/>
      <c r="AX50" s="55"/>
      <c r="AY50" s="382"/>
      <c r="AZ50" s="382"/>
      <c r="BA50" s="382"/>
      <c r="BC50" s="382"/>
      <c r="BD50" s="382"/>
      <c r="BE50" s="382"/>
      <c r="BF50" s="382"/>
      <c r="BH50" s="382"/>
    </row>
    <row r="51" spans="2:60" ht="16.5" customHeight="1">
      <c r="B51" s="8" t="s">
        <v>7</v>
      </c>
      <c r="C51" s="59">
        <f>+C38+C46</f>
        <v>382606</v>
      </c>
      <c r="D51" s="75">
        <f>+D38+D46</f>
        <v>682565.79061002983</v>
      </c>
      <c r="E51" s="75">
        <f>+E38+E46</f>
        <v>230223</v>
      </c>
      <c r="F51" s="75">
        <f>+F38+F46</f>
        <v>6204</v>
      </c>
      <c r="G51" s="54"/>
      <c r="H51" s="75">
        <f>+H38+H46</f>
        <v>186365</v>
      </c>
      <c r="I51" s="75">
        <f t="shared" ref="I51:L51" si="105">+I38+I46</f>
        <v>411932</v>
      </c>
      <c r="J51" s="75">
        <f t="shared" si="105"/>
        <v>260325</v>
      </c>
      <c r="K51" s="75">
        <f t="shared" si="105"/>
        <v>58354</v>
      </c>
      <c r="L51" s="75">
        <f t="shared" si="105"/>
        <v>51207</v>
      </c>
      <c r="N51" s="75">
        <f t="shared" ref="N51:T51" si="106">+N38+N46</f>
        <v>399847</v>
      </c>
      <c r="O51" s="75">
        <f t="shared" si="106"/>
        <v>396019</v>
      </c>
      <c r="P51" s="75">
        <f t="shared" si="106"/>
        <v>374179</v>
      </c>
      <c r="Q51" s="75">
        <f t="shared" si="106"/>
        <v>381667</v>
      </c>
      <c r="R51" s="75">
        <f t="shared" si="106"/>
        <v>378816</v>
      </c>
      <c r="S51" s="75">
        <f t="shared" ref="S51" si="107">+S38+S46</f>
        <v>420642</v>
      </c>
      <c r="T51" s="75">
        <f t="shared" si="106"/>
        <v>311594</v>
      </c>
      <c r="U51" s="75">
        <f t="shared" ref="U51" si="108">+U38+U46</f>
        <v>286707</v>
      </c>
      <c r="W51" s="75">
        <f t="shared" ref="W51:AC51" si="109">+W38+W46</f>
        <v>223396</v>
      </c>
      <c r="X51" s="75">
        <f t="shared" si="109"/>
        <v>223395</v>
      </c>
      <c r="Y51" s="75">
        <f t="shared" si="109"/>
        <v>303826</v>
      </c>
      <c r="Z51" s="75">
        <f t="shared" si="109"/>
        <v>303825</v>
      </c>
      <c r="AA51" s="75">
        <f t="shared" si="109"/>
        <v>551467</v>
      </c>
      <c r="AB51" s="75">
        <f t="shared" ref="AB51" si="110">+AB38+AB46</f>
        <v>551469</v>
      </c>
      <c r="AC51" s="75">
        <f t="shared" si="109"/>
        <v>362757</v>
      </c>
      <c r="AD51" s="75">
        <f t="shared" ref="AD51" si="111">+AD38+AD46</f>
        <v>362759</v>
      </c>
      <c r="AE51" s="75"/>
      <c r="AF51" s="75">
        <f t="shared" ref="AF51:AK51" si="112">+AF38+AF46</f>
        <v>338205</v>
      </c>
      <c r="AG51" s="75">
        <f t="shared" si="112"/>
        <v>338204</v>
      </c>
      <c r="AH51" s="75">
        <f t="shared" si="112"/>
        <v>302952</v>
      </c>
      <c r="AI51" s="75">
        <f t="shared" si="112"/>
        <v>302952</v>
      </c>
      <c r="AJ51" s="75">
        <f t="shared" si="112"/>
        <v>391199</v>
      </c>
      <c r="AK51" s="75">
        <f t="shared" si="112"/>
        <v>391200</v>
      </c>
      <c r="AN51" s="75">
        <f t="shared" ref="AN51:AO51" si="113">+AN38+AN46</f>
        <v>504669</v>
      </c>
      <c r="AO51" s="75">
        <f t="shared" si="113"/>
        <v>504669</v>
      </c>
      <c r="AQ51" s="75">
        <f t="shared" ref="AQ51:AV51" si="114">+AQ38+AQ46</f>
        <v>309364</v>
      </c>
      <c r="AR51" s="75">
        <f t="shared" si="114"/>
        <v>309364</v>
      </c>
      <c r="AS51" s="75">
        <f t="shared" si="114"/>
        <v>301170</v>
      </c>
      <c r="AT51" s="75">
        <f t="shared" si="114"/>
        <v>301170</v>
      </c>
      <c r="AU51" s="75">
        <f t="shared" si="114"/>
        <v>639500</v>
      </c>
      <c r="AV51" s="75">
        <f t="shared" si="114"/>
        <v>613399</v>
      </c>
      <c r="AX51" s="75">
        <v>114291</v>
      </c>
      <c r="AY51" s="384">
        <v>96955</v>
      </c>
      <c r="AZ51" s="384">
        <v>146090</v>
      </c>
      <c r="BA51" s="384">
        <f t="shared" ref="BA51" si="115">+BA38+BA46</f>
        <v>48706</v>
      </c>
      <c r="BC51" s="384">
        <f t="shared" ref="BC51:BF51" si="116">+BC38+BC46</f>
        <v>282181</v>
      </c>
      <c r="BD51" s="384">
        <f t="shared" si="116"/>
        <v>588831</v>
      </c>
      <c r="BE51" s="384">
        <f t="shared" si="116"/>
        <v>474267</v>
      </c>
      <c r="BF51" s="384">
        <f t="shared" si="116"/>
        <v>311341</v>
      </c>
      <c r="BH51" s="384">
        <f t="shared" ref="BH51" si="117">+BH38+BH46</f>
        <v>498447</v>
      </c>
    </row>
    <row r="52" spans="2:60" s="177" customFormat="1" ht="5.25" hidden="1" customHeight="1">
      <c r="B52" s="3"/>
      <c r="C52" s="54"/>
      <c r="D52" s="187"/>
      <c r="E52" s="187"/>
      <c r="F52" s="187"/>
      <c r="G52" s="54"/>
      <c r="H52" s="187"/>
      <c r="I52" s="187"/>
      <c r="J52" s="187"/>
      <c r="K52" s="187"/>
      <c r="L52" s="187" t="e">
        <f>+#REF!-J52-I52-H52</f>
        <v>#REF!</v>
      </c>
      <c r="N52" s="187"/>
      <c r="O52" s="187"/>
      <c r="P52" s="187"/>
      <c r="Q52" s="187"/>
      <c r="R52" s="187"/>
      <c r="S52" s="187"/>
      <c r="T52" s="187"/>
      <c r="U52" s="187"/>
      <c r="W52" s="187"/>
      <c r="X52" s="187"/>
      <c r="Y52" s="187"/>
      <c r="Z52" s="187"/>
      <c r="AA52" s="187"/>
      <c r="AB52" s="187"/>
      <c r="AC52" s="187"/>
      <c r="AD52" s="187"/>
      <c r="AE52" s="187"/>
      <c r="AF52" s="187"/>
      <c r="AG52" s="187"/>
      <c r="AH52" s="187"/>
      <c r="AI52" s="187"/>
      <c r="AJ52" s="187"/>
      <c r="AK52" s="187"/>
      <c r="AN52" s="187"/>
      <c r="AO52" s="187"/>
      <c r="AQ52" s="187"/>
      <c r="AR52" s="187"/>
      <c r="AS52" s="187"/>
      <c r="AT52" s="187"/>
      <c r="AU52" s="187"/>
      <c r="AV52" s="187"/>
      <c r="AX52" s="187"/>
      <c r="AY52" s="392"/>
      <c r="AZ52" s="392"/>
      <c r="BA52" s="392"/>
      <c r="BC52" s="392"/>
      <c r="BD52" s="392"/>
      <c r="BE52" s="392"/>
      <c r="BF52" s="392"/>
      <c r="BH52" s="392"/>
    </row>
    <row r="53" spans="2:60" s="177" customFormat="1" ht="5.25" customHeight="1">
      <c r="B53" s="3"/>
      <c r="C53" s="54"/>
      <c r="D53" s="187"/>
      <c r="E53" s="187"/>
      <c r="F53" s="187"/>
      <c r="G53" s="54"/>
      <c r="H53" s="187"/>
      <c r="I53" s="187"/>
      <c r="J53" s="187"/>
      <c r="K53" s="187"/>
      <c r="L53" s="187"/>
      <c r="N53" s="187"/>
      <c r="O53" s="187"/>
      <c r="P53" s="187"/>
      <c r="Q53" s="187"/>
      <c r="R53" s="187"/>
      <c r="S53" s="187"/>
      <c r="T53" s="187"/>
      <c r="U53" s="187"/>
      <c r="W53" s="187"/>
      <c r="X53" s="187"/>
      <c r="Y53" s="187"/>
      <c r="Z53" s="187"/>
      <c r="AA53" s="187"/>
      <c r="AB53" s="187"/>
      <c r="AC53" s="187"/>
      <c r="AD53" s="187"/>
      <c r="AE53" s="187"/>
      <c r="AF53" s="187"/>
      <c r="AG53" s="187"/>
      <c r="AH53" s="187"/>
      <c r="AI53" s="187"/>
      <c r="AJ53" s="187"/>
      <c r="AK53" s="187"/>
      <c r="AN53" s="187"/>
      <c r="AO53" s="187"/>
      <c r="AQ53" s="187"/>
      <c r="AR53" s="187"/>
      <c r="AS53" s="187"/>
      <c r="AT53" s="187"/>
      <c r="AU53" s="187"/>
      <c r="AV53" s="187"/>
      <c r="AX53" s="187"/>
      <c r="AY53" s="392"/>
      <c r="AZ53" s="392"/>
      <c r="BA53" s="392"/>
      <c r="BC53" s="392"/>
      <c r="BD53" s="392"/>
      <c r="BE53" s="392"/>
      <c r="BF53" s="392"/>
      <c r="BH53" s="392"/>
    </row>
    <row r="54" spans="2:60" ht="15.75" customHeight="1">
      <c r="B54" s="165" t="s">
        <v>147</v>
      </c>
      <c r="C54" s="74">
        <v>88640</v>
      </c>
      <c r="D54" s="38">
        <v>114703</v>
      </c>
      <c r="E54" s="38">
        <v>47094</v>
      </c>
      <c r="F54" s="38">
        <v>121109</v>
      </c>
      <c r="G54" s="54"/>
      <c r="H54" s="38">
        <v>94599</v>
      </c>
      <c r="I54" s="38">
        <v>53882</v>
      </c>
      <c r="J54" s="38">
        <v>75127</v>
      </c>
      <c r="K54" s="38">
        <v>36898</v>
      </c>
      <c r="L54" s="38">
        <v>24587</v>
      </c>
      <c r="N54" s="38">
        <v>171898</v>
      </c>
      <c r="O54" s="38">
        <f>168106-1+12377</f>
        <v>180482</v>
      </c>
      <c r="P54" s="38">
        <v>13142</v>
      </c>
      <c r="Q54" s="38">
        <f>10409-1+2546</f>
        <v>12954</v>
      </c>
      <c r="R54" s="38">
        <v>88218</v>
      </c>
      <c r="S54" s="38">
        <f>107394-18569+3646</f>
        <v>92471</v>
      </c>
      <c r="T54" s="38">
        <v>59176</v>
      </c>
      <c r="U54" s="38">
        <f>67124+2</f>
        <v>67126</v>
      </c>
      <c r="V54" s="38"/>
      <c r="W54" s="38">
        <f>69785+8804</f>
        <v>78589</v>
      </c>
      <c r="X54" s="38">
        <v>78588</v>
      </c>
      <c r="Y54" s="38">
        <f>85468+2910</f>
        <v>88378</v>
      </c>
      <c r="Z54" s="38">
        <f>85468+2910+1</f>
        <v>88379</v>
      </c>
      <c r="AA54" s="38">
        <f>111567-15302+3588</f>
        <v>99853</v>
      </c>
      <c r="AB54" s="38">
        <f>111567-15302+3588</f>
        <v>99853</v>
      </c>
      <c r="AC54" s="38">
        <f>268044+1</f>
        <v>268045</v>
      </c>
      <c r="AD54" s="38">
        <f>268044+1</f>
        <v>268045</v>
      </c>
      <c r="AE54" s="38"/>
      <c r="AF54" s="38">
        <v>117143</v>
      </c>
      <c r="AG54" s="38">
        <v>117143</v>
      </c>
      <c r="AH54" s="38">
        <f>70202-1</f>
        <v>70201</v>
      </c>
      <c r="AI54" s="38">
        <f>70202-1</f>
        <v>70201</v>
      </c>
      <c r="AJ54" s="38">
        <v>-18841</v>
      </c>
      <c r="AK54" s="38">
        <v>-18841</v>
      </c>
      <c r="AN54" s="38">
        <v>174404</v>
      </c>
      <c r="AO54" s="38">
        <v>174404</v>
      </c>
      <c r="AQ54" s="38">
        <v>86082</v>
      </c>
      <c r="AR54" s="38">
        <v>86082</v>
      </c>
      <c r="AS54" s="38">
        <v>81685</v>
      </c>
      <c r="AT54" s="38">
        <v>81685</v>
      </c>
      <c r="AU54" s="38">
        <v>122933</v>
      </c>
      <c r="AV54" s="38">
        <v>316595</v>
      </c>
      <c r="AX54" s="38">
        <v>87916</v>
      </c>
      <c r="AY54" s="215">
        <v>35121</v>
      </c>
      <c r="AZ54" s="215">
        <v>68259</v>
      </c>
      <c r="BA54" s="215">
        <v>60801</v>
      </c>
      <c r="BC54" s="215">
        <v>91593</v>
      </c>
      <c r="BD54" s="215">
        <v>196413</v>
      </c>
      <c r="BE54" s="215">
        <v>99600</v>
      </c>
      <c r="BF54" s="215">
        <v>62981</v>
      </c>
      <c r="BH54" s="215">
        <v>183520</v>
      </c>
    </row>
    <row r="55" spans="2:60" ht="8.25" customHeight="1">
      <c r="C55" s="54"/>
      <c r="D55" s="55"/>
      <c r="E55" s="55"/>
      <c r="F55" s="55"/>
      <c r="G55" s="54"/>
      <c r="H55" s="55"/>
      <c r="I55" s="55"/>
      <c r="J55" s="55"/>
      <c r="K55" s="55"/>
      <c r="L55" s="55"/>
      <c r="N55" s="55"/>
      <c r="O55" s="55"/>
      <c r="P55" s="55"/>
      <c r="Q55" s="55"/>
      <c r="R55" s="55"/>
      <c r="S55" s="55"/>
      <c r="T55" s="55"/>
      <c r="U55" s="55"/>
      <c r="W55" s="55"/>
      <c r="X55" s="55"/>
      <c r="Y55" s="55"/>
      <c r="Z55" s="55"/>
      <c r="AA55" s="55"/>
      <c r="AB55" s="55"/>
      <c r="AC55" s="55"/>
      <c r="AD55" s="55"/>
      <c r="AE55" s="55"/>
      <c r="AF55" s="55"/>
      <c r="AG55" s="55"/>
      <c r="AH55" s="55"/>
      <c r="AI55" s="55"/>
      <c r="AJ55" s="55"/>
      <c r="AK55" s="55"/>
      <c r="AN55" s="55"/>
      <c r="AO55" s="55"/>
      <c r="AQ55" s="55"/>
      <c r="AR55" s="55"/>
      <c r="AS55" s="55"/>
      <c r="AT55" s="55"/>
      <c r="AU55" s="55"/>
      <c r="AV55" s="55"/>
      <c r="AX55" s="55"/>
      <c r="AY55" s="382"/>
      <c r="AZ55" s="382"/>
      <c r="BA55" s="382"/>
      <c r="BC55" s="382"/>
      <c r="BD55" s="382"/>
      <c r="BE55" s="382"/>
      <c r="BF55" s="382"/>
      <c r="BH55" s="382"/>
    </row>
    <row r="56" spans="2:60" s="2" customFormat="1" ht="13">
      <c r="B56" s="8" t="s">
        <v>84</v>
      </c>
      <c r="C56" s="70">
        <f>+C51-C54</f>
        <v>293966</v>
      </c>
      <c r="D56" s="70">
        <f>+D51-D54</f>
        <v>567862.79061002983</v>
      </c>
      <c r="E56" s="70">
        <f>+E51-E54</f>
        <v>183129</v>
      </c>
      <c r="F56" s="70">
        <f>+F51-F54</f>
        <v>-114905</v>
      </c>
      <c r="G56" s="54"/>
      <c r="H56" s="70">
        <f>+H51-H54</f>
        <v>91766</v>
      </c>
      <c r="I56" s="70">
        <f t="shared" ref="I56:L56" si="118">+I51-I54</f>
        <v>358050</v>
      </c>
      <c r="J56" s="70">
        <f t="shared" si="118"/>
        <v>185198</v>
      </c>
      <c r="K56" s="70">
        <f t="shared" si="118"/>
        <v>21456</v>
      </c>
      <c r="L56" s="70">
        <f t="shared" si="118"/>
        <v>26620</v>
      </c>
      <c r="N56" s="70">
        <f t="shared" ref="N56:T56" si="119">+N51-N54</f>
        <v>227949</v>
      </c>
      <c r="O56" s="70">
        <f t="shared" si="119"/>
        <v>215537</v>
      </c>
      <c r="P56" s="70">
        <f t="shared" si="119"/>
        <v>361037</v>
      </c>
      <c r="Q56" s="70">
        <f t="shared" si="119"/>
        <v>368713</v>
      </c>
      <c r="R56" s="70">
        <f t="shared" si="119"/>
        <v>290598</v>
      </c>
      <c r="S56" s="70">
        <f t="shared" ref="S56" si="120">+S51-S54</f>
        <v>328171</v>
      </c>
      <c r="T56" s="70">
        <f t="shared" si="119"/>
        <v>252418</v>
      </c>
      <c r="U56" s="70">
        <f t="shared" ref="U56" si="121">+U51-U54</f>
        <v>219581</v>
      </c>
      <c r="W56" s="70">
        <f t="shared" ref="W56:AC56" si="122">+W51-W54</f>
        <v>144807</v>
      </c>
      <c r="X56" s="70">
        <f t="shared" si="122"/>
        <v>144807</v>
      </c>
      <c r="Y56" s="70">
        <f t="shared" si="122"/>
        <v>215448</v>
      </c>
      <c r="Z56" s="70">
        <f t="shared" si="122"/>
        <v>215446</v>
      </c>
      <c r="AA56" s="70">
        <f t="shared" si="122"/>
        <v>451614</v>
      </c>
      <c r="AB56" s="70">
        <f t="shared" ref="AB56" si="123">+AB51-AB54</f>
        <v>451616</v>
      </c>
      <c r="AC56" s="70">
        <f t="shared" si="122"/>
        <v>94712</v>
      </c>
      <c r="AD56" s="70">
        <f t="shared" ref="AD56" si="124">+AD51-AD54</f>
        <v>94714</v>
      </c>
      <c r="AE56" s="70"/>
      <c r="AF56" s="70">
        <f t="shared" ref="AF56:AK56" si="125">+AF51-AF54</f>
        <v>221062</v>
      </c>
      <c r="AG56" s="70">
        <f t="shared" si="125"/>
        <v>221061</v>
      </c>
      <c r="AH56" s="70">
        <f t="shared" si="125"/>
        <v>232751</v>
      </c>
      <c r="AI56" s="70">
        <f t="shared" si="125"/>
        <v>232751</v>
      </c>
      <c r="AJ56" s="70">
        <f t="shared" si="125"/>
        <v>410040</v>
      </c>
      <c r="AK56" s="70">
        <f t="shared" si="125"/>
        <v>410041</v>
      </c>
      <c r="AN56" s="70">
        <f t="shared" ref="AN56:AO56" si="126">+AN51-AN54</f>
        <v>330265</v>
      </c>
      <c r="AO56" s="70">
        <f t="shared" si="126"/>
        <v>330265</v>
      </c>
      <c r="AQ56" s="70">
        <f t="shared" ref="AQ56:AV56" si="127">+AQ51-AQ54</f>
        <v>223282</v>
      </c>
      <c r="AR56" s="70">
        <f t="shared" si="127"/>
        <v>223282</v>
      </c>
      <c r="AS56" s="70">
        <f t="shared" si="127"/>
        <v>219485</v>
      </c>
      <c r="AT56" s="70">
        <f t="shared" si="127"/>
        <v>219485</v>
      </c>
      <c r="AU56" s="70">
        <f t="shared" si="127"/>
        <v>516567</v>
      </c>
      <c r="AV56" s="70">
        <f t="shared" si="127"/>
        <v>296804</v>
      </c>
      <c r="AX56" s="70">
        <v>26375</v>
      </c>
      <c r="AY56" s="385">
        <v>61834</v>
      </c>
      <c r="AZ56" s="385">
        <v>77831</v>
      </c>
      <c r="BA56" s="385">
        <f t="shared" ref="BA56" si="128">+BA51-BA54</f>
        <v>-12095</v>
      </c>
      <c r="BC56" s="385">
        <f t="shared" ref="BC56:BF56" si="129">+BC51-BC54</f>
        <v>190588</v>
      </c>
      <c r="BD56" s="385">
        <f t="shared" si="129"/>
        <v>392418</v>
      </c>
      <c r="BE56" s="385">
        <f t="shared" si="129"/>
        <v>374667</v>
      </c>
      <c r="BF56" s="385">
        <f t="shared" si="129"/>
        <v>248360</v>
      </c>
      <c r="BH56" s="385">
        <f t="shared" ref="BH56" si="130">+BH51-BH54</f>
        <v>314927</v>
      </c>
    </row>
    <row r="57" spans="2:60" s="2" customFormat="1" ht="16.5" customHeight="1">
      <c r="B57" s="166" t="s">
        <v>148</v>
      </c>
      <c r="C57" s="74">
        <v>-869</v>
      </c>
      <c r="D57" s="38">
        <f>330+1</f>
        <v>331</v>
      </c>
      <c r="E57" s="38">
        <f>-5125+1</f>
        <v>-5124</v>
      </c>
      <c r="F57" s="38">
        <f>6047-1</f>
        <v>6046</v>
      </c>
      <c r="G57" s="54"/>
      <c r="H57" s="38"/>
      <c r="I57" s="38">
        <v>-3566</v>
      </c>
      <c r="J57" s="200">
        <v>3566</v>
      </c>
      <c r="K57" s="38">
        <v>-13315</v>
      </c>
      <c r="L57" s="38">
        <v>-13315</v>
      </c>
      <c r="N57" s="38">
        <v>0</v>
      </c>
      <c r="O57" s="38">
        <v>0</v>
      </c>
      <c r="P57" s="38">
        <v>0</v>
      </c>
      <c r="Q57" s="38">
        <v>0</v>
      </c>
      <c r="R57" s="38">
        <v>0</v>
      </c>
      <c r="S57" s="38">
        <v>0</v>
      </c>
      <c r="T57" s="38">
        <v>0</v>
      </c>
      <c r="U57" s="38">
        <v>0</v>
      </c>
      <c r="W57" s="38">
        <v>0</v>
      </c>
      <c r="X57" s="38">
        <v>0</v>
      </c>
      <c r="Y57" s="38">
        <v>0</v>
      </c>
      <c r="Z57" s="38">
        <v>0</v>
      </c>
      <c r="AA57" s="38">
        <v>0</v>
      </c>
      <c r="AB57" s="38">
        <v>0</v>
      </c>
      <c r="AC57" s="38">
        <v>0</v>
      </c>
      <c r="AD57" s="38">
        <v>0</v>
      </c>
      <c r="AE57" s="38"/>
      <c r="AF57" s="38">
        <v>0</v>
      </c>
      <c r="AG57" s="38">
        <v>0</v>
      </c>
      <c r="AH57" s="38">
        <v>0</v>
      </c>
      <c r="AI57" s="38">
        <v>0</v>
      </c>
      <c r="AJ57" s="38">
        <v>0</v>
      </c>
      <c r="AK57" s="38">
        <v>0</v>
      </c>
      <c r="AN57" s="38">
        <v>0</v>
      </c>
      <c r="AO57" s="38">
        <v>0</v>
      </c>
      <c r="AQ57" s="38">
        <v>0</v>
      </c>
      <c r="AR57" s="38">
        <v>0</v>
      </c>
      <c r="AS57" s="38">
        <v>0</v>
      </c>
      <c r="AT57" s="38">
        <v>0</v>
      </c>
      <c r="AU57" s="38">
        <v>0</v>
      </c>
      <c r="AV57" s="38">
        <v>0</v>
      </c>
      <c r="AX57" s="38">
        <v>0</v>
      </c>
      <c r="AY57" s="215">
        <v>0</v>
      </c>
      <c r="AZ57" s="215">
        <v>0</v>
      </c>
      <c r="BA57" s="215">
        <v>0</v>
      </c>
      <c r="BC57" s="215">
        <v>0</v>
      </c>
      <c r="BD57" s="215">
        <v>0</v>
      </c>
      <c r="BE57" s="215">
        <v>0</v>
      </c>
      <c r="BF57" s="215">
        <v>0</v>
      </c>
      <c r="BH57" s="215">
        <v>0</v>
      </c>
    </row>
    <row r="58" spans="2:60" s="2" customFormat="1" ht="16.5" customHeight="1">
      <c r="B58" s="8" t="s">
        <v>79</v>
      </c>
      <c r="C58" s="70">
        <f>+C56+C57</f>
        <v>293097</v>
      </c>
      <c r="D58" s="70">
        <f>+D56+D57</f>
        <v>568193.79061002983</v>
      </c>
      <c r="E58" s="70">
        <f>+E56+E57</f>
        <v>178005</v>
      </c>
      <c r="F58" s="70">
        <f>+F56+F57</f>
        <v>-108859</v>
      </c>
      <c r="G58" s="54"/>
      <c r="H58" s="70">
        <f>+H56+H57</f>
        <v>91766</v>
      </c>
      <c r="I58" s="70">
        <f t="shared" ref="I58:L58" si="131">+I56+I57</f>
        <v>354484</v>
      </c>
      <c r="J58" s="70">
        <f t="shared" si="131"/>
        <v>188764</v>
      </c>
      <c r="K58" s="70">
        <f t="shared" si="131"/>
        <v>8141</v>
      </c>
      <c r="L58" s="70">
        <f t="shared" si="131"/>
        <v>13305</v>
      </c>
      <c r="N58" s="70">
        <f t="shared" ref="N58:T58" si="132">+N56+N57</f>
        <v>227949</v>
      </c>
      <c r="O58" s="70">
        <f t="shared" si="132"/>
        <v>215537</v>
      </c>
      <c r="P58" s="70">
        <f t="shared" si="132"/>
        <v>361037</v>
      </c>
      <c r="Q58" s="70">
        <f t="shared" si="132"/>
        <v>368713</v>
      </c>
      <c r="R58" s="70">
        <f t="shared" si="132"/>
        <v>290598</v>
      </c>
      <c r="S58" s="70">
        <f t="shared" ref="S58" si="133">+S56+S57</f>
        <v>328171</v>
      </c>
      <c r="T58" s="70">
        <f t="shared" si="132"/>
        <v>252418</v>
      </c>
      <c r="U58" s="70">
        <f t="shared" ref="U58" si="134">+U56+U57</f>
        <v>219581</v>
      </c>
      <c r="W58" s="70">
        <f t="shared" ref="W58:AC58" si="135">+W56+W57</f>
        <v>144807</v>
      </c>
      <c r="X58" s="70">
        <f t="shared" si="135"/>
        <v>144807</v>
      </c>
      <c r="Y58" s="70">
        <f t="shared" si="135"/>
        <v>215448</v>
      </c>
      <c r="Z58" s="70">
        <f t="shared" si="135"/>
        <v>215446</v>
      </c>
      <c r="AA58" s="70">
        <f t="shared" si="135"/>
        <v>451614</v>
      </c>
      <c r="AB58" s="70">
        <f t="shared" si="135"/>
        <v>451616</v>
      </c>
      <c r="AC58" s="70">
        <f t="shared" si="135"/>
        <v>94712</v>
      </c>
      <c r="AD58" s="70">
        <f t="shared" ref="AD58" si="136">+AD56+AD57</f>
        <v>94714</v>
      </c>
      <c r="AE58" s="70"/>
      <c r="AF58" s="70">
        <f t="shared" ref="AF58:AK58" si="137">+AF56+AF57</f>
        <v>221062</v>
      </c>
      <c r="AG58" s="70">
        <f t="shared" si="137"/>
        <v>221061</v>
      </c>
      <c r="AH58" s="70">
        <f t="shared" si="137"/>
        <v>232751</v>
      </c>
      <c r="AI58" s="70">
        <f t="shared" si="137"/>
        <v>232751</v>
      </c>
      <c r="AJ58" s="70">
        <f t="shared" si="137"/>
        <v>410040</v>
      </c>
      <c r="AK58" s="70">
        <f t="shared" si="137"/>
        <v>410041</v>
      </c>
      <c r="AN58" s="70">
        <f t="shared" ref="AN58:AO58" si="138">+AN56+AN57</f>
        <v>330265</v>
      </c>
      <c r="AO58" s="70">
        <f t="shared" si="138"/>
        <v>330265</v>
      </c>
      <c r="AQ58" s="70">
        <f t="shared" ref="AQ58:AV58" si="139">+AQ56+AQ57</f>
        <v>223282</v>
      </c>
      <c r="AR58" s="70">
        <f t="shared" si="139"/>
        <v>223282</v>
      </c>
      <c r="AS58" s="70">
        <f t="shared" si="139"/>
        <v>219485</v>
      </c>
      <c r="AT58" s="70">
        <f t="shared" si="139"/>
        <v>219485</v>
      </c>
      <c r="AU58" s="70">
        <f t="shared" si="139"/>
        <v>516567</v>
      </c>
      <c r="AV58" s="70">
        <f t="shared" si="139"/>
        <v>296804</v>
      </c>
      <c r="AX58" s="70">
        <v>26375</v>
      </c>
      <c r="AY58" s="385">
        <v>61834</v>
      </c>
      <c r="AZ58" s="385">
        <v>77831</v>
      </c>
      <c r="BA58" s="385">
        <f t="shared" ref="BA58" si="140">+BA56+BA57</f>
        <v>-12095</v>
      </c>
      <c r="BC58" s="385">
        <f t="shared" ref="BC58:BF58" si="141">+BC56+BC57</f>
        <v>190588</v>
      </c>
      <c r="BD58" s="385">
        <f t="shared" si="141"/>
        <v>392418</v>
      </c>
      <c r="BE58" s="385">
        <f t="shared" si="141"/>
        <v>374667</v>
      </c>
      <c r="BF58" s="385">
        <f t="shared" si="141"/>
        <v>248360</v>
      </c>
      <c r="BH58" s="385">
        <f t="shared" ref="BH58" si="142">+BH56+BH57</f>
        <v>314927</v>
      </c>
    </row>
    <row r="59" spans="2:60" s="2" customFormat="1" ht="16.5" hidden="1" customHeight="1">
      <c r="B59" s="72" t="s">
        <v>48</v>
      </c>
      <c r="C59" s="73">
        <v>145.26</v>
      </c>
      <c r="D59" s="73">
        <v>302.36</v>
      </c>
      <c r="E59" s="73">
        <v>90.97</v>
      </c>
      <c r="F59" s="73">
        <v>-44.45</v>
      </c>
      <c r="G59" s="54"/>
      <c r="H59" s="73">
        <v>32.159999999999997</v>
      </c>
      <c r="I59" s="73">
        <v>140.63999999999999</v>
      </c>
      <c r="J59" s="73">
        <v>63.76</v>
      </c>
      <c r="K59" s="73">
        <v>5.73</v>
      </c>
      <c r="L59" s="73" t="e">
        <f>+#REF!-J59-I59-H59</f>
        <v>#REF!</v>
      </c>
      <c r="N59" s="73">
        <v>32.159999999999997</v>
      </c>
      <c r="O59" s="73">
        <v>32.159999999999997</v>
      </c>
      <c r="P59" s="73">
        <v>32.159999999999997</v>
      </c>
      <c r="Q59" s="73">
        <v>32.159999999999997</v>
      </c>
      <c r="R59" s="73">
        <v>32.159999999999997</v>
      </c>
      <c r="S59" s="73">
        <v>32.159999999999997</v>
      </c>
      <c r="T59" s="73"/>
      <c r="U59" s="73"/>
      <c r="W59" s="73">
        <v>32.159999999999997</v>
      </c>
      <c r="X59" s="73">
        <v>32.159999999999997</v>
      </c>
      <c r="Y59" s="73">
        <v>32.159999999999997</v>
      </c>
      <c r="Z59" s="73">
        <v>32.159999999999997</v>
      </c>
      <c r="AA59" s="73">
        <v>32.159999999999997</v>
      </c>
      <c r="AB59" s="73">
        <v>32.159999999999997</v>
      </c>
      <c r="AC59" s="73">
        <v>32.159999999999997</v>
      </c>
      <c r="AD59" s="73">
        <v>32.159999999999997</v>
      </c>
      <c r="AE59" s="73"/>
      <c r="AF59" s="73">
        <v>32.159999999999997</v>
      </c>
      <c r="AG59" s="73">
        <v>32.159999999999997</v>
      </c>
      <c r="AH59" s="73">
        <v>32.159999999999997</v>
      </c>
      <c r="AI59" s="73">
        <v>32.159999999999997</v>
      </c>
      <c r="AJ59" s="73">
        <v>32.159999999999997</v>
      </c>
      <c r="AK59" s="73">
        <v>32.159999999999997</v>
      </c>
      <c r="AN59" s="73">
        <v>32.159999999999997</v>
      </c>
      <c r="AO59" s="73">
        <v>32.159999999999997</v>
      </c>
      <c r="AQ59" s="73">
        <v>32.159999999999997</v>
      </c>
      <c r="AR59" s="73">
        <v>32.159999999999997</v>
      </c>
      <c r="AS59" s="73">
        <v>32.159999999999997</v>
      </c>
      <c r="AT59" s="73">
        <v>32.159999999999997</v>
      </c>
      <c r="AU59" s="73">
        <v>32.159999999999997</v>
      </c>
      <c r="AV59" s="73">
        <v>32.159999999999997</v>
      </c>
      <c r="AX59" s="73">
        <v>32.159999999999997</v>
      </c>
      <c r="AY59" s="393">
        <v>32.159999999999997</v>
      </c>
      <c r="AZ59" s="393">
        <v>32.159999999999997</v>
      </c>
      <c r="BA59" s="393">
        <v>32.159999999999997</v>
      </c>
      <c r="BC59" s="393">
        <v>32.159999999999997</v>
      </c>
      <c r="BD59" s="393">
        <v>32.159999999999997</v>
      </c>
      <c r="BE59" s="393">
        <v>32.159999999999997</v>
      </c>
      <c r="BF59" s="393">
        <v>32.159999999999997</v>
      </c>
      <c r="BH59" s="393">
        <v>32.159999999999997</v>
      </c>
    </row>
    <row r="60" spans="2:60" s="21" customFormat="1" ht="16.5" customHeight="1">
      <c r="B60" s="92" t="s">
        <v>8</v>
      </c>
      <c r="C60" s="93">
        <f t="shared" ref="C60:U60" si="143">+C58/C10</f>
        <v>0.1278350470499722</v>
      </c>
      <c r="D60" s="93">
        <f t="shared" si="143"/>
        <v>0.22324543577931458</v>
      </c>
      <c r="E60" s="93">
        <f t="shared" si="143"/>
        <v>7.965341891509721E-2</v>
      </c>
      <c r="F60" s="93">
        <f t="shared" si="143"/>
        <v>-4.8955822877770769E-2</v>
      </c>
      <c r="G60" s="93" t="e">
        <f t="shared" si="143"/>
        <v>#DIV/0!</v>
      </c>
      <c r="H60" s="93">
        <f t="shared" si="143"/>
        <v>3.4758400218172725E-2</v>
      </c>
      <c r="I60" s="93">
        <f t="shared" si="143"/>
        <v>0.12438598097948995</v>
      </c>
      <c r="J60" s="93">
        <f t="shared" si="143"/>
        <v>5.8761215555640643E-2</v>
      </c>
      <c r="K60" s="93">
        <f t="shared" si="143"/>
        <v>2.0996537286456112E-3</v>
      </c>
      <c r="L60" s="93">
        <f t="shared" si="143"/>
        <v>3.3279705607799233E-3</v>
      </c>
      <c r="M60" s="93" t="e">
        <f t="shared" si="143"/>
        <v>#DIV/0!</v>
      </c>
      <c r="N60" s="93">
        <f t="shared" si="143"/>
        <v>5.6198600982758702E-2</v>
      </c>
      <c r="O60" s="93">
        <f t="shared" si="143"/>
        <v>5.331610030611298E-2</v>
      </c>
      <c r="P60" s="93">
        <f t="shared" si="143"/>
        <v>0.10632369744731479</v>
      </c>
      <c r="Q60" s="93">
        <f t="shared" si="143"/>
        <v>0.10894557286449681</v>
      </c>
      <c r="R60" s="93">
        <f t="shared" si="143"/>
        <v>8.6430008610344014E-2</v>
      </c>
      <c r="S60" s="93">
        <f t="shared" si="143"/>
        <v>9.646637884889156E-2</v>
      </c>
      <c r="T60" s="93">
        <f t="shared" si="143"/>
        <v>6.7511733472840507E-2</v>
      </c>
      <c r="U60" s="93">
        <f t="shared" si="143"/>
        <v>5.8964382001954911E-2</v>
      </c>
      <c r="W60" s="93">
        <f t="shared" ref="W60:AD60" si="144">+W58/W10</f>
        <v>4.3133342904818725E-2</v>
      </c>
      <c r="X60" s="93">
        <f t="shared" si="144"/>
        <v>4.3133342904818725E-2</v>
      </c>
      <c r="Y60" s="93">
        <f t="shared" si="144"/>
        <v>6.0431967054244543E-2</v>
      </c>
      <c r="Z60" s="93">
        <f t="shared" si="144"/>
        <v>6.0431406065355769E-2</v>
      </c>
      <c r="AA60" s="93">
        <f t="shared" si="144"/>
        <v>0.11106968398260519</v>
      </c>
      <c r="AB60" s="93">
        <f t="shared" si="144"/>
        <v>0.11107020317798075</v>
      </c>
      <c r="AC60" s="93">
        <f t="shared" si="144"/>
        <v>2.6417427826383344E-2</v>
      </c>
      <c r="AD60" s="93">
        <f t="shared" si="144"/>
        <v>2.6417970936717532E-2</v>
      </c>
      <c r="AE60" s="93"/>
      <c r="AF60" s="93">
        <f t="shared" ref="AF60:AK60" si="145">+AF58/AF10</f>
        <v>6.6775087855598436E-2</v>
      </c>
      <c r="AG60" s="93">
        <f t="shared" si="145"/>
        <v>6.6827148640609055E-2</v>
      </c>
      <c r="AH60" s="93">
        <f t="shared" si="145"/>
        <v>6.4347227482714098E-2</v>
      </c>
      <c r="AI60" s="93">
        <f t="shared" si="145"/>
        <v>6.4431019104718573E-2</v>
      </c>
      <c r="AJ60" s="93">
        <f t="shared" si="145"/>
        <v>0.11270278337724648</v>
      </c>
      <c r="AK60" s="93">
        <f t="shared" si="145"/>
        <v>0.11282151604849409</v>
      </c>
      <c r="AN60" s="93">
        <f>+AN58/AN10</f>
        <v>8.8114959119450706E-2</v>
      </c>
      <c r="AO60" s="93">
        <f>+AO58/AO10</f>
        <v>8.8308628985573123E-2</v>
      </c>
      <c r="AQ60" s="93">
        <f t="shared" ref="AQ60:AV60" si="146">+AQ58/AQ10</f>
        <v>6.0000816915306308E-2</v>
      </c>
      <c r="AR60" s="93">
        <f t="shared" si="146"/>
        <v>6.0104379547896797E-2</v>
      </c>
      <c r="AS60" s="93">
        <f t="shared" si="146"/>
        <v>5.6853062478403424E-2</v>
      </c>
      <c r="AT60" s="93">
        <f t="shared" si="146"/>
        <v>5.6059801889765871E-2</v>
      </c>
      <c r="AU60" s="93">
        <f t="shared" si="146"/>
        <v>9.8813681844379747E-2</v>
      </c>
      <c r="AV60" s="93">
        <f t="shared" si="146"/>
        <v>7.5315595497771518E-2</v>
      </c>
      <c r="AX60" s="93">
        <v>7.2944110015482127E-3</v>
      </c>
      <c r="AY60" s="281">
        <v>1.8481031045107475E-2</v>
      </c>
      <c r="AZ60" s="281">
        <v>2.253891554545473E-2</v>
      </c>
      <c r="BA60" s="281">
        <f>+BA58/BA10</f>
        <v>-3.3825081122864048E-3</v>
      </c>
      <c r="BC60" s="281">
        <f>+BC58/BC10</f>
        <v>5.1054724145154558E-2</v>
      </c>
      <c r="BD60" s="281">
        <f>+BD58/BD10</f>
        <v>9.7455833969101666E-2</v>
      </c>
      <c r="BE60" s="281">
        <f>+BE58/BE10</f>
        <v>9.1039907275450957E-2</v>
      </c>
      <c r="BF60" s="281">
        <f>+BF58/BF10</f>
        <v>5.6011795945301673E-2</v>
      </c>
      <c r="BH60" s="281">
        <f>+BH58/BH10</f>
        <v>6.825899434012607E-2</v>
      </c>
    </row>
    <row r="61" spans="2:60" ht="6" customHeight="1">
      <c r="B61" s="10"/>
      <c r="C61" s="57"/>
      <c r="D61" s="58"/>
      <c r="E61" s="58"/>
      <c r="F61" s="58"/>
      <c r="G61" s="54"/>
      <c r="H61" s="58"/>
      <c r="I61" s="58"/>
      <c r="J61" s="58"/>
      <c r="K61" s="58"/>
      <c r="L61" s="58"/>
      <c r="N61" s="58"/>
      <c r="O61" s="58"/>
      <c r="P61" s="58"/>
      <c r="Q61" s="58"/>
      <c r="R61" s="58"/>
      <c r="S61" s="58"/>
      <c r="T61" s="58"/>
      <c r="U61" s="58"/>
      <c r="W61" s="58"/>
      <c r="X61" s="58"/>
      <c r="Y61" s="58"/>
      <c r="Z61" s="58"/>
      <c r="AA61" s="58"/>
      <c r="AB61" s="58"/>
      <c r="AC61" s="58"/>
      <c r="AD61" s="58"/>
      <c r="AE61" s="58"/>
      <c r="AF61" s="58"/>
      <c r="AG61" s="58"/>
      <c r="AH61" s="58"/>
      <c r="AI61" s="58"/>
      <c r="AJ61" s="58"/>
      <c r="AK61" s="58"/>
      <c r="AN61" s="58"/>
      <c r="AO61" s="58"/>
      <c r="AQ61" s="58"/>
      <c r="AR61" s="58"/>
      <c r="AS61" s="58"/>
      <c r="AT61" s="58"/>
      <c r="AU61" s="58"/>
      <c r="AV61" s="58"/>
      <c r="AX61" s="58"/>
      <c r="AY61" s="58"/>
      <c r="AZ61" s="58"/>
      <c r="BA61" s="58"/>
      <c r="BC61" s="58"/>
      <c r="BD61" s="58"/>
      <c r="BE61" s="58"/>
      <c r="BF61" s="58"/>
      <c r="BH61" s="58"/>
    </row>
    <row r="62" spans="2:60" ht="16.5" customHeight="1">
      <c r="B62" s="8" t="s">
        <v>45</v>
      </c>
      <c r="C62" s="59"/>
      <c r="D62" s="79"/>
      <c r="E62" s="79"/>
      <c r="F62" s="79"/>
      <c r="G62" s="54"/>
      <c r="H62" s="79"/>
      <c r="I62" s="79"/>
      <c r="J62" s="79"/>
      <c r="K62" s="79"/>
      <c r="L62" s="79"/>
      <c r="N62" s="79"/>
      <c r="O62" s="79"/>
      <c r="P62" s="79"/>
      <c r="Q62" s="79"/>
      <c r="R62" s="79"/>
      <c r="S62" s="79"/>
      <c r="T62" s="79"/>
      <c r="U62" s="79"/>
      <c r="W62" s="79"/>
      <c r="X62" s="79"/>
      <c r="Y62" s="79"/>
      <c r="Z62" s="79"/>
      <c r="AA62" s="79"/>
      <c r="AB62" s="79"/>
      <c r="AC62" s="79"/>
      <c r="AD62" s="79"/>
      <c r="AE62" s="79"/>
      <c r="AF62" s="79"/>
      <c r="AG62" s="79"/>
      <c r="AH62" s="79"/>
      <c r="AI62" s="79"/>
      <c r="AJ62" s="79"/>
      <c r="AK62" s="79"/>
      <c r="AN62" s="79"/>
      <c r="AO62" s="79"/>
      <c r="AQ62" s="79"/>
      <c r="AR62" s="79"/>
      <c r="AS62" s="79"/>
      <c r="AT62" s="79"/>
      <c r="AU62" s="79"/>
      <c r="AV62" s="79"/>
      <c r="AX62" s="79"/>
      <c r="AY62" s="394"/>
      <c r="AZ62" s="394"/>
      <c r="BA62" s="394"/>
      <c r="BC62" s="394"/>
      <c r="BD62" s="394"/>
      <c r="BE62" s="394"/>
      <c r="BF62" s="394"/>
      <c r="BH62" s="394"/>
    </row>
    <row r="63" spans="2:60" ht="16.5" customHeight="1">
      <c r="B63" s="65" t="s">
        <v>28</v>
      </c>
      <c r="C63" s="74">
        <v>134785</v>
      </c>
      <c r="D63" s="38">
        <v>153256</v>
      </c>
      <c r="E63" s="38">
        <f>72638-1</f>
        <v>72637</v>
      </c>
      <c r="F63" s="38">
        <v>48626</v>
      </c>
      <c r="G63" s="54"/>
      <c r="H63" s="38">
        <v>40116</v>
      </c>
      <c r="I63" s="38">
        <f>112642+1</f>
        <v>112643</v>
      </c>
      <c r="J63" s="38">
        <v>105978</v>
      </c>
      <c r="K63" s="38">
        <v>83418</v>
      </c>
      <c r="L63" s="215">
        <v>62752</v>
      </c>
      <c r="N63" s="38">
        <v>116044</v>
      </c>
      <c r="O63" s="38">
        <v>109607</v>
      </c>
      <c r="P63" s="38">
        <v>220642</v>
      </c>
      <c r="Q63" s="38">
        <f>222491</f>
        <v>222491</v>
      </c>
      <c r="R63" s="38">
        <v>153839</v>
      </c>
      <c r="S63" s="38">
        <v>170606</v>
      </c>
      <c r="T63" s="38">
        <v>52011</v>
      </c>
      <c r="U63" s="38">
        <v>39832</v>
      </c>
      <c r="W63" s="38">
        <v>24127</v>
      </c>
      <c r="X63" s="38">
        <v>24127</v>
      </c>
      <c r="Y63" s="38">
        <v>109632</v>
      </c>
      <c r="Z63" s="38">
        <v>109632</v>
      </c>
      <c r="AA63" s="38">
        <f>111719-1</f>
        <v>111718</v>
      </c>
      <c r="AB63" s="38">
        <f>111719-1</f>
        <v>111718</v>
      </c>
      <c r="AC63" s="38">
        <v>50447</v>
      </c>
      <c r="AD63" s="38">
        <v>50447</v>
      </c>
      <c r="AE63" s="38"/>
      <c r="AF63" s="38">
        <v>111597</v>
      </c>
      <c r="AG63" s="38">
        <v>111597</v>
      </c>
      <c r="AH63" s="38">
        <v>113642</v>
      </c>
      <c r="AI63" s="38">
        <v>113642</v>
      </c>
      <c r="AJ63" s="38">
        <v>144321</v>
      </c>
      <c r="AK63" s="38">
        <v>144321</v>
      </c>
      <c r="AN63" s="38">
        <f>153229+1+1</f>
        <v>153231</v>
      </c>
      <c r="AO63" s="38">
        <f>153229+1+1</f>
        <v>153231</v>
      </c>
      <c r="AQ63" s="38">
        <f>79049-1</f>
        <v>79048</v>
      </c>
      <c r="AR63" s="38">
        <f>79049</f>
        <v>79049</v>
      </c>
      <c r="AS63" s="38">
        <f>98904-1</f>
        <v>98903</v>
      </c>
      <c r="AT63" s="38">
        <f>98904-1-1</f>
        <v>98902</v>
      </c>
      <c r="AU63" s="38">
        <f>215165+1</f>
        <v>215166</v>
      </c>
      <c r="AV63" s="38">
        <v>173455</v>
      </c>
      <c r="AX63" s="38">
        <v>58564</v>
      </c>
      <c r="AY63" s="215">
        <v>52227</v>
      </c>
      <c r="AZ63" s="215">
        <v>70975</v>
      </c>
      <c r="BA63" s="215">
        <v>72192</v>
      </c>
      <c r="BC63" s="215">
        <v>116699</v>
      </c>
      <c r="BD63" s="215">
        <f>180927-1</f>
        <v>180926</v>
      </c>
      <c r="BE63" s="215">
        <f>163287+1</f>
        <v>163288</v>
      </c>
      <c r="BF63" s="215">
        <v>155321</v>
      </c>
      <c r="BH63" s="215">
        <v>153519</v>
      </c>
    </row>
    <row r="64" spans="2:60" ht="17.25" customHeight="1">
      <c r="B64" s="101" t="s">
        <v>29</v>
      </c>
      <c r="C64" s="102">
        <f>+C58-C63</f>
        <v>158312</v>
      </c>
      <c r="D64" s="102">
        <f>+D58-D63</f>
        <v>414937.79061002983</v>
      </c>
      <c r="E64" s="102">
        <f>+E58-E63</f>
        <v>105368</v>
      </c>
      <c r="F64" s="102">
        <f>+F58-F63</f>
        <v>-157485</v>
      </c>
      <c r="G64" s="89"/>
      <c r="H64" s="102">
        <f>+H58-H63</f>
        <v>51650</v>
      </c>
      <c r="I64" s="102">
        <f t="shared" ref="I64:L64" si="147">+I58-I63</f>
        <v>241841</v>
      </c>
      <c r="J64" s="102">
        <f t="shared" si="147"/>
        <v>82786</v>
      </c>
      <c r="K64" s="102">
        <f t="shared" si="147"/>
        <v>-75277</v>
      </c>
      <c r="L64" s="102">
        <f t="shared" si="147"/>
        <v>-49447</v>
      </c>
      <c r="N64" s="102">
        <f t="shared" ref="N64:T64" si="148">+N58-N63</f>
        <v>111905</v>
      </c>
      <c r="O64" s="102">
        <f t="shared" si="148"/>
        <v>105930</v>
      </c>
      <c r="P64" s="102">
        <f t="shared" si="148"/>
        <v>140395</v>
      </c>
      <c r="Q64" s="102">
        <f t="shared" si="148"/>
        <v>146222</v>
      </c>
      <c r="R64" s="102">
        <f t="shared" si="148"/>
        <v>136759</v>
      </c>
      <c r="S64" s="102">
        <f t="shared" ref="S64" si="149">+S58-S63</f>
        <v>157565</v>
      </c>
      <c r="T64" s="102">
        <f t="shared" si="148"/>
        <v>200407</v>
      </c>
      <c r="U64" s="102">
        <f t="shared" ref="U64" si="150">+U58-U63</f>
        <v>179749</v>
      </c>
      <c r="W64" s="102">
        <f t="shared" ref="W64:AC64" si="151">+W58-W63</f>
        <v>120680</v>
      </c>
      <c r="X64" s="102">
        <f t="shared" si="151"/>
        <v>120680</v>
      </c>
      <c r="Y64" s="102">
        <f t="shared" si="151"/>
        <v>105816</v>
      </c>
      <c r="Z64" s="102">
        <f t="shared" si="151"/>
        <v>105814</v>
      </c>
      <c r="AA64" s="102">
        <f t="shared" si="151"/>
        <v>339896</v>
      </c>
      <c r="AB64" s="102">
        <f t="shared" si="151"/>
        <v>339898</v>
      </c>
      <c r="AC64" s="102">
        <f t="shared" si="151"/>
        <v>44265</v>
      </c>
      <c r="AD64" s="102">
        <f t="shared" ref="AD64" si="152">+AD58-AD63</f>
        <v>44267</v>
      </c>
      <c r="AE64" s="282"/>
      <c r="AF64" s="102">
        <f t="shared" ref="AF64:AK64" si="153">+AF58-AF63</f>
        <v>109465</v>
      </c>
      <c r="AG64" s="102">
        <f t="shared" si="153"/>
        <v>109464</v>
      </c>
      <c r="AH64" s="102">
        <f t="shared" si="153"/>
        <v>119109</v>
      </c>
      <c r="AI64" s="102">
        <f t="shared" si="153"/>
        <v>119109</v>
      </c>
      <c r="AJ64" s="102">
        <f t="shared" si="153"/>
        <v>265719</v>
      </c>
      <c r="AK64" s="102">
        <f t="shared" si="153"/>
        <v>265720</v>
      </c>
      <c r="AN64" s="102">
        <f t="shared" ref="AN64:AO64" si="154">+AN58-AN63</f>
        <v>177034</v>
      </c>
      <c r="AO64" s="102">
        <f t="shared" si="154"/>
        <v>177034</v>
      </c>
      <c r="AQ64" s="102">
        <f t="shared" ref="AQ64:AV64" si="155">+AQ58-AQ63</f>
        <v>144234</v>
      </c>
      <c r="AR64" s="102">
        <f t="shared" si="155"/>
        <v>144233</v>
      </c>
      <c r="AS64" s="102">
        <f t="shared" si="155"/>
        <v>120582</v>
      </c>
      <c r="AT64" s="102">
        <f t="shared" si="155"/>
        <v>120583</v>
      </c>
      <c r="AU64" s="102">
        <f t="shared" si="155"/>
        <v>301401</v>
      </c>
      <c r="AV64" s="102">
        <f t="shared" si="155"/>
        <v>123349</v>
      </c>
      <c r="AX64" s="102">
        <v>-32189</v>
      </c>
      <c r="AY64" s="395">
        <v>9607</v>
      </c>
      <c r="AZ64" s="395">
        <v>6856</v>
      </c>
      <c r="BA64" s="395">
        <f t="shared" ref="BA64" si="156">+BA58-BA63</f>
        <v>-84287</v>
      </c>
      <c r="BC64" s="395">
        <f t="shared" ref="BC64:BF64" si="157">+BC58-BC63</f>
        <v>73889</v>
      </c>
      <c r="BD64" s="395">
        <f t="shared" si="157"/>
        <v>211492</v>
      </c>
      <c r="BE64" s="395">
        <f t="shared" si="157"/>
        <v>211379</v>
      </c>
      <c r="BF64" s="395">
        <f t="shared" si="157"/>
        <v>93039</v>
      </c>
      <c r="BH64" s="395">
        <f t="shared" ref="BH64" si="158">+BH58-BH63</f>
        <v>161408</v>
      </c>
    </row>
    <row r="65" spans="2:60" ht="17.25" hidden="1" customHeight="1">
      <c r="B65" s="103" t="s">
        <v>48</v>
      </c>
      <c r="C65" s="91">
        <v>78.400000000000006</v>
      </c>
      <c r="D65" s="91">
        <v>221.01</v>
      </c>
      <c r="E65" s="91">
        <v>53.6</v>
      </c>
      <c r="F65" s="91">
        <v>-41.9</v>
      </c>
      <c r="G65" s="89"/>
      <c r="H65" s="91">
        <v>17.36</v>
      </c>
      <c r="I65" s="91">
        <v>95.76</v>
      </c>
      <c r="J65" s="91">
        <v>27.22</v>
      </c>
      <c r="K65" s="91">
        <v>-22.77</v>
      </c>
      <c r="L65" s="91" t="e">
        <f>+#REF!-J65-I65-H65</f>
        <v>#REF!</v>
      </c>
      <c r="M65" s="12"/>
      <c r="N65" s="91">
        <v>17.36</v>
      </c>
      <c r="O65" s="91">
        <v>17.36</v>
      </c>
      <c r="P65" s="91">
        <v>17.36</v>
      </c>
      <c r="Q65" s="91">
        <v>17.36</v>
      </c>
      <c r="R65" s="91">
        <v>17.36</v>
      </c>
      <c r="S65" s="91">
        <v>17.36</v>
      </c>
      <c r="T65" s="91"/>
      <c r="U65" s="91"/>
      <c r="W65" s="91">
        <v>17.36</v>
      </c>
      <c r="X65" s="91">
        <v>17.36</v>
      </c>
      <c r="Y65" s="91">
        <v>17.36</v>
      </c>
      <c r="Z65" s="91">
        <v>17.36</v>
      </c>
      <c r="AA65" s="91">
        <v>17.36</v>
      </c>
      <c r="AB65" s="91">
        <v>17.36</v>
      </c>
      <c r="AC65" s="91">
        <v>17.36</v>
      </c>
      <c r="AD65" s="91">
        <v>17.36</v>
      </c>
      <c r="AE65" s="73"/>
      <c r="AF65" s="91">
        <v>17.36</v>
      </c>
      <c r="AG65" s="91">
        <v>17.36</v>
      </c>
      <c r="AH65" s="91">
        <v>17.36</v>
      </c>
      <c r="AI65" s="91">
        <v>17.36</v>
      </c>
      <c r="AJ65" s="91">
        <v>17.36</v>
      </c>
      <c r="AK65" s="91">
        <v>17.36</v>
      </c>
      <c r="AN65" s="91">
        <v>17.36</v>
      </c>
      <c r="AO65" s="91">
        <v>17.36</v>
      </c>
      <c r="AQ65" s="91">
        <v>17.36</v>
      </c>
      <c r="AR65" s="91">
        <v>17.36</v>
      </c>
      <c r="AS65" s="91">
        <v>17.36</v>
      </c>
      <c r="AT65" s="91">
        <v>17.36</v>
      </c>
      <c r="AU65" s="91">
        <v>17.36</v>
      </c>
      <c r="AV65" s="91">
        <v>17.36</v>
      </c>
      <c r="AX65" s="91">
        <v>17.36</v>
      </c>
      <c r="AY65" s="381">
        <v>17.36</v>
      </c>
      <c r="AZ65" s="381">
        <v>17.36</v>
      </c>
      <c r="BA65" s="381">
        <v>17.36</v>
      </c>
      <c r="BC65" s="381">
        <v>17.36</v>
      </c>
      <c r="BD65" s="381">
        <v>17.36</v>
      </c>
      <c r="BE65" s="381">
        <v>17.36</v>
      </c>
      <c r="BF65" s="381">
        <v>17.36</v>
      </c>
      <c r="BH65" s="381">
        <v>17.36</v>
      </c>
    </row>
    <row r="66" spans="2:60" s="21" customFormat="1" ht="16.5" customHeight="1">
      <c r="B66" s="104" t="s">
        <v>46</v>
      </c>
      <c r="C66" s="105">
        <f>+C64/C$10</f>
        <v>6.9048205776842467E-2</v>
      </c>
      <c r="D66" s="105">
        <f>+D64/D$10</f>
        <v>0.1630305881846906</v>
      </c>
      <c r="E66" s="105">
        <f>+E64/E$10</f>
        <v>4.7149919632852803E-2</v>
      </c>
      <c r="F66" s="105">
        <f>+F64/F$10</f>
        <v>-7.0823797443534564E-2</v>
      </c>
      <c r="G66" s="100"/>
      <c r="H66" s="105">
        <f>+H64/H$10</f>
        <v>1.9563578790277678E-2</v>
      </c>
      <c r="I66" s="105">
        <f>+I64/I$10</f>
        <v>8.4860332274688921E-2</v>
      </c>
      <c r="J66" s="105">
        <f>+J64/J$10</f>
        <v>2.5770835492939681E-2</v>
      </c>
      <c r="K66" s="105">
        <f>+K64/K$10</f>
        <v>-1.9414768914292554E-2</v>
      </c>
      <c r="L66" s="105">
        <f>+L64/L$10</f>
        <v>-1.2368144330618929E-2</v>
      </c>
      <c r="N66" s="105">
        <f t="shared" ref="N66:T66" si="159">+N64/N$10</f>
        <v>2.7589085466378938E-2</v>
      </c>
      <c r="O66" s="105">
        <f t="shared" si="159"/>
        <v>2.6203271389258216E-2</v>
      </c>
      <c r="P66" s="105">
        <f t="shared" si="159"/>
        <v>4.1345666796244594E-2</v>
      </c>
      <c r="Q66" s="105">
        <f t="shared" si="159"/>
        <v>4.3204984785978395E-2</v>
      </c>
      <c r="R66" s="105">
        <f t="shared" si="159"/>
        <v>4.0675027176863006E-2</v>
      </c>
      <c r="S66" s="105">
        <f t="shared" ref="S66" si="160">+S64/S$10</f>
        <v>4.6316478248613062E-2</v>
      </c>
      <c r="T66" s="105">
        <f t="shared" si="159"/>
        <v>5.3600868282339398E-2</v>
      </c>
      <c r="U66" s="105">
        <f t="shared" ref="U66" si="161">+U64/U$10</f>
        <v>4.8268241334493388E-2</v>
      </c>
      <c r="W66" s="105">
        <f t="shared" ref="W66:AC66" si="162">+W64/W$10</f>
        <v>3.5946686429202485E-2</v>
      </c>
      <c r="X66" s="105">
        <f t="shared" si="162"/>
        <v>3.5946686429202485E-2</v>
      </c>
      <c r="Y66" s="105">
        <f t="shared" si="162"/>
        <v>2.9680800127232281E-2</v>
      </c>
      <c r="Z66" s="105">
        <f t="shared" si="162"/>
        <v>2.9680239138343507E-2</v>
      </c>
      <c r="AA66" s="105">
        <f t="shared" si="162"/>
        <v>8.3593824166105515E-2</v>
      </c>
      <c r="AB66" s="105">
        <f t="shared" ref="AB66" si="163">+AB64/AB$10</f>
        <v>8.3594336604082442E-2</v>
      </c>
      <c r="AC66" s="105">
        <f t="shared" si="162"/>
        <v>1.234656054918974E-2</v>
      </c>
      <c r="AD66" s="105">
        <f t="shared" ref="AD66" si="164">+AD64/AD$10</f>
        <v>1.2347111508918164E-2</v>
      </c>
      <c r="AE66" s="93"/>
      <c r="AF66" s="105">
        <f t="shared" ref="AF66:AK66" si="165">+AF64/AF$10</f>
        <v>3.30655426627511E-2</v>
      </c>
      <c r="AG66" s="105">
        <f t="shared" si="165"/>
        <v>3.3091169400281506E-2</v>
      </c>
      <c r="AH66" s="105">
        <f t="shared" si="165"/>
        <v>3.2929327557082867E-2</v>
      </c>
      <c r="AI66" s="105">
        <f t="shared" si="165"/>
        <v>3.2972207442906472E-2</v>
      </c>
      <c r="AJ66" s="105">
        <f t="shared" si="165"/>
        <v>7.303499877138464E-2</v>
      </c>
      <c r="AK66" s="105">
        <f t="shared" si="165"/>
        <v>7.3112038172782362E-2</v>
      </c>
      <c r="AN66" s="105">
        <f t="shared" ref="AN66:AO66" si="166">+AN64/AN$10</f>
        <v>4.7232809025336733E-2</v>
      </c>
      <c r="AO66" s="105">
        <f t="shared" si="166"/>
        <v>4.7336623087011802E-2</v>
      </c>
      <c r="AQ66" s="105">
        <f t="shared" ref="AQ66:AV66" si="167">+AQ64/AQ$10</f>
        <v>3.8758869174238361E-2</v>
      </c>
      <c r="AR66" s="105">
        <f t="shared" si="167"/>
        <v>3.8825498586235338E-2</v>
      </c>
      <c r="AS66" s="105">
        <f t="shared" si="167"/>
        <v>3.1234280154775234E-2</v>
      </c>
      <c r="AT66" s="105">
        <f t="shared" si="167"/>
        <v>3.0798729258371359E-2</v>
      </c>
      <c r="AU66" s="105">
        <f t="shared" si="167"/>
        <v>5.7654752474660398E-2</v>
      </c>
      <c r="AV66" s="105">
        <f t="shared" si="167"/>
        <v>3.1300465590270408E-2</v>
      </c>
      <c r="AX66" s="105">
        <v>-8.9023619233681676E-3</v>
      </c>
      <c r="AY66" s="99">
        <v>2.8713533856834028E-3</v>
      </c>
      <c r="AZ66" s="99">
        <v>1.9854146160223772E-3</v>
      </c>
      <c r="BA66" s="99">
        <f t="shared" ref="BA66" si="168">+BA64/BA$10</f>
        <v>-2.3571844668068144E-2</v>
      </c>
      <c r="BC66" s="99">
        <f t="shared" ref="BC66:BF66" si="169">+BC64/BC$10</f>
        <v>1.9793389470277905E-2</v>
      </c>
      <c r="BD66" s="99">
        <f t="shared" si="169"/>
        <v>5.2523404221501688E-2</v>
      </c>
      <c r="BE66" s="99">
        <f t="shared" si="169"/>
        <v>5.1362742275080399E-2</v>
      </c>
      <c r="BF66" s="99">
        <f t="shared" si="169"/>
        <v>2.0982772922189249E-2</v>
      </c>
      <c r="BH66" s="99">
        <f t="shared" ref="BH66" si="170">+BH64/BH$10</f>
        <v>3.4984449597687935E-2</v>
      </c>
    </row>
    <row r="67" spans="2:60" ht="16.5" customHeight="1">
      <c r="B67" s="8"/>
      <c r="C67" s="9"/>
      <c r="D67" s="59"/>
      <c r="E67" s="59"/>
      <c r="F67" s="59"/>
      <c r="G67" s="7"/>
      <c r="H67" s="4"/>
      <c r="I67" s="4"/>
      <c r="N67" s="4"/>
      <c r="O67" s="4"/>
    </row>
    <row r="68" spans="2:60" ht="16.5" hidden="1" customHeight="1">
      <c r="C68" s="80" t="e">
        <f>+#REF!</f>
        <v>#REF!</v>
      </c>
      <c r="D68" s="81">
        <v>18436</v>
      </c>
      <c r="E68" s="81"/>
      <c r="F68" s="81"/>
      <c r="G68" s="80"/>
      <c r="H68" s="4"/>
      <c r="I68" s="4"/>
      <c r="N68" s="4"/>
      <c r="O68" s="4"/>
    </row>
    <row r="69" spans="2:60" ht="16.5" hidden="1" customHeight="1">
      <c r="B69" s="3" t="s">
        <v>43</v>
      </c>
      <c r="C69" s="80" t="e">
        <f>+C64-C68</f>
        <v>#REF!</v>
      </c>
      <c r="D69" s="81">
        <f>+D64-D68</f>
        <v>396501.79061002983</v>
      </c>
      <c r="E69" s="81"/>
      <c r="F69" s="81"/>
      <c r="G69" s="80"/>
      <c r="H69" s="4"/>
      <c r="I69" s="4"/>
      <c r="N69" s="4"/>
      <c r="O69" s="4"/>
    </row>
    <row r="70" spans="2:60" ht="16.5" hidden="1" customHeight="1">
      <c r="C70" s="80"/>
      <c r="D70" s="82"/>
      <c r="E70" s="82"/>
      <c r="F70" s="82"/>
      <c r="G70" s="80"/>
      <c r="H70" s="4"/>
      <c r="I70" s="4"/>
      <c r="N70" s="4"/>
      <c r="O70" s="4"/>
    </row>
    <row r="71" spans="2:60" ht="16.5" hidden="1" customHeight="1">
      <c r="C71" s="4"/>
      <c r="D71" s="54"/>
      <c r="E71" s="54"/>
      <c r="F71" s="54"/>
      <c r="G71" s="4"/>
      <c r="H71" s="4"/>
      <c r="I71" s="4"/>
      <c r="N71" s="4"/>
      <c r="O71" s="4"/>
    </row>
    <row r="72" spans="2:60" ht="16.5" hidden="1" customHeight="1">
      <c r="C72" s="4"/>
      <c r="D72" s="54"/>
      <c r="E72" s="54"/>
      <c r="F72" s="54"/>
      <c r="G72" s="4"/>
      <c r="H72" s="4"/>
      <c r="I72" s="4"/>
      <c r="N72" s="4"/>
      <c r="O72" s="4"/>
    </row>
    <row r="73" spans="2:60" ht="16.5" hidden="1" customHeight="1">
      <c r="B73" s="67" t="s">
        <v>69</v>
      </c>
      <c r="C73" s="83">
        <f>+C77+C81</f>
        <v>307948</v>
      </c>
      <c r="D73" s="54"/>
      <c r="E73" s="54"/>
      <c r="F73" s="54"/>
      <c r="G73" s="4"/>
      <c r="H73" s="4"/>
      <c r="I73" s="4"/>
      <c r="N73" s="4"/>
      <c r="O73" s="4"/>
    </row>
    <row r="74" spans="2:60" ht="16.5" hidden="1" customHeight="1">
      <c r="B74" s="3" t="s">
        <v>66</v>
      </c>
      <c r="C74" s="64">
        <v>129201</v>
      </c>
      <c r="D74" s="54" t="s">
        <v>80</v>
      </c>
      <c r="E74" s="54"/>
      <c r="F74" s="54"/>
      <c r="G74" s="4"/>
      <c r="H74" s="4"/>
      <c r="I74" s="4"/>
      <c r="N74" s="4"/>
      <c r="O74" s="4"/>
    </row>
    <row r="75" spans="2:60" ht="16.5" hidden="1" customHeight="1">
      <c r="B75" s="3" t="s">
        <v>63</v>
      </c>
      <c r="C75" s="64">
        <v>102521</v>
      </c>
      <c r="D75" s="54" t="s">
        <v>80</v>
      </c>
      <c r="E75" s="54"/>
      <c r="F75" s="54"/>
      <c r="G75" s="4"/>
      <c r="H75" s="4"/>
      <c r="I75" s="4"/>
      <c r="N75" s="4"/>
      <c r="O75" s="4"/>
    </row>
    <row r="76" spans="2:60" ht="16.5" hidden="1" customHeight="1">
      <c r="B76" s="3" t="s">
        <v>64</v>
      </c>
      <c r="C76" s="64">
        <v>43795</v>
      </c>
      <c r="D76" s="54" t="s">
        <v>80</v>
      </c>
      <c r="E76" s="54"/>
      <c r="F76" s="54"/>
      <c r="G76" s="4"/>
      <c r="H76" s="4"/>
      <c r="I76" s="4"/>
      <c r="N76" s="4"/>
      <c r="O76" s="4"/>
    </row>
    <row r="77" spans="2:60" ht="16.5" hidden="1" customHeight="1">
      <c r="B77" s="3" t="s">
        <v>81</v>
      </c>
      <c r="C77" s="83">
        <f>SUM(C74:C76)</f>
        <v>275517</v>
      </c>
      <c r="D77" s="54"/>
      <c r="E77" s="54"/>
      <c r="F77" s="54"/>
      <c r="G77" s="4"/>
      <c r="H77" s="4"/>
      <c r="I77" s="4"/>
      <c r="N77" s="4"/>
      <c r="O77" s="4"/>
    </row>
    <row r="78" spans="2:60" ht="16.5" hidden="1" customHeight="1">
      <c r="C78" s="4"/>
      <c r="D78" s="54"/>
      <c r="E78" s="54"/>
      <c r="F78" s="54"/>
      <c r="G78" s="4"/>
      <c r="H78" s="4"/>
      <c r="I78" s="4"/>
      <c r="N78" s="4"/>
      <c r="O78" s="4"/>
    </row>
    <row r="79" spans="2:60" ht="16.5" hidden="1" customHeight="1">
      <c r="B79" s="3" t="s">
        <v>65</v>
      </c>
      <c r="C79" s="64">
        <v>19597</v>
      </c>
      <c r="D79" s="54" t="s">
        <v>68</v>
      </c>
      <c r="E79" s="54"/>
      <c r="F79" s="54"/>
      <c r="G79" s="4"/>
      <c r="H79" s="4"/>
      <c r="I79" s="4"/>
      <c r="N79" s="4"/>
      <c r="O79" s="4"/>
    </row>
    <row r="80" spans="2:60" ht="16.5" hidden="1" customHeight="1">
      <c r="B80" s="3" t="s">
        <v>66</v>
      </c>
      <c r="C80" s="64">
        <v>12834</v>
      </c>
      <c r="D80" s="54" t="s">
        <v>68</v>
      </c>
      <c r="E80" s="54"/>
      <c r="F80" s="54"/>
      <c r="G80" s="4"/>
      <c r="H80" s="4"/>
      <c r="I80" s="4"/>
      <c r="N80" s="4"/>
      <c r="O80" s="4"/>
    </row>
    <row r="81" spans="2:59" ht="16.5" hidden="1" customHeight="1">
      <c r="B81" s="3" t="s">
        <v>67</v>
      </c>
      <c r="C81" s="62">
        <f>+C79+C80</f>
        <v>32431</v>
      </c>
      <c r="D81" s="54"/>
      <c r="E81" s="54"/>
      <c r="F81" s="54"/>
      <c r="G81" s="4"/>
      <c r="H81" s="4"/>
      <c r="I81" s="4"/>
      <c r="N81" s="4"/>
      <c r="O81" s="4"/>
    </row>
    <row r="82" spans="2:59" ht="16.5" hidden="1" customHeight="1">
      <c r="C82" s="4"/>
      <c r="D82" s="54"/>
      <c r="E82" s="54"/>
      <c r="F82" s="54"/>
      <c r="G82" s="4"/>
      <c r="H82" s="4"/>
      <c r="I82" s="4"/>
      <c r="N82" s="4"/>
      <c r="O82" s="4"/>
    </row>
    <row r="83" spans="2:59" ht="16.5" hidden="1" customHeight="1">
      <c r="C83" s="4"/>
      <c r="D83" s="54"/>
      <c r="E83" s="54"/>
      <c r="F83" s="54"/>
      <c r="G83" s="4"/>
      <c r="H83" s="4"/>
      <c r="I83" s="4"/>
      <c r="N83" s="4"/>
      <c r="O83" s="4"/>
    </row>
    <row r="84" spans="2:59" ht="16.5" hidden="1" customHeight="1">
      <c r="B84" s="8" t="s">
        <v>73</v>
      </c>
      <c r="C84" s="84" t="s">
        <v>77</v>
      </c>
      <c r="D84" s="85"/>
      <c r="E84" s="85"/>
      <c r="F84" s="85"/>
      <c r="G84" s="85"/>
      <c r="H84" s="4"/>
      <c r="I84" s="4"/>
      <c r="N84" s="4"/>
      <c r="O84" s="4"/>
    </row>
    <row r="85" spans="2:59" ht="16.5" hidden="1" customHeight="1">
      <c r="B85" s="3" t="s">
        <v>74</v>
      </c>
      <c r="C85" s="64">
        <v>275456</v>
      </c>
      <c r="D85" s="86"/>
      <c r="E85" s="86"/>
      <c r="F85" s="86"/>
      <c r="G85" s="4"/>
      <c r="H85" s="4"/>
      <c r="I85" s="4"/>
      <c r="N85" s="4"/>
      <c r="O85" s="4"/>
    </row>
    <row r="86" spans="2:59" ht="16.5" hidden="1" customHeight="1">
      <c r="B86" s="3" t="s">
        <v>71</v>
      </c>
      <c r="C86" s="64">
        <v>14612</v>
      </c>
      <c r="D86" s="54"/>
      <c r="E86" s="54"/>
      <c r="F86" s="54"/>
      <c r="G86" s="4"/>
      <c r="H86" s="4"/>
      <c r="I86" s="4"/>
      <c r="N86" s="4"/>
      <c r="O86" s="4"/>
    </row>
    <row r="87" spans="2:59" ht="16.5" hidden="1" customHeight="1">
      <c r="B87" s="3" t="s">
        <v>70</v>
      </c>
      <c r="C87" s="64">
        <f>+C86-C85</f>
        <v>-260844</v>
      </c>
      <c r="D87" s="54"/>
      <c r="E87" s="54"/>
      <c r="F87" s="54"/>
      <c r="G87" s="4"/>
      <c r="H87" s="4"/>
      <c r="I87" s="4"/>
      <c r="N87" s="4"/>
      <c r="O87" s="4"/>
    </row>
    <row r="88" spans="2:59" ht="16.5" hidden="1" customHeight="1">
      <c r="B88" s="3" t="s">
        <v>75</v>
      </c>
      <c r="C88" s="64">
        <f>32431-2168</f>
        <v>30263</v>
      </c>
      <c r="D88" s="54"/>
      <c r="E88" s="54"/>
      <c r="F88" s="54"/>
      <c r="G88" s="4"/>
      <c r="H88" s="4"/>
      <c r="I88" s="4"/>
      <c r="N88" s="4"/>
      <c r="O88" s="4"/>
    </row>
    <row r="89" spans="2:59" ht="16.5" hidden="1" customHeight="1">
      <c r="B89" s="3" t="s">
        <v>72</v>
      </c>
      <c r="C89" s="64">
        <f>27059-5379</f>
        <v>21680</v>
      </c>
      <c r="D89" s="54"/>
      <c r="E89" s="54"/>
      <c r="F89" s="54"/>
      <c r="G89" s="4"/>
      <c r="H89" s="4"/>
      <c r="I89" s="4"/>
      <c r="N89" s="4"/>
      <c r="O89" s="4"/>
    </row>
    <row r="90" spans="2:59" ht="16.5" hidden="1" customHeight="1">
      <c r="B90" s="8" t="s">
        <v>76</v>
      </c>
      <c r="C90" s="62">
        <f>+C87-C88-C89</f>
        <v>-312787</v>
      </c>
      <c r="D90" s="54"/>
      <c r="E90" s="54"/>
      <c r="F90" s="54"/>
      <c r="G90" s="4"/>
      <c r="H90" s="4"/>
      <c r="I90" s="4"/>
      <c r="N90" s="4"/>
      <c r="O90" s="4"/>
    </row>
    <row r="91" spans="2:59" ht="16.5" hidden="1" customHeight="1">
      <c r="C91" s="6">
        <f>+C90-C47</f>
        <v>-41289</v>
      </c>
      <c r="D91" s="54"/>
      <c r="E91" s="54"/>
      <c r="F91" s="54"/>
      <c r="G91" s="4"/>
      <c r="H91" s="4"/>
      <c r="I91" s="4"/>
      <c r="N91" s="4"/>
      <c r="O91" s="4"/>
    </row>
    <row r="92" spans="2:59" ht="16.5" hidden="1" customHeight="1">
      <c r="C92" s="4"/>
      <c r="D92" s="54"/>
      <c r="E92" s="54"/>
      <c r="F92" s="54"/>
      <c r="G92" s="4"/>
      <c r="H92" s="4"/>
      <c r="I92" s="4"/>
      <c r="N92" s="4"/>
      <c r="O92" s="4"/>
    </row>
    <row r="93" spans="2:59" ht="16.5" customHeight="1">
      <c r="C93" s="363"/>
      <c r="D93" s="364"/>
      <c r="E93" s="364"/>
      <c r="F93" s="364"/>
      <c r="G93" s="363"/>
      <c r="H93" s="363"/>
      <c r="I93" s="363"/>
      <c r="J93" s="364"/>
      <c r="K93" s="324"/>
      <c r="L93" s="324"/>
      <c r="M93" s="324"/>
      <c r="N93" s="363"/>
      <c r="O93" s="363"/>
      <c r="P93" s="324"/>
      <c r="Q93" s="324"/>
      <c r="R93" s="324"/>
      <c r="S93" s="324"/>
      <c r="T93" s="324"/>
      <c r="U93" s="324"/>
      <c r="V93" s="324"/>
      <c r="W93" s="324"/>
      <c r="X93" s="324"/>
      <c r="Y93" s="324"/>
      <c r="Z93" s="324"/>
      <c r="AA93" s="324"/>
      <c r="AB93" s="324"/>
      <c r="AC93" s="324"/>
      <c r="AD93" s="324"/>
      <c r="AE93" s="365"/>
      <c r="AF93" s="324"/>
      <c r="AG93" s="324"/>
      <c r="AH93" s="324"/>
      <c r="AI93" s="324"/>
      <c r="AJ93" s="324"/>
      <c r="AK93" s="324"/>
      <c r="AL93" s="324"/>
      <c r="AM93" s="324"/>
      <c r="AN93" s="324"/>
      <c r="AO93" s="324"/>
      <c r="AP93" s="324"/>
      <c r="AQ93" s="324"/>
      <c r="AR93" s="324"/>
      <c r="AS93" s="324"/>
      <c r="AT93" s="324"/>
      <c r="AU93" s="324"/>
      <c r="AV93" s="324"/>
      <c r="AW93" s="324"/>
      <c r="AX93" s="324"/>
      <c r="AY93" s="324"/>
      <c r="AZ93" s="396"/>
      <c r="BB93" s="324"/>
      <c r="BG93" s="324"/>
    </row>
    <row r="94" spans="2:59" ht="16.5" customHeight="1">
      <c r="D94" s="87"/>
      <c r="E94" s="87"/>
      <c r="F94" s="87"/>
    </row>
    <row r="95" spans="2:59" ht="16.5" customHeight="1">
      <c r="C95" s="366"/>
      <c r="D95" s="366"/>
      <c r="E95" s="366"/>
      <c r="F95" s="366"/>
      <c r="G95" s="366"/>
      <c r="H95" s="366"/>
      <c r="I95" s="366"/>
      <c r="J95" s="366"/>
      <c r="K95" s="366"/>
      <c r="L95" s="366"/>
      <c r="M95" s="366"/>
      <c r="N95" s="366"/>
      <c r="O95" s="366"/>
      <c r="P95" s="366"/>
      <c r="Q95" s="366"/>
      <c r="R95" s="366"/>
      <c r="S95" s="366"/>
      <c r="T95" s="366"/>
      <c r="U95" s="366"/>
      <c r="V95" s="366"/>
      <c r="W95" s="366"/>
      <c r="X95" s="366"/>
      <c r="Y95" s="366"/>
      <c r="Z95" s="366"/>
      <c r="AA95" s="366"/>
      <c r="AB95" s="366"/>
      <c r="AC95" s="366"/>
      <c r="AD95" s="366"/>
      <c r="AE95" s="366"/>
      <c r="AF95" s="366"/>
      <c r="AG95" s="366"/>
      <c r="AH95" s="366"/>
      <c r="AI95" s="366"/>
      <c r="AJ95" s="366"/>
      <c r="AK95" s="366"/>
      <c r="AL95" s="366"/>
      <c r="AM95" s="366"/>
      <c r="AN95" s="366"/>
      <c r="AO95" s="366"/>
      <c r="AP95" s="366"/>
      <c r="AQ95" s="366"/>
      <c r="AR95" s="366"/>
      <c r="AS95" s="366"/>
      <c r="AT95" s="366"/>
      <c r="AU95" s="366"/>
      <c r="AV95" s="366"/>
      <c r="AW95" s="366"/>
      <c r="AX95" s="366"/>
      <c r="AY95" s="366"/>
      <c r="AZ95" s="12"/>
      <c r="BB95" s="366"/>
      <c r="BG95" s="366"/>
    </row>
    <row r="96" spans="2:59" ht="144" customHeight="1">
      <c r="O96" s="429" t="s">
        <v>221</v>
      </c>
      <c r="P96" s="429"/>
      <c r="Q96" s="429"/>
      <c r="R96" s="429"/>
      <c r="S96" s="429"/>
      <c r="T96" s="429"/>
      <c r="U96" s="429"/>
      <c r="V96" s="277"/>
      <c r="W96" s="429" t="s">
        <v>236</v>
      </c>
      <c r="X96" s="429"/>
      <c r="Y96" s="429"/>
      <c r="Z96" s="429"/>
      <c r="AA96" s="429"/>
      <c r="AB96" s="429"/>
      <c r="AC96" s="429"/>
      <c r="AD96" s="322"/>
      <c r="AF96" s="426" t="s">
        <v>284</v>
      </c>
      <c r="AG96" s="426"/>
      <c r="AH96" s="426"/>
      <c r="AI96" s="426"/>
      <c r="AJ96" s="426"/>
      <c r="AK96" s="426"/>
      <c r="AL96" s="426"/>
      <c r="AM96" s="426"/>
      <c r="AN96" s="426"/>
      <c r="AO96" s="426"/>
      <c r="AT96" s="149" t="s">
        <v>276</v>
      </c>
    </row>
    <row r="97" spans="4:46" ht="16.5" customHeight="1">
      <c r="D97" s="88"/>
      <c r="E97" s="88"/>
      <c r="F97" s="88"/>
    </row>
    <row r="98" spans="4:46" ht="84.75" customHeight="1">
      <c r="D98" s="88"/>
      <c r="E98" s="88"/>
      <c r="F98" s="88"/>
      <c r="AF98" s="426" t="s">
        <v>285</v>
      </c>
      <c r="AG98" s="426"/>
      <c r="AH98" s="426"/>
      <c r="AI98" s="426"/>
      <c r="AJ98" s="426"/>
      <c r="AK98" s="426"/>
      <c r="AL98" s="426"/>
      <c r="AM98" s="426"/>
      <c r="AN98" s="426"/>
      <c r="AO98" s="426"/>
      <c r="AP98" s="323"/>
      <c r="AQ98" s="323"/>
      <c r="AR98" s="323"/>
      <c r="AS98" s="323"/>
      <c r="AT98" s="323"/>
    </row>
    <row r="99" spans="4:46" ht="16.5" customHeight="1">
      <c r="W99" s="12"/>
      <c r="X99" s="12"/>
      <c r="Y99" s="12"/>
      <c r="Z99" s="12"/>
      <c r="AA99" s="12"/>
    </row>
    <row r="103" spans="4:46" ht="16.5" customHeight="1">
      <c r="AG103" s="324"/>
    </row>
    <row r="105" spans="4:46" ht="16.5" customHeight="1">
      <c r="AH105" s="325"/>
    </row>
  </sheetData>
  <mergeCells count="12">
    <mergeCell ref="C6:F6"/>
    <mergeCell ref="H6:K6"/>
    <mergeCell ref="AX6:BA6"/>
    <mergeCell ref="AQ6:AV6"/>
    <mergeCell ref="BC6:BF6"/>
    <mergeCell ref="AF96:AO96"/>
    <mergeCell ref="AF98:AO98"/>
    <mergeCell ref="N6:U6"/>
    <mergeCell ref="W6:AC6"/>
    <mergeCell ref="O96:U96"/>
    <mergeCell ref="W96:AC96"/>
    <mergeCell ref="AF6:AN6"/>
  </mergeCells>
  <pageMargins left="0.7" right="0.7" top="0.75" bottom="0.75" header="0.3" footer="0.3"/>
  <pageSetup orientation="portrait" r:id="rId1"/>
  <headerFooter alignWithMargins="0"/>
  <customProperties>
    <customPr name="EpmWorksheetKeyString_GUID" r:id="rId2"/>
  </customProperties>
  <ignoredErrors>
    <ignoredError sqref="G10" formulaRange="1"/>
    <ignoredError sqref="AQ6" numberStoredAsText="1"/>
  </ignoredErrors>
  <drawing r:id="rId3"/>
  <legacyDrawing r:id="rId4"/>
  <controls>
    <mc:AlternateContent xmlns:mc="http://schemas.openxmlformats.org/markup-compatibility/2006">
      <mc:Choice Requires="x14">
        <control shapeId="39937" r:id="rId5" name="FPMExcelClientSheetOptionstb1">
          <controlPr defaultSize="0" autoLine="0" autoPict="0" r:id="rId6">
            <anchor moveWithCells="1" sizeWithCells="1">
              <from>
                <xdr:col>0</xdr:col>
                <xdr:colOff>0</xdr:colOff>
                <xdr:row>0</xdr:row>
                <xdr:rowOff>0</xdr:rowOff>
              </from>
              <to>
                <xdr:col>1</xdr:col>
                <xdr:colOff>762000</xdr:colOff>
                <xdr:row>0</xdr:row>
                <xdr:rowOff>0</xdr:rowOff>
              </to>
            </anchor>
          </controlPr>
        </control>
      </mc:Choice>
      <mc:Fallback>
        <control shapeId="39937" r:id="rId5" name="FPMExcelClientSheetOptionstb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CB07E-A524-4091-9685-5EDE44B0AE94}">
  <sheetPr>
    <tabColor rgb="FF002060"/>
    <pageSetUpPr fitToPage="1"/>
  </sheetPr>
  <dimension ref="A1:AL111"/>
  <sheetViews>
    <sheetView showGridLines="0" topLeftCell="B1" zoomScale="85" zoomScaleNormal="85" workbookViewId="0">
      <pane xSplit="1" ySplit="9" topLeftCell="T10" activePane="bottomRight" state="frozen"/>
      <selection activeCell="D38" sqref="D38"/>
      <selection pane="topRight" activeCell="D38" sqref="D38"/>
      <selection pane="bottomLeft" activeCell="D38" sqref="D38"/>
      <selection pane="bottomRight" activeCell="AK10" sqref="AK10"/>
    </sheetView>
  </sheetViews>
  <sheetFormatPr baseColWidth="10" defaultColWidth="13" defaultRowHeight="12.5"/>
  <cols>
    <col min="1" max="1" width="13" style="320" customWidth="1"/>
    <col min="2" max="2" width="39.453125" style="320" bestFit="1" customWidth="1"/>
    <col min="3" max="3" width="10.26953125" style="320" bestFit="1" customWidth="1"/>
    <col min="4" max="4" width="1.54296875" style="320" customWidth="1"/>
    <col min="5" max="8" width="11.26953125" style="299" customWidth="1"/>
    <col min="9" max="9" width="2" style="320" customWidth="1"/>
    <col min="10" max="13" width="11.26953125" style="320" customWidth="1"/>
    <col min="14" max="14" width="15.54296875" style="320" customWidth="1"/>
    <col min="15" max="15" width="2" style="320" customWidth="1"/>
    <col min="16" max="18" width="13" style="320"/>
    <col min="19" max="19" width="14.1796875" style="320" bestFit="1" customWidth="1"/>
    <col min="20" max="21" width="13" style="320"/>
    <col min="22" max="22" width="1.453125" style="320" customWidth="1"/>
    <col min="23" max="26" width="13" style="320"/>
    <col min="27" max="27" width="4.54296875" style="146" customWidth="1"/>
    <col min="28" max="31" width="10.26953125" style="320" bestFit="1" customWidth="1"/>
    <col min="32" max="32" width="5" style="320" customWidth="1"/>
    <col min="33" max="36" width="10.26953125" style="320" bestFit="1" customWidth="1"/>
    <col min="37" max="37" width="8.453125" style="320" customWidth="1"/>
    <col min="38" max="38" width="10.7265625" style="320" customWidth="1"/>
    <col min="39" max="16384" width="13" style="320"/>
  </cols>
  <sheetData>
    <row r="1" spans="2:38" ht="13">
      <c r="B1" s="436" t="s">
        <v>0</v>
      </c>
      <c r="C1" s="436"/>
      <c r="D1" s="436"/>
      <c r="E1" s="436"/>
      <c r="F1" s="436"/>
      <c r="G1" s="436"/>
      <c r="H1" s="436"/>
      <c r="I1" s="436"/>
      <c r="J1" s="436"/>
      <c r="K1" s="436"/>
    </row>
    <row r="2" spans="2:38" ht="13">
      <c r="B2" s="436" t="s">
        <v>87</v>
      </c>
      <c r="C2" s="436"/>
      <c r="D2" s="436"/>
      <c r="E2" s="436"/>
      <c r="F2" s="436"/>
      <c r="G2" s="436"/>
      <c r="H2" s="436"/>
      <c r="I2" s="436"/>
      <c r="J2" s="436"/>
      <c r="K2" s="436"/>
    </row>
    <row r="3" spans="2:38" ht="12.75" customHeight="1">
      <c r="B3" s="437" t="s">
        <v>1</v>
      </c>
      <c r="C3" s="437"/>
      <c r="D3" s="437"/>
      <c r="E3" s="437"/>
      <c r="F3" s="437"/>
      <c r="G3" s="437"/>
      <c r="H3" s="437"/>
      <c r="I3" s="437"/>
      <c r="J3" s="437"/>
      <c r="K3" s="437"/>
    </row>
    <row r="4" spans="2:38" ht="12.75" customHeight="1">
      <c r="B4" s="321"/>
      <c r="C4" s="321"/>
      <c r="D4" s="321"/>
      <c r="E4" s="321"/>
      <c r="F4" s="321"/>
      <c r="G4" s="321"/>
      <c r="H4" s="321"/>
      <c r="I4" s="321"/>
      <c r="J4" s="321"/>
      <c r="K4" s="321"/>
    </row>
    <row r="5" spans="2:38" ht="13" thickBot="1"/>
    <row r="6" spans="2:38" ht="21" customHeight="1" thickTop="1" thickBot="1">
      <c r="C6" s="274">
        <v>2013</v>
      </c>
      <c r="D6" s="326"/>
      <c r="E6" s="438" t="s">
        <v>101</v>
      </c>
      <c r="F6" s="439"/>
      <c r="G6" s="439"/>
      <c r="H6" s="440"/>
      <c r="J6" s="438" t="s">
        <v>102</v>
      </c>
      <c r="K6" s="439"/>
      <c r="L6" s="439"/>
      <c r="M6" s="439"/>
      <c r="N6" s="440"/>
      <c r="P6" s="441" t="s">
        <v>179</v>
      </c>
      <c r="Q6" s="442"/>
      <c r="R6" s="442"/>
      <c r="S6" s="442"/>
      <c r="T6" s="442"/>
      <c r="U6" s="443"/>
      <c r="W6" s="432" t="s">
        <v>196</v>
      </c>
      <c r="X6" s="433"/>
      <c r="Y6" s="433"/>
      <c r="Z6" s="434"/>
      <c r="AB6" s="432" t="s">
        <v>233</v>
      </c>
      <c r="AC6" s="433"/>
      <c r="AD6" s="433"/>
      <c r="AE6" s="434"/>
      <c r="AG6" s="432" t="s">
        <v>255</v>
      </c>
      <c r="AH6" s="433"/>
      <c r="AI6" s="433"/>
      <c r="AJ6" s="434"/>
    </row>
    <row r="7" spans="2:38" ht="4.5" customHeight="1" thickTop="1" thickBot="1">
      <c r="E7" s="167"/>
      <c r="F7" s="167"/>
      <c r="G7" s="167"/>
      <c r="H7" s="167"/>
      <c r="J7" s="167"/>
      <c r="K7" s="167"/>
    </row>
    <row r="8" spans="2:38" ht="30" customHeight="1" thickTop="1" thickBot="1">
      <c r="C8" s="151">
        <v>41609</v>
      </c>
      <c r="D8" s="306"/>
      <c r="E8" s="319">
        <v>41699</v>
      </c>
      <c r="F8" s="318">
        <v>41791</v>
      </c>
      <c r="G8" s="318">
        <v>41883</v>
      </c>
      <c r="H8" s="318">
        <v>41974</v>
      </c>
      <c r="J8" s="318">
        <v>42064</v>
      </c>
      <c r="K8" s="318">
        <v>42156</v>
      </c>
      <c r="L8" s="318">
        <v>42248</v>
      </c>
      <c r="M8" s="318">
        <v>42339</v>
      </c>
      <c r="N8" s="151" t="s">
        <v>186</v>
      </c>
      <c r="P8" s="318">
        <v>42430</v>
      </c>
      <c r="Q8" s="318">
        <v>42522</v>
      </c>
      <c r="R8" s="318">
        <v>42614</v>
      </c>
      <c r="S8" s="318" t="s">
        <v>216</v>
      </c>
      <c r="T8" s="151">
        <v>42705</v>
      </c>
      <c r="U8" s="151" t="s">
        <v>229</v>
      </c>
      <c r="W8" s="318">
        <v>42795</v>
      </c>
      <c r="X8" s="318">
        <v>42887</v>
      </c>
      <c r="Y8" s="151">
        <v>42979</v>
      </c>
      <c r="Z8" s="151">
        <v>43070</v>
      </c>
      <c r="AB8" s="318">
        <v>43160</v>
      </c>
      <c r="AC8" s="318">
        <v>43252</v>
      </c>
      <c r="AD8" s="151">
        <v>43344</v>
      </c>
      <c r="AE8" s="151">
        <v>43435</v>
      </c>
      <c r="AG8" s="318">
        <v>43525</v>
      </c>
      <c r="AH8" s="318">
        <v>43617</v>
      </c>
      <c r="AI8" s="151">
        <v>43709</v>
      </c>
      <c r="AJ8" s="151">
        <v>43800</v>
      </c>
    </row>
    <row r="9" spans="2:38" ht="3.75" customHeight="1" thickTop="1">
      <c r="J9" s="299"/>
      <c r="K9" s="299"/>
    </row>
    <row r="10" spans="2:38" ht="16.5" customHeight="1">
      <c r="B10" s="300" t="s">
        <v>36</v>
      </c>
      <c r="C10" s="301">
        <v>20409</v>
      </c>
      <c r="D10" s="300"/>
      <c r="E10" s="301">
        <v>44378</v>
      </c>
      <c r="F10" s="301">
        <v>34879</v>
      </c>
      <c r="G10" s="301">
        <v>368419</v>
      </c>
      <c r="H10" s="301">
        <v>165978</v>
      </c>
      <c r="J10" s="301">
        <v>212683</v>
      </c>
      <c r="K10" s="301">
        <v>25622</v>
      </c>
      <c r="L10" s="301">
        <v>399215</v>
      </c>
      <c r="M10" s="301">
        <v>311454</v>
      </c>
      <c r="N10" s="301">
        <v>311454</v>
      </c>
      <c r="P10" s="301">
        <v>145061</v>
      </c>
      <c r="Q10" s="301">
        <v>36458</v>
      </c>
      <c r="R10" s="301">
        <v>165562</v>
      </c>
      <c r="S10" s="301">
        <v>165562</v>
      </c>
      <c r="T10" s="301">
        <v>179358</v>
      </c>
      <c r="U10" s="301">
        <v>180011</v>
      </c>
      <c r="W10" s="301">
        <v>4218</v>
      </c>
      <c r="X10" s="301">
        <v>71637</v>
      </c>
      <c r="Y10" s="146">
        <v>106150</v>
      </c>
      <c r="Z10" s="146">
        <f>312774-13692</f>
        <v>299082</v>
      </c>
      <c r="AB10" s="301">
        <v>79466</v>
      </c>
      <c r="AC10" s="301">
        <v>13861</v>
      </c>
      <c r="AD10" s="146">
        <v>2489</v>
      </c>
      <c r="AE10" s="146">
        <v>4850</v>
      </c>
      <c r="AF10" s="302"/>
      <c r="AG10" s="301">
        <v>7530</v>
      </c>
      <c r="AH10" s="215">
        <v>1810</v>
      </c>
      <c r="AI10" s="215">
        <v>1972</v>
      </c>
      <c r="AJ10" s="215">
        <v>1729</v>
      </c>
      <c r="AK10" s="302"/>
      <c r="AL10" s="302"/>
    </row>
    <row r="11" spans="2:38" ht="16.5" customHeight="1">
      <c r="B11" s="300" t="s">
        <v>83</v>
      </c>
      <c r="C11" s="215">
        <v>2681</v>
      </c>
      <c r="D11" s="300"/>
      <c r="E11" s="301">
        <v>4375</v>
      </c>
      <c r="F11" s="215">
        <v>0</v>
      </c>
      <c r="G11" s="215">
        <v>0</v>
      </c>
      <c r="H11" s="215">
        <v>0</v>
      </c>
      <c r="J11" s="301">
        <v>2696</v>
      </c>
      <c r="K11" s="301">
        <v>1184</v>
      </c>
      <c r="L11" s="301">
        <v>17393</v>
      </c>
      <c r="M11" s="301">
        <v>15940</v>
      </c>
      <c r="N11" s="301">
        <v>15940</v>
      </c>
      <c r="P11" s="215">
        <v>0</v>
      </c>
      <c r="Q11" s="215">
        <v>0</v>
      </c>
      <c r="R11" s="215">
        <v>0</v>
      </c>
      <c r="S11" s="215">
        <v>0</v>
      </c>
      <c r="T11" s="215">
        <v>0</v>
      </c>
      <c r="U11" s="215">
        <v>0</v>
      </c>
      <c r="W11" s="215">
        <v>0</v>
      </c>
      <c r="X11" s="215">
        <v>0</v>
      </c>
      <c r="Y11" s="146">
        <v>0</v>
      </c>
      <c r="Z11" s="146">
        <v>0</v>
      </c>
      <c r="AB11" s="215">
        <v>0</v>
      </c>
      <c r="AC11" s="215">
        <v>0</v>
      </c>
      <c r="AD11" s="146">
        <v>3822</v>
      </c>
      <c r="AE11" s="146">
        <v>2932</v>
      </c>
      <c r="AF11" s="302"/>
      <c r="AG11" s="215">
        <v>0</v>
      </c>
      <c r="AH11" s="215">
        <v>0</v>
      </c>
      <c r="AI11" s="215">
        <v>0</v>
      </c>
      <c r="AJ11" s="215">
        <v>0</v>
      </c>
      <c r="AK11" s="302"/>
      <c r="AL11" s="302"/>
    </row>
    <row r="12" spans="2:38" ht="16.5" customHeight="1">
      <c r="B12" s="300" t="s">
        <v>217</v>
      </c>
      <c r="C12" s="215">
        <v>55478</v>
      </c>
      <c r="D12" s="300"/>
      <c r="E12" s="215">
        <v>60316</v>
      </c>
      <c r="F12" s="215">
        <v>0</v>
      </c>
      <c r="G12" s="215">
        <v>30065</v>
      </c>
      <c r="H12" s="215">
        <v>15165</v>
      </c>
      <c r="J12" s="215">
        <v>0</v>
      </c>
      <c r="K12" s="215">
        <v>0</v>
      </c>
      <c r="L12" s="215">
        <v>15000</v>
      </c>
      <c r="M12" s="215">
        <v>0</v>
      </c>
      <c r="N12" s="215" t="s">
        <v>187</v>
      </c>
      <c r="P12" s="215">
        <v>0</v>
      </c>
      <c r="Q12" s="215">
        <v>2129</v>
      </c>
      <c r="R12" s="215">
        <v>0</v>
      </c>
      <c r="S12" s="215">
        <v>0</v>
      </c>
      <c r="T12" s="215">
        <v>0</v>
      </c>
      <c r="U12" s="215">
        <v>0</v>
      </c>
      <c r="W12" s="215">
        <v>0</v>
      </c>
      <c r="X12" s="215">
        <v>0</v>
      </c>
      <c r="Y12" s="146">
        <v>162476</v>
      </c>
      <c r="Z12" s="146">
        <v>13692</v>
      </c>
      <c r="AB12" s="215">
        <v>10206</v>
      </c>
      <c r="AC12" s="215">
        <v>0</v>
      </c>
      <c r="AD12" s="146">
        <v>0</v>
      </c>
      <c r="AE12" s="146">
        <v>0</v>
      </c>
      <c r="AF12" s="302"/>
      <c r="AG12" s="215"/>
      <c r="AH12" s="215">
        <v>0</v>
      </c>
      <c r="AI12" s="215">
        <v>0</v>
      </c>
      <c r="AJ12" s="215">
        <v>0</v>
      </c>
      <c r="AK12" s="302"/>
      <c r="AL12" s="302"/>
    </row>
    <row r="13" spans="2:38" ht="25">
      <c r="B13" s="300" t="s">
        <v>149</v>
      </c>
      <c r="C13" s="301">
        <v>208189</v>
      </c>
      <c r="D13" s="300"/>
      <c r="E13" s="301">
        <v>458659</v>
      </c>
      <c r="F13" s="301">
        <v>379799</v>
      </c>
      <c r="G13" s="301">
        <f>277940+1</f>
        <v>277941</v>
      </c>
      <c r="H13" s="301">
        <v>210989</v>
      </c>
      <c r="J13" s="301">
        <v>447252</v>
      </c>
      <c r="K13" s="301">
        <v>362123</v>
      </c>
      <c r="L13" s="301">
        <v>319542</v>
      </c>
      <c r="M13" s="301">
        <v>231844</v>
      </c>
      <c r="N13" s="301">
        <v>231844</v>
      </c>
      <c r="P13" s="301">
        <v>435227</v>
      </c>
      <c r="Q13" s="301">
        <v>318151</v>
      </c>
      <c r="R13" s="301">
        <v>261026</v>
      </c>
      <c r="S13" s="301">
        <v>260997</v>
      </c>
      <c r="T13" s="301">
        <v>266766</v>
      </c>
      <c r="U13" s="301">
        <v>271659</v>
      </c>
      <c r="W13" s="301">
        <v>547860</v>
      </c>
      <c r="X13" s="301">
        <v>384576</v>
      </c>
      <c r="Y13" s="146">
        <v>387617</v>
      </c>
      <c r="Z13" s="146">
        <v>198433</v>
      </c>
      <c r="AB13" s="301">
        <v>567510</v>
      </c>
      <c r="AC13" s="301">
        <v>467637</v>
      </c>
      <c r="AD13" s="146">
        <v>234105</v>
      </c>
      <c r="AE13" s="146">
        <v>172699</v>
      </c>
      <c r="AF13" s="302"/>
      <c r="AG13" s="301">
        <v>498101</v>
      </c>
      <c r="AH13" s="215">
        <v>365488</v>
      </c>
      <c r="AI13" s="215">
        <v>283086</v>
      </c>
      <c r="AJ13" s="215">
        <v>254041</v>
      </c>
      <c r="AK13" s="302"/>
      <c r="AL13" s="302"/>
    </row>
    <row r="14" spans="2:38" ht="16.5" customHeight="1">
      <c r="B14" s="300" t="s">
        <v>30</v>
      </c>
      <c r="C14" s="301">
        <v>52011</v>
      </c>
      <c r="D14" s="300"/>
      <c r="E14" s="301">
        <v>27415</v>
      </c>
      <c r="F14" s="301">
        <v>29057</v>
      </c>
      <c r="G14" s="301">
        <v>30903</v>
      </c>
      <c r="H14" s="301">
        <v>17729</v>
      </c>
      <c r="J14" s="301">
        <v>37032</v>
      </c>
      <c r="K14" s="301">
        <v>43090</v>
      </c>
      <c r="L14" s="301">
        <v>46116</v>
      </c>
      <c r="M14" s="301">
        <v>9448</v>
      </c>
      <c r="N14" s="301">
        <v>9448</v>
      </c>
      <c r="P14" s="301">
        <v>5844</v>
      </c>
      <c r="Q14" s="301">
        <v>92560</v>
      </c>
      <c r="R14" s="301">
        <v>102371</v>
      </c>
      <c r="S14" s="301">
        <v>96864</v>
      </c>
      <c r="T14" s="301">
        <v>81488</v>
      </c>
      <c r="U14" s="301">
        <v>81818</v>
      </c>
      <c r="W14" s="301">
        <v>130304</v>
      </c>
      <c r="X14" s="301">
        <v>128656</v>
      </c>
      <c r="Y14" s="146">
        <v>119616</v>
      </c>
      <c r="Z14" s="146">
        <v>164685</v>
      </c>
      <c r="AB14" s="301">
        <v>164877</v>
      </c>
      <c r="AC14" s="301">
        <v>165035</v>
      </c>
      <c r="AD14" s="146">
        <v>165170</v>
      </c>
      <c r="AE14" s="148">
        <v>172868</v>
      </c>
      <c r="AF14" s="302"/>
      <c r="AG14" s="301">
        <v>167740</v>
      </c>
      <c r="AH14" s="215">
        <v>167976</v>
      </c>
      <c r="AI14" s="215">
        <v>168092</v>
      </c>
      <c r="AJ14" s="215">
        <v>169602</v>
      </c>
      <c r="AK14" s="302"/>
      <c r="AL14" s="302"/>
    </row>
    <row r="15" spans="2:38" ht="16.5" customHeight="1">
      <c r="B15" s="300" t="s">
        <v>131</v>
      </c>
      <c r="C15" s="215">
        <v>0</v>
      </c>
      <c r="D15" s="300"/>
      <c r="E15" s="215">
        <v>0</v>
      </c>
      <c r="F15" s="215">
        <v>0</v>
      </c>
      <c r="G15" s="215">
        <v>0</v>
      </c>
      <c r="H15" s="215">
        <v>0</v>
      </c>
      <c r="J15" s="215">
        <v>0</v>
      </c>
      <c r="K15" s="215">
        <v>0</v>
      </c>
      <c r="L15" s="215">
        <v>0</v>
      </c>
      <c r="M15" s="215">
        <v>0</v>
      </c>
      <c r="N15" s="215">
        <v>0</v>
      </c>
      <c r="P15" s="215">
        <v>0</v>
      </c>
      <c r="Q15" s="215">
        <v>0</v>
      </c>
      <c r="R15" s="215">
        <v>0</v>
      </c>
      <c r="S15" s="215">
        <v>0</v>
      </c>
      <c r="T15" s="215">
        <v>0</v>
      </c>
      <c r="U15" s="215">
        <v>0</v>
      </c>
      <c r="W15" s="215">
        <v>0</v>
      </c>
      <c r="X15" s="264">
        <v>0</v>
      </c>
      <c r="Y15" s="146">
        <v>0</v>
      </c>
      <c r="Z15" s="146">
        <v>0</v>
      </c>
      <c r="AB15" s="215">
        <v>0</v>
      </c>
      <c r="AC15" s="264">
        <v>0</v>
      </c>
      <c r="AD15" s="146">
        <v>0</v>
      </c>
      <c r="AE15" s="146">
        <v>0</v>
      </c>
      <c r="AF15" s="302"/>
      <c r="AG15" s="215"/>
      <c r="AH15" s="215">
        <v>0</v>
      </c>
      <c r="AI15" s="215"/>
      <c r="AJ15" s="215"/>
      <c r="AK15" s="302"/>
      <c r="AL15" s="302"/>
    </row>
    <row r="16" spans="2:38" ht="25">
      <c r="B16" s="327" t="s">
        <v>157</v>
      </c>
      <c r="C16" s="301">
        <v>1623</v>
      </c>
      <c r="D16" s="300"/>
      <c r="E16" s="301">
        <v>22345</v>
      </c>
      <c r="F16" s="301">
        <v>2933</v>
      </c>
      <c r="G16" s="301">
        <v>2785</v>
      </c>
      <c r="H16" s="301">
        <v>2644</v>
      </c>
      <c r="J16" s="301">
        <v>61586</v>
      </c>
      <c r="K16" s="301">
        <v>1750</v>
      </c>
      <c r="L16" s="301">
        <v>2833</v>
      </c>
      <c r="M16" s="301">
        <v>1050</v>
      </c>
      <c r="N16" s="301">
        <v>1050</v>
      </c>
      <c r="P16" s="301">
        <v>2211</v>
      </c>
      <c r="Q16" s="301">
        <v>8367</v>
      </c>
      <c r="R16" s="301">
        <v>6699</v>
      </c>
      <c r="S16" s="301">
        <v>6728</v>
      </c>
      <c r="T16" s="301">
        <v>6660</v>
      </c>
      <c r="U16" s="301">
        <v>6667</v>
      </c>
      <c r="W16" s="301">
        <v>6384</v>
      </c>
      <c r="X16" s="301">
        <v>5696</v>
      </c>
      <c r="Y16" s="146">
        <v>6719</v>
      </c>
      <c r="Z16" s="146">
        <v>3660</v>
      </c>
      <c r="AB16" s="301">
        <v>3349</v>
      </c>
      <c r="AC16" s="301">
        <v>2369</v>
      </c>
      <c r="AD16" s="146">
        <v>3887</v>
      </c>
      <c r="AE16" s="146">
        <v>1656</v>
      </c>
      <c r="AF16" s="302"/>
      <c r="AG16" s="301">
        <v>2449</v>
      </c>
      <c r="AH16" s="215">
        <v>2538</v>
      </c>
      <c r="AI16" s="215">
        <v>2783</v>
      </c>
      <c r="AJ16" s="215">
        <v>1189</v>
      </c>
      <c r="AK16" s="302"/>
      <c r="AL16" s="302"/>
    </row>
    <row r="17" spans="2:38" ht="17.25" customHeight="1">
      <c r="B17" s="300" t="s">
        <v>60</v>
      </c>
      <c r="C17" s="215">
        <v>7</v>
      </c>
      <c r="D17" s="300"/>
      <c r="E17" s="301">
        <v>27</v>
      </c>
      <c r="F17" s="301">
        <v>27</v>
      </c>
      <c r="G17" s="301">
        <v>27</v>
      </c>
      <c r="H17" s="215">
        <v>0</v>
      </c>
      <c r="J17" s="301">
        <v>21</v>
      </c>
      <c r="K17" s="301">
        <v>21</v>
      </c>
      <c r="L17" s="301">
        <v>21</v>
      </c>
      <c r="M17" s="301">
        <v>94740</v>
      </c>
      <c r="N17" s="215">
        <v>0</v>
      </c>
      <c r="P17" s="301">
        <v>94740</v>
      </c>
      <c r="Q17" s="301">
        <v>94740</v>
      </c>
      <c r="R17" s="301">
        <v>94740</v>
      </c>
      <c r="S17" s="264">
        <v>0</v>
      </c>
      <c r="T17" s="215">
        <v>0</v>
      </c>
      <c r="U17" s="215">
        <v>140</v>
      </c>
      <c r="W17" s="215">
        <v>0</v>
      </c>
      <c r="X17" s="215">
        <v>0</v>
      </c>
      <c r="Y17" s="146">
        <v>0</v>
      </c>
      <c r="Z17" s="146">
        <v>0</v>
      </c>
      <c r="AB17" s="215">
        <v>0</v>
      </c>
      <c r="AC17" s="215">
        <v>0</v>
      </c>
      <c r="AD17" s="146">
        <v>0</v>
      </c>
      <c r="AE17" s="146">
        <v>0</v>
      </c>
      <c r="AF17" s="302"/>
      <c r="AG17" s="215">
        <v>0</v>
      </c>
      <c r="AH17" s="215">
        <v>0</v>
      </c>
      <c r="AI17" s="215">
        <v>0</v>
      </c>
      <c r="AJ17" s="215">
        <v>1524</v>
      </c>
      <c r="AK17" s="302"/>
      <c r="AL17" s="302"/>
    </row>
    <row r="18" spans="2:38">
      <c r="B18" s="300"/>
      <c r="C18" s="301"/>
      <c r="D18" s="300"/>
      <c r="E18" s="301"/>
      <c r="F18" s="301"/>
      <c r="G18" s="301"/>
      <c r="H18" s="301"/>
      <c r="J18" s="301"/>
      <c r="K18" s="301"/>
      <c r="L18" s="301"/>
      <c r="M18" s="301"/>
      <c r="N18" s="301"/>
      <c r="P18" s="301"/>
      <c r="Q18" s="301"/>
      <c r="R18" s="301"/>
      <c r="S18" s="301"/>
      <c r="T18" s="301"/>
      <c r="U18" s="301"/>
      <c r="W18" s="301"/>
      <c r="X18" s="301"/>
      <c r="AB18" s="301"/>
      <c r="AC18" s="301"/>
      <c r="AF18" s="302"/>
      <c r="AG18" s="301"/>
      <c r="AH18" s="301"/>
      <c r="AK18" s="302"/>
      <c r="AL18" s="302"/>
    </row>
    <row r="19" spans="2:38" ht="16.5" customHeight="1">
      <c r="B19" s="328" t="s">
        <v>51</v>
      </c>
      <c r="C19" s="329">
        <f>+SUM(C10:C17)</f>
        <v>340398</v>
      </c>
      <c r="D19" s="328"/>
      <c r="E19" s="329">
        <f>+SUM(E10:E17)</f>
        <v>617515</v>
      </c>
      <c r="F19" s="329">
        <f>+SUM(F10:F17)</f>
        <v>446695</v>
      </c>
      <c r="G19" s="329">
        <f>+SUM(G10:G17)</f>
        <v>710140</v>
      </c>
      <c r="H19" s="329">
        <f>+SUM(H10:H17)</f>
        <v>412505</v>
      </c>
      <c r="I19" s="34"/>
      <c r="J19" s="329">
        <f>+SUM(J10:J17)</f>
        <v>761270</v>
      </c>
      <c r="K19" s="329">
        <f>+SUM(K10:K17)</f>
        <v>433790</v>
      </c>
      <c r="L19" s="329">
        <f>+SUM(L10:L17)</f>
        <v>800120</v>
      </c>
      <c r="M19" s="329">
        <f>+SUM(M10:M17)</f>
        <v>664476</v>
      </c>
      <c r="N19" s="329">
        <f>+SUM(N10:N17)</f>
        <v>569736</v>
      </c>
      <c r="P19" s="329">
        <f t="shared" ref="P19:U19" si="0">+SUM(P10:P17)</f>
        <v>683083</v>
      </c>
      <c r="Q19" s="329">
        <f t="shared" si="0"/>
        <v>552405</v>
      </c>
      <c r="R19" s="329">
        <f t="shared" si="0"/>
        <v>630398</v>
      </c>
      <c r="S19" s="329">
        <f t="shared" si="0"/>
        <v>530151</v>
      </c>
      <c r="T19" s="329">
        <f t="shared" si="0"/>
        <v>534272</v>
      </c>
      <c r="U19" s="329">
        <f t="shared" si="0"/>
        <v>540295</v>
      </c>
      <c r="W19" s="329">
        <f>+SUM(W10:W17)</f>
        <v>688766</v>
      </c>
      <c r="X19" s="329">
        <f>+SUM(X10:X17)</f>
        <v>590565</v>
      </c>
      <c r="Y19" s="329">
        <f>+SUM(Y10:Y17)</f>
        <v>782578</v>
      </c>
      <c r="Z19" s="329">
        <f>+SUM(Z10:Z17)</f>
        <v>679552</v>
      </c>
      <c r="AB19" s="329">
        <f>+SUM(AB10:AB17)</f>
        <v>825408</v>
      </c>
      <c r="AC19" s="329">
        <f>+SUM(AC10:AC17)</f>
        <v>648902</v>
      </c>
      <c r="AD19" s="329">
        <f>+SUM(AD10:AD17)</f>
        <v>409473</v>
      </c>
      <c r="AE19" s="329">
        <f>+SUM(AE10:AE17)</f>
        <v>355005</v>
      </c>
      <c r="AF19" s="302"/>
      <c r="AG19" s="329">
        <f>+SUM(AG10:AG17)</f>
        <v>675820</v>
      </c>
      <c r="AH19" s="329">
        <f>+SUM(AH10:AH17)</f>
        <v>537812</v>
      </c>
      <c r="AI19" s="329">
        <f>+SUM(AI10:AI17)</f>
        <v>455933</v>
      </c>
      <c r="AJ19" s="329">
        <f>+SUM(AJ10:AJ17)</f>
        <v>428085</v>
      </c>
      <c r="AK19" s="302"/>
      <c r="AL19" s="302"/>
    </row>
    <row r="20" spans="2:38" ht="4.5" customHeight="1">
      <c r="C20" s="301"/>
      <c r="E20" s="301"/>
      <c r="F20" s="301"/>
      <c r="G20" s="301"/>
      <c r="H20" s="301"/>
      <c r="J20" s="301"/>
      <c r="K20" s="301"/>
      <c r="L20" s="301"/>
      <c r="M20" s="301"/>
      <c r="N20" s="301"/>
      <c r="P20" s="301"/>
      <c r="Q20" s="301"/>
      <c r="R20" s="301"/>
      <c r="S20" s="301"/>
      <c r="T20" s="301"/>
      <c r="U20" s="301"/>
      <c r="W20" s="301"/>
      <c r="AB20" s="301"/>
      <c r="AG20" s="301"/>
      <c r="AK20" s="302"/>
      <c r="AL20" s="302"/>
    </row>
    <row r="21" spans="2:38" ht="15.75" customHeight="1">
      <c r="B21" s="303" t="s">
        <v>31</v>
      </c>
      <c r="C21" s="301">
        <f>11939487-1</f>
        <v>11939486</v>
      </c>
      <c r="D21" s="303"/>
      <c r="E21" s="301">
        <v>12002319</v>
      </c>
      <c r="F21" s="301">
        <v>12127161</v>
      </c>
      <c r="G21" s="301">
        <v>12245131</v>
      </c>
      <c r="H21" s="301">
        <v>12613801</v>
      </c>
      <c r="J21" s="301">
        <v>11850219</v>
      </c>
      <c r="K21" s="301">
        <v>13063539</v>
      </c>
      <c r="L21" s="301">
        <v>13355749</v>
      </c>
      <c r="M21" s="301">
        <f>13604214</f>
        <v>13604214</v>
      </c>
      <c r="N21" s="301">
        <v>13628417</v>
      </c>
      <c r="P21" s="301">
        <v>13638225</v>
      </c>
      <c r="Q21" s="301">
        <v>13649185</v>
      </c>
      <c r="R21" s="301">
        <v>13489078</v>
      </c>
      <c r="S21" s="301">
        <v>13486342</v>
      </c>
      <c r="T21" s="301">
        <v>14515263</v>
      </c>
      <c r="U21" s="301">
        <v>14377651</v>
      </c>
      <c r="W21" s="301">
        <v>14669083</v>
      </c>
      <c r="X21" s="301">
        <v>14978206</v>
      </c>
      <c r="Y21" s="301">
        <v>14737345</v>
      </c>
      <c r="Z21" s="301">
        <v>14687131</v>
      </c>
      <c r="AB21" s="301">
        <v>14606363</v>
      </c>
      <c r="AC21" s="301">
        <v>14901185</v>
      </c>
      <c r="AD21" s="301">
        <v>15017073</v>
      </c>
      <c r="AE21" s="301">
        <v>15219881</v>
      </c>
      <c r="AF21" s="302"/>
      <c r="AG21" s="301">
        <v>14896138</v>
      </c>
      <c r="AH21" s="301">
        <v>14911228</v>
      </c>
      <c r="AI21" s="301">
        <v>15599154</v>
      </c>
      <c r="AJ21" s="301">
        <v>15364426</v>
      </c>
      <c r="AK21" s="302"/>
      <c r="AL21" s="302"/>
    </row>
    <row r="22" spans="2:38" ht="25">
      <c r="B22" s="300" t="s">
        <v>149</v>
      </c>
      <c r="C22" s="301">
        <v>5113</v>
      </c>
      <c r="D22" s="300"/>
      <c r="E22" s="301">
        <v>5146</v>
      </c>
      <c r="F22" s="301">
        <f>5475+1</f>
        <v>5476</v>
      </c>
      <c r="G22" s="301">
        <v>5635</v>
      </c>
      <c r="H22" s="301">
        <v>6134</v>
      </c>
      <c r="J22" s="301">
        <v>2673</v>
      </c>
      <c r="K22" s="301">
        <v>5856</v>
      </c>
      <c r="L22" s="301">
        <v>5261</v>
      </c>
      <c r="M22" s="301">
        <v>3382</v>
      </c>
      <c r="N22" s="301">
        <v>3382</v>
      </c>
      <c r="P22" s="301">
        <v>3660</v>
      </c>
      <c r="Q22" s="301">
        <v>3998</v>
      </c>
      <c r="R22" s="301">
        <v>4041</v>
      </c>
      <c r="S22" s="301">
        <v>4041</v>
      </c>
      <c r="T22" s="301">
        <v>4166</v>
      </c>
      <c r="U22" s="301">
        <v>4166</v>
      </c>
      <c r="W22" s="301">
        <v>35178</v>
      </c>
      <c r="X22" s="301">
        <v>22999</v>
      </c>
      <c r="Y22" s="301">
        <v>13550</v>
      </c>
      <c r="Z22" s="301">
        <v>11965</v>
      </c>
      <c r="AB22" s="301">
        <v>11882</v>
      </c>
      <c r="AC22" s="301">
        <v>7891</v>
      </c>
      <c r="AD22" s="301">
        <v>103711</v>
      </c>
      <c r="AE22" s="301">
        <v>107903</v>
      </c>
      <c r="AF22" s="302"/>
      <c r="AG22" s="301">
        <v>102038</v>
      </c>
      <c r="AH22" s="301">
        <v>98277</v>
      </c>
      <c r="AI22" s="301">
        <v>94671</v>
      </c>
      <c r="AJ22" s="301">
        <v>96511</v>
      </c>
      <c r="AK22" s="302"/>
      <c r="AL22" s="302"/>
    </row>
    <row r="23" spans="2:38" ht="15.75" customHeight="1">
      <c r="B23" s="303" t="s">
        <v>30</v>
      </c>
      <c r="C23" s="215">
        <v>0</v>
      </c>
      <c r="D23" s="303"/>
      <c r="E23" s="215">
        <v>0</v>
      </c>
      <c r="F23" s="215">
        <v>0</v>
      </c>
      <c r="G23" s="215">
        <v>0</v>
      </c>
      <c r="H23" s="215">
        <v>29508</v>
      </c>
      <c r="J23" s="215">
        <v>0</v>
      </c>
      <c r="K23" s="215">
        <v>0</v>
      </c>
      <c r="L23" s="215">
        <v>0</v>
      </c>
      <c r="M23" s="215">
        <v>24146</v>
      </c>
      <c r="N23" s="215">
        <v>24146</v>
      </c>
      <c r="P23" s="215">
        <v>26594</v>
      </c>
      <c r="Q23" s="215">
        <v>26594</v>
      </c>
      <c r="R23" s="215">
        <v>20659</v>
      </c>
      <c r="S23" s="215">
        <v>20659</v>
      </c>
      <c r="T23" s="215">
        <v>42583</v>
      </c>
      <c r="U23" s="215">
        <v>42583</v>
      </c>
      <c r="W23" s="215">
        <v>44913</v>
      </c>
      <c r="X23" s="301">
        <v>46887</v>
      </c>
      <c r="Y23" s="301">
        <v>46720</v>
      </c>
      <c r="Z23" s="301">
        <v>47275</v>
      </c>
      <c r="AB23" s="215">
        <v>47952</v>
      </c>
      <c r="AC23" s="301">
        <v>49145</v>
      </c>
      <c r="AD23" s="301">
        <v>50734</v>
      </c>
      <c r="AE23" s="301">
        <v>36747</v>
      </c>
      <c r="AF23" s="302"/>
      <c r="AG23" s="215">
        <v>36959</v>
      </c>
      <c r="AH23" s="301">
        <v>37030</v>
      </c>
      <c r="AI23" s="301">
        <v>36065</v>
      </c>
      <c r="AJ23" s="301">
        <v>37204</v>
      </c>
      <c r="AK23" s="302"/>
      <c r="AL23" s="302"/>
    </row>
    <row r="24" spans="2:38" ht="15.75" customHeight="1">
      <c r="B24" s="303" t="s">
        <v>256</v>
      </c>
      <c r="C24" s="215"/>
      <c r="D24" s="303"/>
      <c r="E24" s="215"/>
      <c r="F24" s="215"/>
      <c r="G24" s="215"/>
      <c r="H24" s="215"/>
      <c r="J24" s="215"/>
      <c r="K24" s="215"/>
      <c r="L24" s="215"/>
      <c r="M24" s="215"/>
      <c r="N24" s="215"/>
      <c r="P24" s="215"/>
      <c r="Q24" s="215"/>
      <c r="R24" s="215"/>
      <c r="S24" s="215"/>
      <c r="T24" s="215"/>
      <c r="U24" s="215"/>
      <c r="W24" s="215"/>
      <c r="X24" s="301"/>
      <c r="Y24" s="301"/>
      <c r="Z24" s="301"/>
      <c r="AB24" s="215"/>
      <c r="AC24" s="301"/>
      <c r="AD24" s="301"/>
      <c r="AE24" s="301"/>
      <c r="AF24" s="302"/>
      <c r="AG24" s="298">
        <v>12421</v>
      </c>
      <c r="AH24" s="301">
        <v>13017</v>
      </c>
      <c r="AI24" s="301">
        <v>13296</v>
      </c>
      <c r="AJ24" s="301">
        <v>12817</v>
      </c>
      <c r="AK24" s="302"/>
      <c r="AL24" s="302"/>
    </row>
    <row r="25" spans="2:38" ht="15.75" customHeight="1">
      <c r="B25" s="303" t="s">
        <v>37</v>
      </c>
      <c r="C25" s="301">
        <v>5116</v>
      </c>
      <c r="D25" s="303"/>
      <c r="E25" s="301">
        <v>7515</v>
      </c>
      <c r="F25" s="301">
        <v>10609</v>
      </c>
      <c r="G25" s="301">
        <v>10728</v>
      </c>
      <c r="H25" s="301">
        <v>8788</v>
      </c>
      <c r="J25" s="301">
        <v>8295</v>
      </c>
      <c r="K25" s="301">
        <v>7849</v>
      </c>
      <c r="L25" s="301">
        <v>7403</v>
      </c>
      <c r="M25" s="301">
        <v>8489</v>
      </c>
      <c r="N25" s="301">
        <v>8489</v>
      </c>
      <c r="P25" s="301">
        <v>7842</v>
      </c>
      <c r="Q25" s="301">
        <v>7196</v>
      </c>
      <c r="R25" s="301">
        <v>6565</v>
      </c>
      <c r="S25" s="301">
        <v>6565</v>
      </c>
      <c r="T25" s="301">
        <v>5917</v>
      </c>
      <c r="U25" s="301">
        <v>5974</v>
      </c>
      <c r="W25" s="301">
        <v>5404</v>
      </c>
      <c r="X25" s="301">
        <v>5014</v>
      </c>
      <c r="Y25" s="301">
        <v>4991</v>
      </c>
      <c r="Z25" s="301">
        <v>3329</v>
      </c>
      <c r="AB25" s="301">
        <v>2680</v>
      </c>
      <c r="AC25" s="301">
        <v>2032</v>
      </c>
      <c r="AD25" s="301">
        <v>1388</v>
      </c>
      <c r="AE25" s="301">
        <v>119633</v>
      </c>
      <c r="AF25" s="302"/>
      <c r="AG25" s="301">
        <v>116349</v>
      </c>
      <c r="AH25" s="301">
        <v>113113</v>
      </c>
      <c r="AI25" s="301">
        <v>109880</v>
      </c>
      <c r="AJ25" s="301">
        <v>107005</v>
      </c>
      <c r="AK25" s="302"/>
      <c r="AL25" s="302"/>
    </row>
    <row r="26" spans="2:38" ht="15.75" customHeight="1">
      <c r="B26" s="303" t="s">
        <v>53</v>
      </c>
      <c r="C26" s="301">
        <v>12065</v>
      </c>
      <c r="D26" s="303"/>
      <c r="E26" s="301">
        <v>13531</v>
      </c>
      <c r="F26" s="301">
        <v>75787</v>
      </c>
      <c r="G26" s="301">
        <v>102042</v>
      </c>
      <c r="H26" s="301">
        <v>19238</v>
      </c>
      <c r="J26" s="301">
        <v>80565</v>
      </c>
      <c r="K26" s="301">
        <v>212732</v>
      </c>
      <c r="L26" s="301">
        <v>95596</v>
      </c>
      <c r="M26" s="301">
        <v>82850</v>
      </c>
      <c r="N26" s="301">
        <v>82850</v>
      </c>
      <c r="P26" s="301">
        <v>83148</v>
      </c>
      <c r="Q26" s="301">
        <v>83621</v>
      </c>
      <c r="R26" s="301">
        <v>86502</v>
      </c>
      <c r="S26" s="301">
        <v>86502</v>
      </c>
      <c r="T26" s="301">
        <v>25551</v>
      </c>
      <c r="U26" s="301">
        <v>25901</v>
      </c>
      <c r="W26" s="301">
        <v>27243</v>
      </c>
      <c r="X26" s="301">
        <v>26267</v>
      </c>
      <c r="Y26" s="301">
        <v>10572</v>
      </c>
      <c r="Z26" s="301">
        <v>10723</v>
      </c>
      <c r="AB26" s="301">
        <v>10516</v>
      </c>
      <c r="AC26" s="301">
        <v>2446</v>
      </c>
      <c r="AD26" s="301">
        <v>2224</v>
      </c>
      <c r="AE26" s="301">
        <v>2022</v>
      </c>
      <c r="AF26" s="302"/>
      <c r="AG26" s="301">
        <v>1849</v>
      </c>
      <c r="AH26" s="301">
        <v>1615</v>
      </c>
      <c r="AI26" s="301">
        <v>1449</v>
      </c>
      <c r="AJ26" s="301">
        <v>1452</v>
      </c>
      <c r="AK26" s="302"/>
      <c r="AL26" s="302"/>
    </row>
    <row r="27" spans="2:38" ht="15.75" customHeight="1">
      <c r="B27" s="303" t="s">
        <v>38</v>
      </c>
      <c r="C27" s="301">
        <v>2040643</v>
      </c>
      <c r="D27" s="303"/>
      <c r="E27" s="301">
        <v>2208481</v>
      </c>
      <c r="F27" s="301">
        <v>2208796</v>
      </c>
      <c r="G27" s="301">
        <v>2250911</v>
      </c>
      <c r="H27" s="301">
        <v>2122462</v>
      </c>
      <c r="J27" s="301">
        <v>2249142</v>
      </c>
      <c r="K27" s="301">
        <v>2247758</v>
      </c>
      <c r="L27" s="301">
        <v>2202024</v>
      </c>
      <c r="M27" s="301">
        <v>1781868</v>
      </c>
      <c r="N27" s="301">
        <v>2010817</v>
      </c>
      <c r="P27" s="301">
        <v>1767538</v>
      </c>
      <c r="Q27" s="301">
        <v>1682706</v>
      </c>
      <c r="R27" s="301">
        <v>1682704</v>
      </c>
      <c r="S27" s="301">
        <v>1917370</v>
      </c>
      <c r="T27" s="301">
        <v>1867447</v>
      </c>
      <c r="U27" s="301">
        <f>1867447+219454</f>
        <v>2086901</v>
      </c>
      <c r="W27" s="301">
        <v>1818947</v>
      </c>
      <c r="X27" s="301">
        <v>1799146</v>
      </c>
      <c r="Y27" s="301">
        <v>1908505</v>
      </c>
      <c r="Z27" s="301">
        <v>2083575</v>
      </c>
      <c r="AB27" s="301">
        <v>2093232</v>
      </c>
      <c r="AC27" s="301">
        <v>2100841</v>
      </c>
      <c r="AD27" s="301">
        <v>2116300</v>
      </c>
      <c r="AE27" s="301">
        <v>2105213</v>
      </c>
      <c r="AF27" s="302"/>
      <c r="AG27" s="301">
        <v>2119416</v>
      </c>
      <c r="AH27" s="301">
        <v>2128858</v>
      </c>
      <c r="AI27" s="301">
        <v>2136943</v>
      </c>
      <c r="AJ27" s="301">
        <v>2108346</v>
      </c>
      <c r="AK27" s="302"/>
      <c r="AL27" s="302"/>
    </row>
    <row r="28" spans="2:38" ht="15.75" customHeight="1">
      <c r="B28" s="303" t="s">
        <v>135</v>
      </c>
      <c r="C28" s="215">
        <v>0</v>
      </c>
      <c r="D28" s="303"/>
      <c r="E28" s="215">
        <v>0</v>
      </c>
      <c r="F28" s="215">
        <v>0</v>
      </c>
      <c r="G28" s="215">
        <v>0</v>
      </c>
      <c r="H28" s="215">
        <v>0</v>
      </c>
      <c r="J28" s="215">
        <v>0</v>
      </c>
      <c r="K28" s="215">
        <v>0</v>
      </c>
      <c r="L28" s="215">
        <v>0</v>
      </c>
      <c r="M28" s="215">
        <v>0</v>
      </c>
      <c r="N28" s="215">
        <v>0</v>
      </c>
      <c r="P28" s="215">
        <v>774</v>
      </c>
      <c r="Q28" s="215">
        <v>0</v>
      </c>
      <c r="R28" s="215">
        <v>0</v>
      </c>
      <c r="S28" s="215">
        <v>0</v>
      </c>
      <c r="T28" s="215">
        <v>0</v>
      </c>
      <c r="U28" s="215">
        <v>0</v>
      </c>
      <c r="W28" s="215">
        <v>0</v>
      </c>
      <c r="X28" s="215">
        <v>0</v>
      </c>
      <c r="Y28" s="215">
        <v>0</v>
      </c>
      <c r="Z28" s="215">
        <v>0</v>
      </c>
      <c r="AB28" s="215">
        <v>0</v>
      </c>
      <c r="AC28" s="215">
        <v>0</v>
      </c>
      <c r="AD28" s="215">
        <v>0</v>
      </c>
      <c r="AE28" s="215">
        <v>0</v>
      </c>
      <c r="AF28" s="302"/>
      <c r="AG28" s="215">
        <v>0</v>
      </c>
      <c r="AH28" s="215">
        <v>0</v>
      </c>
      <c r="AI28" s="215">
        <v>0</v>
      </c>
      <c r="AJ28" s="215">
        <v>0</v>
      </c>
      <c r="AK28" s="302"/>
      <c r="AL28" s="302"/>
    </row>
    <row r="29" spans="2:38" ht="15.75" customHeight="1">
      <c r="B29" s="303" t="s">
        <v>131</v>
      </c>
      <c r="C29" s="215">
        <v>0</v>
      </c>
      <c r="D29" s="303"/>
      <c r="E29" s="215">
        <v>0</v>
      </c>
      <c r="F29" s="215">
        <v>0</v>
      </c>
      <c r="G29" s="215">
        <v>0</v>
      </c>
      <c r="H29" s="215">
        <v>0</v>
      </c>
      <c r="J29" s="215">
        <v>0</v>
      </c>
      <c r="K29" s="215">
        <v>0</v>
      </c>
      <c r="L29" s="215">
        <v>0</v>
      </c>
      <c r="M29" s="215">
        <v>0</v>
      </c>
      <c r="N29" s="215">
        <v>0</v>
      </c>
      <c r="P29" s="215">
        <v>0</v>
      </c>
      <c r="Q29" s="215">
        <v>0</v>
      </c>
      <c r="R29" s="215">
        <v>0</v>
      </c>
      <c r="S29" s="215">
        <v>0</v>
      </c>
      <c r="T29" s="215">
        <v>0</v>
      </c>
      <c r="U29" s="215">
        <v>0</v>
      </c>
      <c r="W29" s="215">
        <v>0</v>
      </c>
      <c r="X29" s="215">
        <v>0</v>
      </c>
      <c r="Y29" s="215">
        <v>0</v>
      </c>
      <c r="Z29" s="215">
        <v>0</v>
      </c>
      <c r="AB29" s="215">
        <v>0</v>
      </c>
      <c r="AC29" s="215">
        <v>0</v>
      </c>
      <c r="AD29" s="215">
        <v>0</v>
      </c>
      <c r="AE29" s="215">
        <v>0</v>
      </c>
      <c r="AF29" s="302"/>
      <c r="AG29" s="215">
        <v>0</v>
      </c>
      <c r="AH29" s="215">
        <v>0</v>
      </c>
      <c r="AI29" s="215">
        <v>0</v>
      </c>
      <c r="AJ29" s="215">
        <v>0</v>
      </c>
      <c r="AK29" s="302"/>
      <c r="AL29" s="302"/>
    </row>
    <row r="30" spans="2:38" ht="15.75" customHeight="1">
      <c r="B30" s="303" t="s">
        <v>136</v>
      </c>
      <c r="C30" s="215">
        <v>0</v>
      </c>
      <c r="D30" s="303"/>
      <c r="E30" s="215">
        <v>0</v>
      </c>
      <c r="F30" s="215">
        <v>0</v>
      </c>
      <c r="G30" s="215">
        <v>0</v>
      </c>
      <c r="H30" s="215">
        <v>0</v>
      </c>
      <c r="J30" s="215">
        <v>0</v>
      </c>
      <c r="K30" s="215">
        <v>0</v>
      </c>
      <c r="L30" s="215">
        <v>0</v>
      </c>
      <c r="M30" s="215">
        <v>0</v>
      </c>
      <c r="N30" s="215">
        <v>0</v>
      </c>
      <c r="P30" s="215">
        <v>0</v>
      </c>
      <c r="Q30" s="215">
        <v>0</v>
      </c>
      <c r="R30" s="215">
        <v>0</v>
      </c>
      <c r="S30" s="215">
        <v>0</v>
      </c>
      <c r="T30" s="215">
        <v>0</v>
      </c>
      <c r="U30" s="215">
        <v>0</v>
      </c>
      <c r="W30" s="215">
        <v>0</v>
      </c>
      <c r="X30" s="215">
        <v>0</v>
      </c>
      <c r="Y30" s="215">
        <v>0</v>
      </c>
      <c r="Z30" s="215">
        <v>0</v>
      </c>
      <c r="AB30" s="215">
        <v>0</v>
      </c>
      <c r="AC30" s="215">
        <v>0</v>
      </c>
      <c r="AD30" s="215">
        <v>573</v>
      </c>
      <c r="AE30" s="215">
        <v>0</v>
      </c>
      <c r="AF30" s="302"/>
      <c r="AG30" s="215">
        <v>0</v>
      </c>
      <c r="AH30" s="215">
        <v>0</v>
      </c>
      <c r="AI30" s="215">
        <v>0</v>
      </c>
      <c r="AJ30" s="215">
        <v>0</v>
      </c>
      <c r="AK30" s="302"/>
      <c r="AL30" s="302"/>
    </row>
    <row r="31" spans="2:38" ht="25">
      <c r="B31" s="327" t="s">
        <v>157</v>
      </c>
      <c r="C31" s="215">
        <v>0</v>
      </c>
      <c r="D31" s="303"/>
      <c r="E31" s="215">
        <v>0</v>
      </c>
      <c r="F31" s="215">
        <v>0</v>
      </c>
      <c r="G31" s="215">
        <v>0</v>
      </c>
      <c r="H31" s="215">
        <v>0</v>
      </c>
      <c r="J31" s="215">
        <v>0</v>
      </c>
      <c r="K31" s="215">
        <v>0</v>
      </c>
      <c r="L31" s="215">
        <v>0</v>
      </c>
      <c r="M31" s="215">
        <v>0</v>
      </c>
      <c r="N31" s="215">
        <v>0</v>
      </c>
      <c r="P31" s="215">
        <v>0</v>
      </c>
      <c r="Q31" s="215">
        <v>0</v>
      </c>
      <c r="R31" s="215">
        <v>0</v>
      </c>
      <c r="S31" s="215">
        <v>0</v>
      </c>
      <c r="T31" s="215">
        <v>0</v>
      </c>
      <c r="U31" s="215">
        <v>0</v>
      </c>
      <c r="W31" s="215">
        <v>0</v>
      </c>
      <c r="X31" s="215">
        <v>0</v>
      </c>
      <c r="Y31" s="215">
        <v>0</v>
      </c>
      <c r="Z31" s="215">
        <v>0</v>
      </c>
      <c r="AB31" s="215">
        <v>0</v>
      </c>
      <c r="AC31" s="215">
        <v>0</v>
      </c>
      <c r="AD31" s="215">
        <v>0</v>
      </c>
      <c r="AE31" s="215">
        <v>0</v>
      </c>
      <c r="AF31" s="302"/>
      <c r="AG31" s="215">
        <v>0</v>
      </c>
      <c r="AH31" s="215">
        <v>97</v>
      </c>
      <c r="AI31" s="215">
        <v>7025</v>
      </c>
      <c r="AJ31" s="215">
        <v>4666</v>
      </c>
      <c r="AK31" s="302"/>
      <c r="AL31" s="302"/>
    </row>
    <row r="32" spans="2:38" ht="7.5" customHeight="1">
      <c r="B32" s="303"/>
      <c r="C32" s="215"/>
      <c r="D32" s="303"/>
      <c r="E32" s="215"/>
      <c r="F32" s="215"/>
      <c r="G32" s="215"/>
      <c r="H32" s="215"/>
      <c r="J32" s="215"/>
      <c r="K32" s="215"/>
      <c r="L32" s="215"/>
      <c r="M32" s="215"/>
      <c r="N32" s="215"/>
      <c r="P32" s="215"/>
      <c r="Q32" s="215"/>
      <c r="R32" s="215"/>
      <c r="S32" s="215"/>
      <c r="T32" s="215"/>
      <c r="U32" s="215"/>
      <c r="W32" s="215"/>
      <c r="AB32" s="215"/>
      <c r="AF32" s="302"/>
      <c r="AG32" s="215"/>
      <c r="AK32" s="302"/>
      <c r="AL32" s="302"/>
    </row>
    <row r="33" spans="1:38" ht="13">
      <c r="B33" s="328" t="s">
        <v>54</v>
      </c>
      <c r="C33" s="329">
        <f>SUM(C21:C31)</f>
        <v>14002423</v>
      </c>
      <c r="D33" s="328"/>
      <c r="E33" s="329">
        <f>SUM(E21:E31)</f>
        <v>14236992</v>
      </c>
      <c r="F33" s="329">
        <f>SUM(F21:F31)</f>
        <v>14427829</v>
      </c>
      <c r="G33" s="329">
        <f>SUM(G21:G31)</f>
        <v>14614447</v>
      </c>
      <c r="H33" s="329">
        <f>SUM(H21:H31)</f>
        <v>14799931</v>
      </c>
      <c r="I33" s="34"/>
      <c r="J33" s="329">
        <f>SUM(J21:J31)</f>
        <v>14190894</v>
      </c>
      <c r="K33" s="329">
        <f>SUM(K21:K31)</f>
        <v>15537734</v>
      </c>
      <c r="L33" s="329">
        <f>SUM(L21:L31)</f>
        <v>15666033</v>
      </c>
      <c r="M33" s="329">
        <f>SUM(M21:M31)</f>
        <v>15504949</v>
      </c>
      <c r="N33" s="329">
        <f>SUM(N21:N31)</f>
        <v>15758101</v>
      </c>
      <c r="O33" s="320" t="s">
        <v>154</v>
      </c>
      <c r="P33" s="329">
        <f t="shared" ref="P33:U33" si="1">SUM(P21:P31)</f>
        <v>15527781</v>
      </c>
      <c r="Q33" s="329">
        <f t="shared" si="1"/>
        <v>15453300</v>
      </c>
      <c r="R33" s="329">
        <f t="shared" si="1"/>
        <v>15289549</v>
      </c>
      <c r="S33" s="329">
        <f t="shared" si="1"/>
        <v>15521479</v>
      </c>
      <c r="T33" s="329">
        <f t="shared" si="1"/>
        <v>16460927</v>
      </c>
      <c r="U33" s="329">
        <f t="shared" si="1"/>
        <v>16543176</v>
      </c>
      <c r="W33" s="329">
        <f>SUM(W21:W31)</f>
        <v>16600768</v>
      </c>
      <c r="X33" s="329">
        <f>SUM(X21:X31)</f>
        <v>16878519</v>
      </c>
      <c r="Y33" s="329">
        <f>SUM(Y21:Y31)</f>
        <v>16721683</v>
      </c>
      <c r="Z33" s="329">
        <f>SUM(Z21:Z31)</f>
        <v>16843998</v>
      </c>
      <c r="AB33" s="329">
        <f>SUM(AB21:AB31)</f>
        <v>16772625</v>
      </c>
      <c r="AC33" s="329">
        <f>SUM(AC21:AC31)</f>
        <v>17063540</v>
      </c>
      <c r="AD33" s="329">
        <f>SUM(AD21:AD31)</f>
        <v>17292003</v>
      </c>
      <c r="AE33" s="329">
        <f>SUM(AE21:AE31)</f>
        <v>17591399</v>
      </c>
      <c r="AF33" s="302"/>
      <c r="AG33" s="329">
        <f>SUM(AG21:AG31)</f>
        <v>17285170</v>
      </c>
      <c r="AH33" s="329">
        <f>SUM(AH21:AH31)</f>
        <v>17303235</v>
      </c>
      <c r="AI33" s="329">
        <f>SUM(AI21:AI31)</f>
        <v>17998483</v>
      </c>
      <c r="AJ33" s="329">
        <f>SUM(AJ21:AJ31)</f>
        <v>17732427</v>
      </c>
      <c r="AK33" s="302"/>
      <c r="AL33" s="302"/>
    </row>
    <row r="34" spans="1:38" ht="10.5" customHeight="1">
      <c r="B34" s="303"/>
      <c r="C34" s="301"/>
      <c r="D34" s="303"/>
      <c r="E34" s="301"/>
      <c r="F34" s="301"/>
      <c r="G34" s="301"/>
      <c r="H34" s="301"/>
      <c r="J34" s="301"/>
      <c r="K34" s="301"/>
      <c r="L34" s="301"/>
      <c r="M34" s="301"/>
      <c r="N34" s="301"/>
      <c r="P34" s="301"/>
      <c r="Q34" s="301"/>
      <c r="R34" s="301"/>
      <c r="S34" s="301"/>
      <c r="T34" s="301"/>
      <c r="U34" s="301"/>
      <c r="W34" s="301"/>
      <c r="AB34" s="301"/>
      <c r="AF34" s="302"/>
      <c r="AG34" s="301"/>
      <c r="AK34" s="302"/>
      <c r="AL34" s="302"/>
    </row>
    <row r="35" spans="1:38" ht="20.25" customHeight="1">
      <c r="B35" s="330" t="s">
        <v>55</v>
      </c>
      <c r="C35" s="331">
        <f>+C19+C33</f>
        <v>14342821</v>
      </c>
      <c r="D35" s="328"/>
      <c r="E35" s="331">
        <f>+E19+E33</f>
        <v>14854507</v>
      </c>
      <c r="F35" s="331">
        <f>+F19+F33</f>
        <v>14874524</v>
      </c>
      <c r="G35" s="331">
        <f>+G19+G33</f>
        <v>15324587</v>
      </c>
      <c r="H35" s="331">
        <f>+H19+H33</f>
        <v>15212436</v>
      </c>
      <c r="J35" s="331">
        <f>+J19+J33</f>
        <v>14952164</v>
      </c>
      <c r="K35" s="331">
        <f>+K19+K33</f>
        <v>15971524</v>
      </c>
      <c r="L35" s="331">
        <f>+L19+L33</f>
        <v>16466153</v>
      </c>
      <c r="M35" s="331">
        <f>+M19+M33</f>
        <v>16169425</v>
      </c>
      <c r="N35" s="331">
        <f>+N19+N33</f>
        <v>16327837</v>
      </c>
      <c r="P35" s="331">
        <f t="shared" ref="P35:U35" si="2">+P19+P33</f>
        <v>16210864</v>
      </c>
      <c r="Q35" s="331">
        <f t="shared" si="2"/>
        <v>16005705</v>
      </c>
      <c r="R35" s="331">
        <f t="shared" si="2"/>
        <v>15919947</v>
      </c>
      <c r="S35" s="331">
        <f t="shared" si="2"/>
        <v>16051630</v>
      </c>
      <c r="T35" s="331">
        <f t="shared" si="2"/>
        <v>16995199</v>
      </c>
      <c r="U35" s="331">
        <f t="shared" si="2"/>
        <v>17083471</v>
      </c>
      <c r="W35" s="331">
        <f>+W19+W33</f>
        <v>17289534</v>
      </c>
      <c r="X35" s="331">
        <f>+X19+X33</f>
        <v>17469084</v>
      </c>
      <c r="Y35" s="331">
        <f>+Y19+Y33</f>
        <v>17504261</v>
      </c>
      <c r="Z35" s="331">
        <f>+Z19+Z33</f>
        <v>17523550</v>
      </c>
      <c r="AB35" s="331">
        <f>+AB19+AB33</f>
        <v>17598033</v>
      </c>
      <c r="AC35" s="331">
        <f>+AC19+AC33</f>
        <v>17712442</v>
      </c>
      <c r="AD35" s="331">
        <f>+AD19+AD33</f>
        <v>17701476</v>
      </c>
      <c r="AE35" s="331">
        <f>+AE19+AE33</f>
        <v>17946404</v>
      </c>
      <c r="AF35" s="302"/>
      <c r="AG35" s="331">
        <f>+AG19+AG33</f>
        <v>17960990</v>
      </c>
      <c r="AH35" s="331">
        <f>+AH19+AH33</f>
        <v>17841047</v>
      </c>
      <c r="AI35" s="331">
        <f>+AI19+AI33</f>
        <v>18454416</v>
      </c>
      <c r="AJ35" s="331">
        <f>+AJ19+AJ33</f>
        <v>18160512</v>
      </c>
      <c r="AK35" s="302"/>
      <c r="AL35" s="302"/>
    </row>
    <row r="36" spans="1:38" ht="20.25" customHeight="1">
      <c r="B36" s="332" t="s">
        <v>48</v>
      </c>
      <c r="C36" s="333">
        <v>7443.7397175671958</v>
      </c>
      <c r="D36" s="334"/>
      <c r="E36" s="333">
        <v>7558.3146764903431</v>
      </c>
      <c r="F36" s="333">
        <v>7906.9759035504121</v>
      </c>
      <c r="G36" s="333">
        <v>7554.714367408108</v>
      </c>
      <c r="H36" s="333">
        <v>6358.4912600419648</v>
      </c>
      <c r="J36" s="333">
        <v>5804.2988296034619</v>
      </c>
      <c r="K36" s="333">
        <v>6178.2763596133236</v>
      </c>
      <c r="L36" s="333">
        <v>5274.3335874488293</v>
      </c>
      <c r="M36" s="333">
        <v>5134.0146119823339</v>
      </c>
      <c r="N36" s="333">
        <v>5184.3125986277064</v>
      </c>
      <c r="P36" s="333">
        <v>5363.6620510529883</v>
      </c>
      <c r="Q36" s="333">
        <v>5488.6425595391183</v>
      </c>
      <c r="R36" s="333">
        <v>5527.8553447108461</v>
      </c>
      <c r="S36" s="333">
        <v>5574</v>
      </c>
      <c r="T36" s="333">
        <f>+T35/3000.71</f>
        <v>5663.7259181993595</v>
      </c>
      <c r="U36" s="333">
        <v>5693.1429561670402</v>
      </c>
      <c r="W36" s="333">
        <v>6002.8101824847936</v>
      </c>
      <c r="X36" s="333">
        <v>5750</v>
      </c>
      <c r="Y36" s="333">
        <v>5960</v>
      </c>
      <c r="Z36" s="333">
        <f>+Z35/2984</f>
        <v>5872.5033512064347</v>
      </c>
      <c r="AB36" s="333">
        <f>+AB35/2780.47</f>
        <v>6329.1576603955455</v>
      </c>
      <c r="AC36" s="333">
        <f>+AC35/2930.8</f>
        <v>6043.5519312133201</v>
      </c>
      <c r="AD36" s="333">
        <f>+AD35/2972.18</f>
        <v>5955.7213896870317</v>
      </c>
      <c r="AE36" s="333">
        <f>+AE35/3249.75</f>
        <v>5522.3952611739369</v>
      </c>
      <c r="AF36" s="302"/>
      <c r="AG36" s="333">
        <f>+AG35/3174.79</f>
        <v>5657.3789132509555</v>
      </c>
      <c r="AH36" s="333">
        <f>+AH35/3205.67</f>
        <v>5565.4658776480419</v>
      </c>
      <c r="AI36" s="333">
        <f>+AI35/3462.01</f>
        <v>5330.5495940219698</v>
      </c>
      <c r="AJ36" s="333">
        <f>+AJ35/3277.14</f>
        <v>5541.5734451381386</v>
      </c>
      <c r="AK36" s="302"/>
      <c r="AL36" s="302"/>
    </row>
    <row r="37" spans="1:38" ht="3.75" customHeight="1">
      <c r="C37" s="299"/>
      <c r="J37" s="299"/>
      <c r="K37" s="299"/>
      <c r="L37" s="299"/>
      <c r="M37" s="299"/>
      <c r="N37" s="299"/>
      <c r="P37" s="299"/>
      <c r="Q37" s="299"/>
      <c r="R37" s="299"/>
      <c r="S37" s="299"/>
      <c r="T37" s="299"/>
      <c r="U37" s="299"/>
      <c r="W37" s="299"/>
      <c r="AB37" s="299"/>
      <c r="AF37" s="302"/>
      <c r="AG37" s="299"/>
      <c r="AK37" s="302"/>
      <c r="AL37" s="302"/>
    </row>
    <row r="38" spans="1:38" ht="16.5" customHeight="1">
      <c r="B38" s="300" t="s">
        <v>33</v>
      </c>
      <c r="C38" s="215">
        <v>403345</v>
      </c>
      <c r="D38" s="300"/>
      <c r="E38" s="301">
        <v>561428</v>
      </c>
      <c r="F38" s="301">
        <v>417165</v>
      </c>
      <c r="G38" s="301">
        <v>171377</v>
      </c>
      <c r="H38" s="215">
        <v>0</v>
      </c>
      <c r="J38" s="301">
        <v>103745</v>
      </c>
      <c r="K38" s="301">
        <v>116234</v>
      </c>
      <c r="L38" s="301">
        <v>123695</v>
      </c>
      <c r="M38" s="301">
        <v>123415</v>
      </c>
      <c r="N38" s="301">
        <v>123415</v>
      </c>
      <c r="P38" s="301">
        <v>5105</v>
      </c>
      <c r="Q38" s="301">
        <v>5500</v>
      </c>
      <c r="R38" s="301">
        <v>5891</v>
      </c>
      <c r="S38" s="301">
        <v>5891</v>
      </c>
      <c r="T38" s="301">
        <v>5920</v>
      </c>
      <c r="U38" s="301">
        <v>5920</v>
      </c>
      <c r="W38" s="301">
        <v>37394</v>
      </c>
      <c r="X38" s="301">
        <v>13044</v>
      </c>
      <c r="Y38" s="301">
        <v>4056</v>
      </c>
      <c r="Z38" s="301">
        <v>3728</v>
      </c>
      <c r="AB38" s="301">
        <v>2871</v>
      </c>
      <c r="AC38" s="301">
        <v>186376</v>
      </c>
      <c r="AD38" s="301">
        <v>243729</v>
      </c>
      <c r="AE38" s="301">
        <v>119106</v>
      </c>
      <c r="AF38" s="302"/>
      <c r="AG38" s="301">
        <v>140423</v>
      </c>
      <c r="AH38" s="301">
        <v>144537</v>
      </c>
      <c r="AI38" s="301">
        <v>270</v>
      </c>
      <c r="AJ38" s="301">
        <v>4252</v>
      </c>
      <c r="AK38" s="302"/>
      <c r="AL38" s="302"/>
    </row>
    <row r="39" spans="1:38" ht="16.5" customHeight="1">
      <c r="B39" s="300" t="s">
        <v>257</v>
      </c>
      <c r="C39" s="215"/>
      <c r="D39" s="300"/>
      <c r="E39" s="301"/>
      <c r="F39" s="301"/>
      <c r="G39" s="301"/>
      <c r="H39" s="215"/>
      <c r="J39" s="301"/>
      <c r="K39" s="301"/>
      <c r="L39" s="301"/>
      <c r="M39" s="301"/>
      <c r="N39" s="301"/>
      <c r="P39" s="301"/>
      <c r="Q39" s="301"/>
      <c r="R39" s="301"/>
      <c r="S39" s="301"/>
      <c r="T39" s="301"/>
      <c r="U39" s="301"/>
      <c r="W39" s="301"/>
      <c r="X39" s="301"/>
      <c r="Y39" s="301"/>
      <c r="Z39" s="301"/>
      <c r="AB39" s="301"/>
      <c r="AC39" s="301"/>
      <c r="AD39" s="301"/>
      <c r="AE39" s="301"/>
      <c r="AF39" s="302"/>
      <c r="AG39" s="335">
        <v>1310</v>
      </c>
      <c r="AH39" s="301">
        <v>956</v>
      </c>
      <c r="AI39" s="301">
        <v>527</v>
      </c>
      <c r="AJ39" s="301">
        <v>2036</v>
      </c>
      <c r="AK39" s="302"/>
      <c r="AL39" s="302"/>
    </row>
    <row r="40" spans="1:38" ht="16.5" customHeight="1">
      <c r="A40" s="302"/>
      <c r="B40" s="300" t="s">
        <v>61</v>
      </c>
      <c r="C40" s="301">
        <v>33543</v>
      </c>
      <c r="D40" s="300"/>
      <c r="E40" s="301">
        <v>36840</v>
      </c>
      <c r="F40" s="301">
        <v>41640</v>
      </c>
      <c r="G40" s="301">
        <v>37478</v>
      </c>
      <c r="H40" s="301">
        <v>30429</v>
      </c>
      <c r="J40" s="301">
        <v>39346</v>
      </c>
      <c r="K40" s="301">
        <v>20123</v>
      </c>
      <c r="L40" s="301">
        <v>13302</v>
      </c>
      <c r="M40" s="301">
        <f>4958+338</f>
        <v>5296</v>
      </c>
      <c r="N40" s="301">
        <f>4958+338</f>
        <v>5296</v>
      </c>
      <c r="P40" s="301">
        <v>6939</v>
      </c>
      <c r="Q40" s="301">
        <v>112523</v>
      </c>
      <c r="R40" s="301">
        <v>137205</v>
      </c>
      <c r="S40" s="301">
        <v>137205</v>
      </c>
      <c r="T40" s="301">
        <v>139132</v>
      </c>
      <c r="U40" s="301">
        <v>139132</v>
      </c>
      <c r="W40" s="301">
        <v>139602</v>
      </c>
      <c r="X40" s="301">
        <v>139748</v>
      </c>
      <c r="Y40" s="301">
        <v>365315</v>
      </c>
      <c r="Z40" s="301">
        <v>367340</v>
      </c>
      <c r="AB40" s="301">
        <v>373220</v>
      </c>
      <c r="AC40" s="301">
        <v>103602</v>
      </c>
      <c r="AD40" s="301">
        <v>7136</v>
      </c>
      <c r="AE40" s="301">
        <v>121691</v>
      </c>
      <c r="AF40" s="302"/>
      <c r="AG40" s="301">
        <v>110611</v>
      </c>
      <c r="AH40" s="301">
        <v>94580</v>
      </c>
      <c r="AI40" s="301">
        <v>8031</v>
      </c>
      <c r="AJ40" s="301">
        <v>8274</v>
      </c>
      <c r="AK40" s="302"/>
      <c r="AL40" s="302"/>
    </row>
    <row r="41" spans="1:38" ht="16.5" customHeight="1">
      <c r="B41" s="300" t="s">
        <v>138</v>
      </c>
      <c r="C41" s="301">
        <v>125609</v>
      </c>
      <c r="D41" s="300"/>
      <c r="E41" s="301">
        <v>273125</v>
      </c>
      <c r="F41" s="301">
        <v>227780</v>
      </c>
      <c r="G41" s="301">
        <v>167568</v>
      </c>
      <c r="H41" s="301">
        <v>143921</v>
      </c>
      <c r="J41" s="301">
        <f>290138+1</f>
        <v>290139</v>
      </c>
      <c r="K41" s="301">
        <v>299078</v>
      </c>
      <c r="L41" s="301">
        <v>232572</v>
      </c>
      <c r="M41" s="301">
        <f>185324-338-2012-4543</f>
        <v>178431</v>
      </c>
      <c r="N41" s="301">
        <f>185324-338-2012-4543</f>
        <v>178431</v>
      </c>
      <c r="P41" s="301">
        <v>334268</v>
      </c>
      <c r="Q41" s="301">
        <v>238607</v>
      </c>
      <c r="R41" s="301">
        <v>156449</v>
      </c>
      <c r="S41" s="301">
        <v>156449</v>
      </c>
      <c r="T41" s="301">
        <v>92004</v>
      </c>
      <c r="U41" s="301">
        <v>136251</v>
      </c>
      <c r="W41" s="301">
        <v>529169</v>
      </c>
      <c r="X41" s="301">
        <v>225831</v>
      </c>
      <c r="Y41" s="301">
        <v>157093</v>
      </c>
      <c r="Z41" s="301">
        <v>83789</v>
      </c>
      <c r="AB41" s="301">
        <v>16130</v>
      </c>
      <c r="AC41" s="301">
        <v>225365</v>
      </c>
      <c r="AD41" s="301">
        <v>156633</v>
      </c>
      <c r="AE41" s="301">
        <v>90551</v>
      </c>
      <c r="AF41" s="302"/>
      <c r="AG41" s="301">
        <v>316035</v>
      </c>
      <c r="AH41" s="301">
        <v>242184</v>
      </c>
      <c r="AI41" s="301">
        <v>165111</v>
      </c>
      <c r="AJ41" s="301">
        <v>93764</v>
      </c>
      <c r="AK41" s="302"/>
      <c r="AL41" s="302"/>
    </row>
    <row r="42" spans="1:38" ht="16.5" customHeight="1">
      <c r="B42" s="300" t="s">
        <v>132</v>
      </c>
      <c r="C42" s="301">
        <v>1155</v>
      </c>
      <c r="D42" s="300"/>
      <c r="E42" s="301">
        <v>1155</v>
      </c>
      <c r="F42" s="301">
        <v>1143</v>
      </c>
      <c r="G42" s="301">
        <v>2259</v>
      </c>
      <c r="H42" s="301">
        <v>1863</v>
      </c>
      <c r="J42" s="301">
        <v>6909</v>
      </c>
      <c r="K42" s="301">
        <v>2521</v>
      </c>
      <c r="L42" s="301">
        <v>1249</v>
      </c>
      <c r="M42" s="301">
        <f>770+495</f>
        <v>1265</v>
      </c>
      <c r="N42" s="301">
        <f>770+495</f>
        <v>1265</v>
      </c>
      <c r="P42" s="301">
        <v>1288</v>
      </c>
      <c r="Q42" s="301">
        <v>1312</v>
      </c>
      <c r="R42" s="301">
        <v>1335</v>
      </c>
      <c r="S42" s="301">
        <v>1335</v>
      </c>
      <c r="T42" s="301">
        <v>1921</v>
      </c>
      <c r="U42" s="301">
        <v>1921</v>
      </c>
      <c r="W42" s="301">
        <v>1921</v>
      </c>
      <c r="X42" s="301">
        <v>1921</v>
      </c>
      <c r="Y42" s="301">
        <v>514</v>
      </c>
      <c r="Z42" s="301">
        <v>515</v>
      </c>
      <c r="AB42" s="301">
        <v>515</v>
      </c>
      <c r="AC42" s="301">
        <v>730</v>
      </c>
      <c r="AD42" s="301">
        <v>701</v>
      </c>
      <c r="AE42" s="301">
        <v>701</v>
      </c>
      <c r="AF42" s="302"/>
      <c r="AG42" s="301">
        <v>701</v>
      </c>
      <c r="AH42" s="301">
        <v>701</v>
      </c>
      <c r="AI42" s="301">
        <v>701</v>
      </c>
      <c r="AJ42" s="301">
        <v>322</v>
      </c>
      <c r="AK42" s="302"/>
      <c r="AL42" s="302"/>
    </row>
    <row r="43" spans="1:38" ht="16.5" customHeight="1">
      <c r="B43" s="300" t="s">
        <v>137</v>
      </c>
      <c r="C43" s="301">
        <v>14212</v>
      </c>
      <c r="D43" s="300"/>
      <c r="E43" s="301">
        <v>13649</v>
      </c>
      <c r="F43" s="301">
        <v>4584</v>
      </c>
      <c r="G43" s="301">
        <v>5905</v>
      </c>
      <c r="H43" s="301">
        <v>470</v>
      </c>
      <c r="J43" s="301">
        <v>14957</v>
      </c>
      <c r="K43" s="301">
        <v>13510</v>
      </c>
      <c r="L43" s="301">
        <v>9066</v>
      </c>
      <c r="M43" s="301">
        <f>14177-3630</f>
        <v>10547</v>
      </c>
      <c r="N43" s="301">
        <v>10547</v>
      </c>
      <c r="P43" s="301">
        <v>30459</v>
      </c>
      <c r="Q43" s="301">
        <v>12074</v>
      </c>
      <c r="R43" s="301">
        <v>7176</v>
      </c>
      <c r="S43" s="301">
        <v>4689</v>
      </c>
      <c r="T43" s="301">
        <v>5562</v>
      </c>
      <c r="U43" s="301">
        <v>5741</v>
      </c>
      <c r="W43" s="301">
        <v>6513</v>
      </c>
      <c r="X43" s="301">
        <v>9381</v>
      </c>
      <c r="Y43" s="301">
        <v>38001</v>
      </c>
      <c r="Z43" s="301">
        <v>45668</v>
      </c>
      <c r="AB43" s="301">
        <v>40290</v>
      </c>
      <c r="AC43" s="301">
        <v>7684</v>
      </c>
      <c r="AD43" s="301">
        <v>11670</v>
      </c>
      <c r="AE43" s="301">
        <v>23811</v>
      </c>
      <c r="AF43" s="302"/>
      <c r="AG43" s="301">
        <v>12083</v>
      </c>
      <c r="AH43" s="301">
        <v>1711</v>
      </c>
      <c r="AI43" s="301">
        <v>5469</v>
      </c>
      <c r="AJ43" s="301">
        <v>1974</v>
      </c>
      <c r="AK43" s="302"/>
      <c r="AL43" s="302"/>
    </row>
    <row r="44" spans="1:38" ht="16.5" customHeight="1">
      <c r="B44" s="327" t="s">
        <v>194</v>
      </c>
      <c r="C44" s="336">
        <f>712+1000</f>
        <v>1712</v>
      </c>
      <c r="D44" s="327"/>
      <c r="E44" s="336">
        <f>879+1058</f>
        <v>1937</v>
      </c>
      <c r="F44" s="336">
        <f>786+1177</f>
        <v>1963</v>
      </c>
      <c r="G44" s="336">
        <f>4094-1040</f>
        <v>3054</v>
      </c>
      <c r="H44" s="336">
        <f>944+1000</f>
        <v>1944</v>
      </c>
      <c r="I44" s="337"/>
      <c r="J44" s="336">
        <f>1118+1347</f>
        <v>2465</v>
      </c>
      <c r="K44" s="336">
        <f>1243+1374</f>
        <v>2617</v>
      </c>
      <c r="L44" s="336">
        <f>1427-1+10</f>
        <v>1436</v>
      </c>
      <c r="M44" s="336">
        <f>1933+517+2012+4543-495</f>
        <v>8510</v>
      </c>
      <c r="N44" s="336">
        <f>1933+517+2012+4543-495</f>
        <v>8510</v>
      </c>
      <c r="O44" s="337"/>
      <c r="P44" s="336">
        <f>2087+517</f>
        <v>2604</v>
      </c>
      <c r="Q44" s="336">
        <f>4228+517</f>
        <v>4745</v>
      </c>
      <c r="R44" s="336">
        <f>6690+517</f>
        <v>7207</v>
      </c>
      <c r="S44" s="336">
        <v>7207</v>
      </c>
      <c r="T44" s="336">
        <f>8961+2815</f>
        <v>11776</v>
      </c>
      <c r="U44" s="336">
        <v>11776</v>
      </c>
      <c r="W44" s="336">
        <v>9084</v>
      </c>
      <c r="X44" s="336">
        <v>8701</v>
      </c>
      <c r="Y44" s="336">
        <v>11409</v>
      </c>
      <c r="Z44" s="336">
        <v>12683</v>
      </c>
      <c r="AB44" s="336">
        <v>15129</v>
      </c>
      <c r="AC44" s="336">
        <v>7703</v>
      </c>
      <c r="AD44" s="336">
        <v>10057</v>
      </c>
      <c r="AE44" s="336">
        <v>11414</v>
      </c>
      <c r="AF44" s="302"/>
      <c r="AG44" s="336">
        <v>5829</v>
      </c>
      <c r="AH44" s="336">
        <v>7943</v>
      </c>
      <c r="AI44" s="336">
        <v>9809</v>
      </c>
      <c r="AJ44" s="336">
        <v>12404</v>
      </c>
      <c r="AK44" s="302"/>
      <c r="AL44" s="302"/>
    </row>
    <row r="45" spans="1:38" ht="16.5" customHeight="1">
      <c r="B45" s="327" t="s">
        <v>133</v>
      </c>
      <c r="C45" s="265">
        <v>0</v>
      </c>
      <c r="D45" s="327"/>
      <c r="E45" s="265">
        <v>0</v>
      </c>
      <c r="F45" s="265">
        <v>0</v>
      </c>
      <c r="G45" s="265">
        <v>0</v>
      </c>
      <c r="H45" s="265">
        <v>0</v>
      </c>
      <c r="I45" s="337"/>
      <c r="J45" s="265">
        <v>0</v>
      </c>
      <c r="K45" s="265">
        <v>0</v>
      </c>
      <c r="L45" s="265">
        <v>0</v>
      </c>
      <c r="M45" s="265">
        <v>0</v>
      </c>
      <c r="N45" s="265">
        <v>0</v>
      </c>
      <c r="O45" s="337"/>
      <c r="P45" s="265">
        <v>0</v>
      </c>
      <c r="Q45" s="265">
        <v>0</v>
      </c>
      <c r="R45" s="265">
        <v>0</v>
      </c>
      <c r="S45" s="265">
        <v>0</v>
      </c>
      <c r="T45" s="265">
        <v>0</v>
      </c>
      <c r="U45" s="265">
        <v>0</v>
      </c>
      <c r="W45" s="265">
        <v>0</v>
      </c>
      <c r="X45" s="265">
        <v>0</v>
      </c>
      <c r="Y45" s="265">
        <v>0</v>
      </c>
      <c r="Z45" s="265">
        <v>0</v>
      </c>
      <c r="AB45" s="265">
        <v>0</v>
      </c>
      <c r="AC45" s="265">
        <v>0</v>
      </c>
      <c r="AD45" s="265">
        <v>0</v>
      </c>
      <c r="AE45" s="265">
        <v>0</v>
      </c>
      <c r="AF45" s="302"/>
      <c r="AG45" s="265">
        <v>0</v>
      </c>
      <c r="AH45" s="265">
        <v>0</v>
      </c>
      <c r="AI45" s="265">
        <v>0</v>
      </c>
      <c r="AJ45" s="265">
        <v>0</v>
      </c>
      <c r="AK45" s="302"/>
      <c r="AL45" s="302"/>
    </row>
    <row r="46" spans="1:38" ht="16.5" customHeight="1">
      <c r="A46" s="302"/>
      <c r="B46" s="303" t="s">
        <v>280</v>
      </c>
      <c r="C46" s="215"/>
      <c r="D46" s="300"/>
      <c r="E46" s="301"/>
      <c r="F46" s="215"/>
      <c r="G46" s="215"/>
      <c r="H46" s="215"/>
      <c r="J46" s="301"/>
      <c r="K46" s="301"/>
      <c r="L46" s="301"/>
      <c r="M46" s="301"/>
      <c r="N46" s="301"/>
      <c r="P46" s="301"/>
      <c r="Q46" s="301"/>
      <c r="R46" s="301"/>
      <c r="S46" s="301"/>
      <c r="T46" s="301"/>
      <c r="U46" s="301"/>
      <c r="W46" s="301"/>
      <c r="X46" s="301"/>
      <c r="Y46" s="301"/>
      <c r="Z46" s="301"/>
      <c r="AB46" s="215"/>
      <c r="AC46" s="301"/>
      <c r="AD46" s="301"/>
      <c r="AE46" s="301"/>
      <c r="AF46" s="302"/>
      <c r="AG46" s="215">
        <v>0</v>
      </c>
      <c r="AH46" s="215">
        <v>0</v>
      </c>
      <c r="AI46" s="215">
        <v>0</v>
      </c>
      <c r="AJ46" s="215">
        <v>0</v>
      </c>
      <c r="AK46" s="302"/>
      <c r="AL46" s="302"/>
    </row>
    <row r="47" spans="1:38" ht="16.5" customHeight="1">
      <c r="A47" s="302"/>
      <c r="B47" s="300" t="s">
        <v>271</v>
      </c>
      <c r="C47" s="215">
        <v>29061</v>
      </c>
      <c r="D47" s="300"/>
      <c r="E47" s="301">
        <v>34331</v>
      </c>
      <c r="F47" s="215">
        <f>-12515-1</f>
        <v>-12516</v>
      </c>
      <c r="G47" s="215">
        <v>91213</v>
      </c>
      <c r="H47" s="215">
        <v>27501</v>
      </c>
      <c r="J47" s="301">
        <v>35618</v>
      </c>
      <c r="K47" s="301">
        <v>41521</v>
      </c>
      <c r="L47" s="301">
        <v>27833</v>
      </c>
      <c r="M47" s="301">
        <f>17253+3630</f>
        <v>20883</v>
      </c>
      <c r="N47" s="301">
        <v>20883</v>
      </c>
      <c r="P47" s="301">
        <v>16536</v>
      </c>
      <c r="Q47" s="301">
        <v>19515</v>
      </c>
      <c r="R47" s="301">
        <v>51633</v>
      </c>
      <c r="S47" s="301">
        <v>54120</v>
      </c>
      <c r="T47" s="301">
        <v>46770</v>
      </c>
      <c r="U47" s="301">
        <v>46824</v>
      </c>
      <c r="W47" s="301">
        <v>56382</v>
      </c>
      <c r="X47" s="301">
        <v>49969</v>
      </c>
      <c r="Y47" s="301">
        <v>47983</v>
      </c>
      <c r="Z47" s="301">
        <v>62970</v>
      </c>
      <c r="AB47" s="215">
        <v>41421</v>
      </c>
      <c r="AC47" s="301">
        <v>41900</v>
      </c>
      <c r="AD47" s="301">
        <v>46355</v>
      </c>
      <c r="AE47" s="301">
        <v>25420</v>
      </c>
      <c r="AF47" s="302"/>
      <c r="AG47" s="215">
        <v>23407</v>
      </c>
      <c r="AH47" s="301">
        <v>24551</v>
      </c>
      <c r="AI47" s="301">
        <v>30117</v>
      </c>
      <c r="AJ47" s="301">
        <v>53332</v>
      </c>
      <c r="AK47" s="302"/>
      <c r="AL47" s="302"/>
    </row>
    <row r="48" spans="1:38" ht="16.5" customHeight="1">
      <c r="A48" s="302"/>
      <c r="B48" s="300" t="s">
        <v>136</v>
      </c>
      <c r="C48" s="215">
        <v>1451</v>
      </c>
      <c r="D48" s="300"/>
      <c r="E48" s="215">
        <v>6987</v>
      </c>
      <c r="F48" s="215">
        <v>15170</v>
      </c>
      <c r="G48" s="215">
        <v>0</v>
      </c>
      <c r="H48" s="215">
        <v>0</v>
      </c>
      <c r="J48" s="215">
        <v>0</v>
      </c>
      <c r="K48" s="215">
        <v>0</v>
      </c>
      <c r="L48" s="215">
        <v>0</v>
      </c>
      <c r="M48" s="215">
        <v>0</v>
      </c>
      <c r="N48" s="215">
        <v>0</v>
      </c>
      <c r="P48" s="215">
        <v>0</v>
      </c>
      <c r="Q48" s="215">
        <v>0</v>
      </c>
      <c r="R48" s="215">
        <v>0</v>
      </c>
      <c r="S48" s="215">
        <v>0</v>
      </c>
      <c r="T48" s="215">
        <v>0</v>
      </c>
      <c r="U48" s="215">
        <v>0</v>
      </c>
      <c r="W48" s="215">
        <v>0</v>
      </c>
      <c r="X48" s="215">
        <v>0</v>
      </c>
      <c r="Y48" s="215">
        <v>0</v>
      </c>
      <c r="Z48" s="215">
        <v>0</v>
      </c>
      <c r="AB48" s="215">
        <v>0</v>
      </c>
      <c r="AC48" s="215">
        <v>0</v>
      </c>
      <c r="AD48" s="215">
        <v>0</v>
      </c>
      <c r="AE48" s="215">
        <v>175</v>
      </c>
      <c r="AF48" s="302"/>
      <c r="AG48" s="215">
        <v>3182</v>
      </c>
      <c r="AH48" s="215">
        <v>2420</v>
      </c>
      <c r="AI48" s="215">
        <v>1389</v>
      </c>
      <c r="AJ48" s="215">
        <v>42</v>
      </c>
      <c r="AK48" s="302"/>
      <c r="AL48" s="302"/>
    </row>
    <row r="49" spans="1:38" ht="16.5" customHeight="1">
      <c r="B49" s="300" t="s">
        <v>85</v>
      </c>
      <c r="C49" s="215">
        <v>0</v>
      </c>
      <c r="D49" s="300"/>
      <c r="E49" s="215">
        <v>0</v>
      </c>
      <c r="F49" s="215">
        <v>0</v>
      </c>
      <c r="G49" s="215">
        <v>0</v>
      </c>
      <c r="H49" s="215">
        <v>0</v>
      </c>
      <c r="J49" s="215">
        <v>0</v>
      </c>
      <c r="K49" s="215">
        <v>0</v>
      </c>
      <c r="L49" s="215">
        <v>0</v>
      </c>
      <c r="M49" s="215">
        <v>0</v>
      </c>
      <c r="N49" s="215">
        <v>0</v>
      </c>
      <c r="P49" s="215">
        <v>0</v>
      </c>
      <c r="Q49" s="215">
        <v>0</v>
      </c>
      <c r="R49" s="215">
        <v>0</v>
      </c>
      <c r="S49" s="215">
        <v>0</v>
      </c>
      <c r="T49" s="215">
        <v>0</v>
      </c>
      <c r="U49" s="215">
        <v>0</v>
      </c>
      <c r="W49" s="215">
        <v>0</v>
      </c>
      <c r="X49" s="215">
        <v>0</v>
      </c>
      <c r="Y49" s="215">
        <v>0</v>
      </c>
      <c r="Z49" s="215">
        <v>0</v>
      </c>
      <c r="AB49" s="215">
        <v>0</v>
      </c>
      <c r="AC49" s="215">
        <v>0</v>
      </c>
      <c r="AD49" s="215">
        <v>0</v>
      </c>
      <c r="AE49" s="215">
        <v>0</v>
      </c>
      <c r="AF49" s="302"/>
      <c r="AG49" s="215">
        <v>0</v>
      </c>
      <c r="AH49" s="215">
        <v>0</v>
      </c>
      <c r="AI49" s="215">
        <v>0</v>
      </c>
      <c r="AJ49" s="215"/>
      <c r="AK49" s="302"/>
      <c r="AL49" s="302"/>
    </row>
    <row r="50" spans="1:38" ht="3.75" customHeight="1">
      <c r="B50" s="300"/>
      <c r="C50" s="215"/>
      <c r="D50" s="300"/>
      <c r="E50" s="215"/>
      <c r="F50" s="215"/>
      <c r="G50" s="215"/>
      <c r="H50" s="215"/>
      <c r="J50" s="215"/>
      <c r="K50" s="215"/>
      <c r="L50" s="215"/>
      <c r="M50" s="215"/>
      <c r="N50" s="215"/>
      <c r="P50" s="215"/>
      <c r="Q50" s="215"/>
      <c r="R50" s="215"/>
      <c r="S50" s="215"/>
      <c r="T50" s="215"/>
      <c r="U50" s="215"/>
      <c r="W50" s="215"/>
      <c r="AB50" s="215"/>
      <c r="AF50" s="302"/>
      <c r="AG50" s="215"/>
      <c r="AK50" s="302"/>
      <c r="AL50" s="302"/>
    </row>
    <row r="51" spans="1:38" ht="20.25" customHeight="1">
      <c r="B51" s="328" t="s">
        <v>56</v>
      </c>
      <c r="C51" s="329">
        <f>+SUM(C38:C49)</f>
        <v>610088</v>
      </c>
      <c r="D51" s="328"/>
      <c r="E51" s="329">
        <f>+SUM(E38:E49)</f>
        <v>929452</v>
      </c>
      <c r="F51" s="329">
        <f>+SUM(F38:F49)</f>
        <v>696929</v>
      </c>
      <c r="G51" s="329">
        <f>+SUM(G38:G49)</f>
        <v>478854</v>
      </c>
      <c r="H51" s="329">
        <f>+SUM(H38:H49)</f>
        <v>206128</v>
      </c>
      <c r="I51" s="34"/>
      <c r="J51" s="329">
        <f>+SUM(J38:J49)</f>
        <v>493179</v>
      </c>
      <c r="K51" s="329">
        <f>+SUM(K38:K49)</f>
        <v>495604</v>
      </c>
      <c r="L51" s="329">
        <f>+SUM(L38:L49)</f>
        <v>409153</v>
      </c>
      <c r="M51" s="329">
        <f>+SUM(M38:M49)</f>
        <v>348347</v>
      </c>
      <c r="N51" s="329">
        <f>+SUM(N38:N49)</f>
        <v>348347</v>
      </c>
      <c r="P51" s="329">
        <f t="shared" ref="P51:U51" si="3">+SUM(P38:P49)</f>
        <v>397199</v>
      </c>
      <c r="Q51" s="329">
        <f t="shared" si="3"/>
        <v>394276</v>
      </c>
      <c r="R51" s="329">
        <f t="shared" si="3"/>
        <v>366896</v>
      </c>
      <c r="S51" s="329">
        <f t="shared" si="3"/>
        <v>366896</v>
      </c>
      <c r="T51" s="329">
        <f t="shared" si="3"/>
        <v>303085</v>
      </c>
      <c r="U51" s="329">
        <f t="shared" si="3"/>
        <v>347565</v>
      </c>
      <c r="W51" s="329">
        <f>+SUM(W38:W49)</f>
        <v>780065</v>
      </c>
      <c r="X51" s="329">
        <f>+SUM(X38:X49)</f>
        <v>448595</v>
      </c>
      <c r="Y51" s="329">
        <f>+SUM(Y38:Y49)</f>
        <v>624371</v>
      </c>
      <c r="Z51" s="329">
        <f>+SUM(Z38:Z49)</f>
        <v>576693</v>
      </c>
      <c r="AB51" s="329">
        <f>+SUM(AB38:AB49)</f>
        <v>489576</v>
      </c>
      <c r="AC51" s="329">
        <f>+SUM(AC38:AC49)</f>
        <v>573360</v>
      </c>
      <c r="AD51" s="329">
        <f>+SUM(AD38:AD49)</f>
        <v>476281</v>
      </c>
      <c r="AE51" s="329">
        <f>+SUM(AE38:AE49)</f>
        <v>392869</v>
      </c>
      <c r="AF51" s="302"/>
      <c r="AG51" s="329">
        <f>+SUM(AG38:AG49)</f>
        <v>613581</v>
      </c>
      <c r="AH51" s="329">
        <f>+SUM(AH38:AH49)</f>
        <v>519583</v>
      </c>
      <c r="AI51" s="329">
        <f>+SUM(AI38:AI49)</f>
        <v>221424</v>
      </c>
      <c r="AJ51" s="329">
        <f>+SUM(AJ38:AJ49)</f>
        <v>176400</v>
      </c>
      <c r="AK51" s="302"/>
      <c r="AL51" s="302"/>
    </row>
    <row r="52" spans="1:38" ht="6" customHeight="1">
      <c r="B52" s="328"/>
      <c r="C52" s="329"/>
      <c r="D52" s="328"/>
      <c r="E52" s="329"/>
      <c r="F52" s="329"/>
      <c r="G52" s="329"/>
      <c r="H52" s="329"/>
      <c r="I52" s="34"/>
      <c r="J52" s="329"/>
      <c r="K52" s="329"/>
      <c r="L52" s="329"/>
      <c r="M52" s="329"/>
      <c r="N52" s="329"/>
      <c r="P52" s="329"/>
      <c r="Q52" s="329"/>
      <c r="R52" s="329"/>
      <c r="S52" s="329"/>
      <c r="T52" s="329"/>
      <c r="U52" s="329"/>
      <c r="W52" s="329"/>
      <c r="AB52" s="329"/>
      <c r="AF52" s="302"/>
      <c r="AG52" s="329"/>
      <c r="AK52" s="302"/>
      <c r="AL52" s="302"/>
    </row>
    <row r="53" spans="1:38" ht="16.5" customHeight="1">
      <c r="B53" s="303" t="s">
        <v>33</v>
      </c>
      <c r="C53" s="301">
        <v>418952</v>
      </c>
      <c r="D53" s="303"/>
      <c r="E53" s="301">
        <v>418953</v>
      </c>
      <c r="F53" s="301">
        <v>401454</v>
      </c>
      <c r="G53" s="301">
        <v>23955</v>
      </c>
      <c r="H53" s="301">
        <v>23</v>
      </c>
      <c r="J53" s="301">
        <v>24</v>
      </c>
      <c r="K53" s="301">
        <v>550025</v>
      </c>
      <c r="L53" s="301">
        <v>551187</v>
      </c>
      <c r="M53" s="301">
        <v>550028</v>
      </c>
      <c r="N53" s="301">
        <v>550028</v>
      </c>
      <c r="P53" s="301">
        <v>550029</v>
      </c>
      <c r="Q53" s="301">
        <v>550030</v>
      </c>
      <c r="R53" s="301">
        <v>550031</v>
      </c>
      <c r="S53" s="301">
        <v>550031</v>
      </c>
      <c r="T53" s="301">
        <v>550033</v>
      </c>
      <c r="U53" s="301">
        <v>550033</v>
      </c>
      <c r="W53" s="301">
        <v>655035</v>
      </c>
      <c r="X53" s="301">
        <v>865036</v>
      </c>
      <c r="Y53" s="301">
        <v>458038</v>
      </c>
      <c r="Z53" s="301">
        <v>458039</v>
      </c>
      <c r="AB53" s="301">
        <v>738040</v>
      </c>
      <c r="AC53" s="301">
        <v>738043</v>
      </c>
      <c r="AD53" s="301">
        <v>738045</v>
      </c>
      <c r="AE53" s="301">
        <v>738047</v>
      </c>
      <c r="AF53" s="302"/>
      <c r="AG53" s="301">
        <v>658049</v>
      </c>
      <c r="AH53" s="301">
        <v>618552</v>
      </c>
      <c r="AI53" s="301">
        <v>487754</v>
      </c>
      <c r="AJ53" s="301">
        <v>497757</v>
      </c>
      <c r="AK53" s="302"/>
      <c r="AL53" s="302"/>
    </row>
    <row r="54" spans="1:38" ht="16.5" customHeight="1">
      <c r="B54" s="303" t="s">
        <v>259</v>
      </c>
      <c r="C54" s="301"/>
      <c r="D54" s="303"/>
      <c r="E54" s="301"/>
      <c r="F54" s="301"/>
      <c r="G54" s="301"/>
      <c r="H54" s="301"/>
      <c r="J54" s="301"/>
      <c r="K54" s="301"/>
      <c r="L54" s="301"/>
      <c r="M54" s="301"/>
      <c r="N54" s="301"/>
      <c r="P54" s="301"/>
      <c r="Q54" s="301"/>
      <c r="R54" s="301"/>
      <c r="S54" s="301"/>
      <c r="T54" s="301"/>
      <c r="U54" s="301"/>
      <c r="W54" s="301"/>
      <c r="X54" s="301"/>
      <c r="Y54" s="301"/>
      <c r="Z54" s="301"/>
      <c r="AB54" s="301"/>
      <c r="AC54" s="301"/>
      <c r="AD54" s="301"/>
      <c r="AE54" s="301"/>
      <c r="AF54" s="302"/>
      <c r="AG54" s="335">
        <v>11204</v>
      </c>
      <c r="AH54" s="301">
        <v>12229</v>
      </c>
      <c r="AI54" s="301">
        <v>12230</v>
      </c>
      <c r="AJ54" s="301">
        <v>10264</v>
      </c>
      <c r="AK54" s="302"/>
      <c r="AL54" s="302"/>
    </row>
    <row r="55" spans="1:38" ht="16.5" customHeight="1">
      <c r="A55" s="302"/>
      <c r="B55" s="300" t="s">
        <v>61</v>
      </c>
      <c r="C55" s="301">
        <v>31474</v>
      </c>
      <c r="D55" s="300"/>
      <c r="E55" s="301">
        <v>4135</v>
      </c>
      <c r="F55" s="301">
        <v>-9705</v>
      </c>
      <c r="G55" s="301">
        <v>997978</v>
      </c>
      <c r="H55" s="301">
        <v>997825</v>
      </c>
      <c r="J55" s="301">
        <v>975442</v>
      </c>
      <c r="K55" s="301">
        <v>997932</v>
      </c>
      <c r="L55" s="301">
        <v>997932</v>
      </c>
      <c r="M55" s="301">
        <v>1006588</v>
      </c>
      <c r="N55" s="301">
        <v>1006588</v>
      </c>
      <c r="P55" s="301">
        <v>997932</v>
      </c>
      <c r="Q55" s="301">
        <v>889749</v>
      </c>
      <c r="R55" s="301">
        <v>766155</v>
      </c>
      <c r="S55" s="301">
        <v>766155</v>
      </c>
      <c r="T55" s="301">
        <v>766243</v>
      </c>
      <c r="U55" s="301">
        <v>766243</v>
      </c>
      <c r="W55" s="301">
        <v>766243</v>
      </c>
      <c r="X55" s="301">
        <v>766243</v>
      </c>
      <c r="Y55" s="301">
        <v>766243</v>
      </c>
      <c r="Z55" s="301">
        <v>769075</v>
      </c>
      <c r="AB55" s="301">
        <v>769075</v>
      </c>
      <c r="AC55" s="301">
        <v>769075</v>
      </c>
      <c r="AD55" s="301">
        <v>769075</v>
      </c>
      <c r="AE55" s="301">
        <v>655517</v>
      </c>
      <c r="AF55" s="302"/>
      <c r="AG55" s="301">
        <v>655517</v>
      </c>
      <c r="AH55" s="301">
        <v>655517</v>
      </c>
      <c r="AI55" s="301">
        <v>1104482</v>
      </c>
      <c r="AJ55" s="301">
        <v>1105207</v>
      </c>
      <c r="AK55" s="302"/>
      <c r="AL55" s="302"/>
    </row>
    <row r="56" spans="1:38" ht="16.5" customHeight="1">
      <c r="A56" s="302"/>
      <c r="B56" s="300" t="s">
        <v>134</v>
      </c>
      <c r="C56" s="301">
        <v>119193</v>
      </c>
      <c r="D56" s="300"/>
      <c r="E56" s="301">
        <v>172089</v>
      </c>
      <c r="F56" s="301">
        <v>165726</v>
      </c>
      <c r="G56" s="301">
        <v>170973</v>
      </c>
      <c r="H56" s="301">
        <v>109859</v>
      </c>
      <c r="J56" s="215">
        <v>161794</v>
      </c>
      <c r="K56" s="301">
        <v>148819</v>
      </c>
      <c r="L56" s="301">
        <v>140849</v>
      </c>
      <c r="M56" s="301">
        <v>119431</v>
      </c>
      <c r="N56" s="301">
        <v>132852</v>
      </c>
      <c r="P56" s="301">
        <v>115271</v>
      </c>
      <c r="Q56" s="301">
        <v>121450</v>
      </c>
      <c r="R56" s="301">
        <v>136493</v>
      </c>
      <c r="S56" s="301">
        <v>149914</v>
      </c>
      <c r="T56" s="301">
        <v>132865</v>
      </c>
      <c r="U56" s="301">
        <v>176657</v>
      </c>
      <c r="W56" s="301">
        <v>132295</v>
      </c>
      <c r="X56" s="301">
        <v>127688</v>
      </c>
      <c r="Y56" s="301">
        <v>142173</v>
      </c>
      <c r="Z56" s="301">
        <v>162692</v>
      </c>
      <c r="AB56" s="301">
        <v>164054</v>
      </c>
      <c r="AC56" s="301">
        <v>167688</v>
      </c>
      <c r="AD56" s="301">
        <v>167150</v>
      </c>
      <c r="AE56" s="301">
        <v>182086</v>
      </c>
      <c r="AF56" s="302"/>
      <c r="AG56" s="301">
        <v>182575</v>
      </c>
      <c r="AH56" s="301">
        <v>187680</v>
      </c>
      <c r="AI56" s="301">
        <v>196794</v>
      </c>
      <c r="AJ56" s="301">
        <v>195402</v>
      </c>
      <c r="AK56" s="302"/>
      <c r="AL56" s="302"/>
    </row>
    <row r="57" spans="1:38" ht="16.5" customHeight="1">
      <c r="A57" s="302"/>
      <c r="B57" s="300" t="s">
        <v>132</v>
      </c>
      <c r="C57" s="215">
        <v>0</v>
      </c>
      <c r="D57" s="300"/>
      <c r="E57" s="215">
        <v>0</v>
      </c>
      <c r="F57" s="215">
        <v>0</v>
      </c>
      <c r="G57" s="215">
        <v>0</v>
      </c>
      <c r="H57" s="215">
        <v>0</v>
      </c>
      <c r="J57" s="215">
        <v>0</v>
      </c>
      <c r="K57" s="215">
        <v>0</v>
      </c>
      <c r="L57" s="215">
        <v>0</v>
      </c>
      <c r="M57" s="215">
        <v>0</v>
      </c>
      <c r="N57" s="215">
        <v>0</v>
      </c>
      <c r="P57" s="215">
        <v>0</v>
      </c>
      <c r="Q57" s="215">
        <v>0</v>
      </c>
      <c r="R57" s="215">
        <v>0</v>
      </c>
      <c r="S57" s="215">
        <v>0</v>
      </c>
      <c r="T57" s="215">
        <v>0</v>
      </c>
      <c r="U57" s="215">
        <v>0</v>
      </c>
      <c r="W57" s="215">
        <v>0</v>
      </c>
      <c r="X57" s="215">
        <v>0</v>
      </c>
      <c r="Y57" s="215">
        <v>0</v>
      </c>
      <c r="Z57" s="215">
        <v>0</v>
      </c>
      <c r="AB57" s="215">
        <v>0</v>
      </c>
      <c r="AC57" s="215">
        <v>0</v>
      </c>
      <c r="AD57" s="215">
        <v>0</v>
      </c>
      <c r="AE57" s="215">
        <v>0</v>
      </c>
      <c r="AF57" s="302"/>
      <c r="AG57" s="215">
        <v>0</v>
      </c>
      <c r="AH57" s="215">
        <v>0</v>
      </c>
      <c r="AI57" s="215">
        <v>0</v>
      </c>
      <c r="AJ57" s="215">
        <v>0</v>
      </c>
      <c r="AK57" s="302"/>
      <c r="AL57" s="302"/>
    </row>
    <row r="58" spans="1:38" ht="16.5" customHeight="1">
      <c r="B58" s="303" t="s">
        <v>42</v>
      </c>
      <c r="C58" s="301">
        <v>8285</v>
      </c>
      <c r="D58" s="303"/>
      <c r="E58" s="301">
        <v>6890</v>
      </c>
      <c r="F58" s="301">
        <v>6890</v>
      </c>
      <c r="G58" s="301">
        <v>6890</v>
      </c>
      <c r="H58" s="301">
        <v>8406</v>
      </c>
      <c r="J58" s="301">
        <v>6890</v>
      </c>
      <c r="K58" s="301">
        <v>6890</v>
      </c>
      <c r="L58" s="301">
        <v>6891</v>
      </c>
      <c r="M58" s="215">
        <v>0</v>
      </c>
      <c r="N58" s="215">
        <v>0</v>
      </c>
      <c r="P58" s="301">
        <v>8656</v>
      </c>
      <c r="Q58" s="301">
        <v>8656</v>
      </c>
      <c r="R58" s="215">
        <v>0</v>
      </c>
      <c r="S58" s="215">
        <v>0</v>
      </c>
      <c r="T58" s="215">
        <v>0</v>
      </c>
      <c r="U58" s="215">
        <v>0</v>
      </c>
      <c r="W58" s="215">
        <v>0</v>
      </c>
      <c r="X58" s="215">
        <v>0</v>
      </c>
      <c r="Y58" s="215">
        <v>0</v>
      </c>
      <c r="Z58" s="215">
        <v>0</v>
      </c>
      <c r="AB58" s="215">
        <v>0</v>
      </c>
      <c r="AC58" s="215">
        <v>0</v>
      </c>
      <c r="AD58" s="215">
        <v>0</v>
      </c>
      <c r="AE58" s="215">
        <v>0</v>
      </c>
      <c r="AF58" s="302"/>
      <c r="AG58" s="215">
        <v>0</v>
      </c>
      <c r="AH58" s="215">
        <v>0</v>
      </c>
      <c r="AI58" s="215">
        <v>0</v>
      </c>
      <c r="AJ58" s="215">
        <v>0</v>
      </c>
      <c r="AK58" s="302"/>
      <c r="AL58" s="302"/>
    </row>
    <row r="59" spans="1:38" ht="16.5" customHeight="1">
      <c r="B59" s="327" t="s">
        <v>194</v>
      </c>
      <c r="C59" s="336">
        <v>16480</v>
      </c>
      <c r="D59" s="338"/>
      <c r="E59" s="265">
        <v>16695</v>
      </c>
      <c r="F59" s="336">
        <v>17131</v>
      </c>
      <c r="G59" s="336">
        <v>18081</v>
      </c>
      <c r="H59" s="336">
        <v>23744</v>
      </c>
      <c r="I59" s="337"/>
      <c r="J59" s="265">
        <v>23804</v>
      </c>
      <c r="K59" s="336">
        <v>24732</v>
      </c>
      <c r="L59" s="336">
        <v>26552</v>
      </c>
      <c r="M59" s="336">
        <v>6819</v>
      </c>
      <c r="N59" s="336">
        <v>6819</v>
      </c>
      <c r="O59" s="337"/>
      <c r="P59" s="336">
        <v>6819</v>
      </c>
      <c r="Q59" s="265">
        <f>1600+6819</f>
        <v>8419</v>
      </c>
      <c r="R59" s="265">
        <f>2840+6819</f>
        <v>9659</v>
      </c>
      <c r="S59" s="265">
        <v>9659</v>
      </c>
      <c r="T59" s="265">
        <v>13075</v>
      </c>
      <c r="U59" s="265">
        <v>13075</v>
      </c>
      <c r="W59" s="265">
        <v>13075</v>
      </c>
      <c r="X59" s="265">
        <v>13075</v>
      </c>
      <c r="Y59" s="265">
        <v>13075</v>
      </c>
      <c r="Z59" s="265">
        <v>11908</v>
      </c>
      <c r="AB59" s="265">
        <v>11735</v>
      </c>
      <c r="AC59" s="265">
        <v>11062</v>
      </c>
      <c r="AD59" s="265">
        <v>9389</v>
      </c>
      <c r="AE59" s="265">
        <v>1865</v>
      </c>
      <c r="AF59" s="302"/>
      <c r="AG59" s="265">
        <v>1691</v>
      </c>
      <c r="AH59" s="265">
        <v>0</v>
      </c>
      <c r="AI59" s="265"/>
      <c r="AJ59" s="265">
        <v>2785</v>
      </c>
      <c r="AK59" s="302"/>
      <c r="AL59" s="302"/>
    </row>
    <row r="60" spans="1:38" ht="16.5" customHeight="1">
      <c r="B60" s="338" t="s">
        <v>133</v>
      </c>
      <c r="C60" s="265">
        <v>0</v>
      </c>
      <c r="D60" s="338"/>
      <c r="E60" s="265">
        <v>0</v>
      </c>
      <c r="F60" s="265">
        <v>0</v>
      </c>
      <c r="G60" s="265">
        <v>0</v>
      </c>
      <c r="H60" s="265">
        <v>0</v>
      </c>
      <c r="I60" s="337"/>
      <c r="J60" s="265">
        <v>0</v>
      </c>
      <c r="K60" s="265">
        <v>0</v>
      </c>
      <c r="L60" s="265">
        <v>0</v>
      </c>
      <c r="M60" s="265">
        <v>0</v>
      </c>
      <c r="N60" s="265">
        <v>0</v>
      </c>
      <c r="O60" s="337"/>
      <c r="P60" s="265">
        <v>0</v>
      </c>
      <c r="Q60" s="265">
        <v>0</v>
      </c>
      <c r="R60" s="265">
        <v>0</v>
      </c>
      <c r="S60" s="265">
        <v>0</v>
      </c>
      <c r="T60" s="265">
        <v>0</v>
      </c>
      <c r="U60" s="265">
        <v>0</v>
      </c>
      <c r="W60" s="265">
        <v>0</v>
      </c>
      <c r="X60" s="265">
        <v>0</v>
      </c>
      <c r="Y60" s="265">
        <v>0</v>
      </c>
      <c r="Z60" s="265">
        <v>0</v>
      </c>
      <c r="AB60" s="265">
        <v>0</v>
      </c>
      <c r="AC60" s="265">
        <v>0</v>
      </c>
      <c r="AD60" s="265">
        <v>0</v>
      </c>
      <c r="AE60" s="265">
        <v>0</v>
      </c>
      <c r="AF60" s="302"/>
      <c r="AG60" s="265">
        <v>0</v>
      </c>
      <c r="AH60" s="265">
        <v>0</v>
      </c>
      <c r="AI60" s="265">
        <v>0</v>
      </c>
      <c r="AJ60" s="265">
        <v>0</v>
      </c>
      <c r="AK60" s="302"/>
      <c r="AL60" s="302"/>
    </row>
    <row r="61" spans="1:38" ht="16.5" customHeight="1">
      <c r="B61" s="303" t="s">
        <v>136</v>
      </c>
      <c r="C61" s="215">
        <v>0</v>
      </c>
      <c r="D61" s="303"/>
      <c r="E61" s="215">
        <v>0</v>
      </c>
      <c r="F61" s="215">
        <v>0</v>
      </c>
      <c r="G61" s="215">
        <v>0</v>
      </c>
      <c r="H61" s="215">
        <v>0</v>
      </c>
      <c r="J61" s="215">
        <v>0</v>
      </c>
      <c r="K61" s="215">
        <v>0</v>
      </c>
      <c r="L61" s="215">
        <v>0</v>
      </c>
      <c r="M61" s="215">
        <v>0</v>
      </c>
      <c r="N61" s="215">
        <v>0</v>
      </c>
      <c r="P61" s="215">
        <v>0</v>
      </c>
      <c r="Q61" s="215">
        <v>0</v>
      </c>
      <c r="R61" s="215">
        <v>0</v>
      </c>
      <c r="S61" s="215">
        <v>0</v>
      </c>
      <c r="T61" s="215">
        <v>0</v>
      </c>
      <c r="U61" s="215">
        <v>0</v>
      </c>
      <c r="W61" s="215">
        <v>0</v>
      </c>
      <c r="X61" s="215">
        <v>0</v>
      </c>
      <c r="Y61" s="215">
        <v>0</v>
      </c>
      <c r="Z61" s="215">
        <v>0</v>
      </c>
      <c r="AB61" s="215">
        <v>0</v>
      </c>
      <c r="AC61" s="215">
        <v>0</v>
      </c>
      <c r="AD61" s="215">
        <v>0</v>
      </c>
      <c r="AE61" s="215">
        <v>85</v>
      </c>
      <c r="AF61" s="302"/>
      <c r="AG61" s="215">
        <v>74</v>
      </c>
      <c r="AH61" s="215">
        <v>0</v>
      </c>
      <c r="AI61" s="215">
        <v>0</v>
      </c>
      <c r="AJ61" s="215">
        <v>0</v>
      </c>
      <c r="AK61" s="302"/>
      <c r="AL61" s="302"/>
    </row>
    <row r="62" spans="1:38" ht="16.5" customHeight="1">
      <c r="B62" s="303" t="s">
        <v>137</v>
      </c>
      <c r="C62" s="215">
        <v>0</v>
      </c>
      <c r="D62" s="303"/>
      <c r="E62" s="215">
        <v>0</v>
      </c>
      <c r="F62" s="215">
        <v>0</v>
      </c>
      <c r="G62" s="215">
        <v>0</v>
      </c>
      <c r="H62" s="215">
        <v>0</v>
      </c>
      <c r="J62" s="215">
        <v>0</v>
      </c>
      <c r="K62" s="215">
        <v>0</v>
      </c>
      <c r="L62" s="215">
        <v>0</v>
      </c>
      <c r="M62" s="215">
        <v>0</v>
      </c>
      <c r="N62" s="215">
        <v>0</v>
      </c>
      <c r="P62" s="215">
        <v>0</v>
      </c>
      <c r="Q62" s="215">
        <v>0</v>
      </c>
      <c r="R62" s="215">
        <v>0</v>
      </c>
      <c r="S62" s="215">
        <v>0</v>
      </c>
      <c r="T62" s="215">
        <v>0</v>
      </c>
      <c r="U62" s="215">
        <v>0</v>
      </c>
      <c r="W62" s="215">
        <v>0</v>
      </c>
      <c r="X62" s="215">
        <v>0</v>
      </c>
      <c r="Y62" s="215">
        <v>0</v>
      </c>
      <c r="Z62" s="215">
        <v>0</v>
      </c>
      <c r="AB62" s="215">
        <v>0</v>
      </c>
      <c r="AC62" s="215">
        <v>0</v>
      </c>
      <c r="AD62" s="215">
        <v>0</v>
      </c>
      <c r="AE62" s="215">
        <v>0</v>
      </c>
      <c r="AF62" s="302"/>
      <c r="AG62" s="215">
        <v>0</v>
      </c>
      <c r="AH62" s="215">
        <v>0</v>
      </c>
      <c r="AI62" s="215">
        <v>0</v>
      </c>
      <c r="AJ62" s="215">
        <v>0</v>
      </c>
      <c r="AK62" s="302"/>
      <c r="AL62" s="302"/>
    </row>
    <row r="63" spans="1:38" ht="16.5" customHeight="1">
      <c r="A63" s="302"/>
      <c r="B63" s="16" t="s">
        <v>271</v>
      </c>
      <c r="C63" s="215">
        <v>0</v>
      </c>
      <c r="D63" s="303"/>
      <c r="E63" s="215">
        <v>0</v>
      </c>
      <c r="F63" s="301">
        <f>53595-1</f>
        <v>53594</v>
      </c>
      <c r="G63" s="301">
        <v>-53594</v>
      </c>
      <c r="H63" s="215">
        <v>0</v>
      </c>
      <c r="J63" s="215">
        <v>0</v>
      </c>
      <c r="K63" s="215">
        <v>0</v>
      </c>
      <c r="L63" s="215">
        <v>0</v>
      </c>
      <c r="M63" s="215">
        <v>0</v>
      </c>
      <c r="N63" s="215">
        <v>0</v>
      </c>
      <c r="P63" s="215">
        <v>0</v>
      </c>
      <c r="Q63" s="215">
        <v>0</v>
      </c>
      <c r="R63" s="215">
        <v>0</v>
      </c>
      <c r="S63" s="215">
        <v>0</v>
      </c>
      <c r="T63" s="215">
        <v>0</v>
      </c>
      <c r="U63" s="215">
        <v>0</v>
      </c>
      <c r="W63" s="215">
        <v>0</v>
      </c>
      <c r="X63" s="215">
        <v>0</v>
      </c>
      <c r="Y63" s="215">
        <v>0</v>
      </c>
      <c r="Z63" s="215">
        <v>0</v>
      </c>
      <c r="AB63" s="215">
        <v>0</v>
      </c>
      <c r="AC63" s="215">
        <v>0</v>
      </c>
      <c r="AD63" s="215">
        <v>0</v>
      </c>
      <c r="AE63" s="215">
        <v>0</v>
      </c>
      <c r="AF63" s="302"/>
      <c r="AG63" s="215">
        <v>0</v>
      </c>
      <c r="AH63" s="215">
        <v>0</v>
      </c>
      <c r="AI63" s="215">
        <v>0</v>
      </c>
      <c r="AJ63" s="215">
        <v>0</v>
      </c>
      <c r="AK63" s="302"/>
      <c r="AL63" s="302"/>
    </row>
    <row r="64" spans="1:38" ht="12" customHeight="1">
      <c r="B64" s="303"/>
      <c r="C64" s="301"/>
      <c r="D64" s="303"/>
      <c r="E64" s="301"/>
      <c r="F64" s="301"/>
      <c r="G64" s="301"/>
      <c r="H64" s="301"/>
      <c r="J64" s="301"/>
      <c r="K64" s="301"/>
      <c r="L64" s="301"/>
      <c r="M64" s="301"/>
      <c r="N64" s="301"/>
      <c r="P64" s="301"/>
      <c r="Q64" s="301"/>
      <c r="R64" s="301"/>
      <c r="S64" s="301"/>
      <c r="T64" s="301"/>
      <c r="U64" s="301"/>
      <c r="W64" s="301"/>
      <c r="AB64" s="301"/>
      <c r="AF64" s="302"/>
      <c r="AG64" s="301"/>
      <c r="AK64" s="302"/>
      <c r="AL64" s="302"/>
    </row>
    <row r="65" spans="2:38" ht="13">
      <c r="B65" s="328" t="s">
        <v>57</v>
      </c>
      <c r="C65" s="329">
        <f>SUM(C53:C64)</f>
        <v>594384</v>
      </c>
      <c r="D65" s="328"/>
      <c r="E65" s="329">
        <f>SUM(E53:E64)</f>
        <v>618762</v>
      </c>
      <c r="F65" s="329">
        <f>SUM(F53:F64)</f>
        <v>635090</v>
      </c>
      <c r="G65" s="329">
        <f>SUM(G53:G64)</f>
        <v>1164283</v>
      </c>
      <c r="H65" s="329">
        <f>SUM(H53:H64)</f>
        <v>1139857</v>
      </c>
      <c r="I65" s="34"/>
      <c r="J65" s="329">
        <f>SUM(J53:J64)</f>
        <v>1167954</v>
      </c>
      <c r="K65" s="329">
        <f>SUM(K53:K64)</f>
        <v>1728398</v>
      </c>
      <c r="L65" s="329">
        <f>SUM(L53:L64)</f>
        <v>1723411</v>
      </c>
      <c r="M65" s="329">
        <f>SUM(M53:M64)</f>
        <v>1682866</v>
      </c>
      <c r="N65" s="329">
        <f>SUM(N53:N64)</f>
        <v>1696287</v>
      </c>
      <c r="P65" s="329">
        <f t="shared" ref="P65:U65" si="4">SUM(P53:P64)</f>
        <v>1678707</v>
      </c>
      <c r="Q65" s="329">
        <f t="shared" si="4"/>
        <v>1578304</v>
      </c>
      <c r="R65" s="329">
        <f t="shared" si="4"/>
        <v>1462338</v>
      </c>
      <c r="S65" s="329">
        <f t="shared" si="4"/>
        <v>1475759</v>
      </c>
      <c r="T65" s="329">
        <f t="shared" si="4"/>
        <v>1462216</v>
      </c>
      <c r="U65" s="329">
        <f t="shared" si="4"/>
        <v>1506008</v>
      </c>
      <c r="W65" s="329">
        <f>SUM(W53:W64)</f>
        <v>1566648</v>
      </c>
      <c r="X65" s="329">
        <f>SUM(X53:X64)</f>
        <v>1772042</v>
      </c>
      <c r="Y65" s="329">
        <f>SUM(Y53:Y64)</f>
        <v>1379529</v>
      </c>
      <c r="Z65" s="329">
        <f>SUM(Z53:Z64)</f>
        <v>1401714</v>
      </c>
      <c r="AB65" s="329">
        <f>SUM(AB53:AB64)</f>
        <v>1682904</v>
      </c>
      <c r="AC65" s="329">
        <f>SUM(AC53:AC64)</f>
        <v>1685868</v>
      </c>
      <c r="AD65" s="329">
        <f>SUM(AD53:AD64)</f>
        <v>1683659</v>
      </c>
      <c r="AE65" s="329">
        <f>SUM(AE53:AE64)</f>
        <v>1577600</v>
      </c>
      <c r="AF65" s="302"/>
      <c r="AG65" s="329">
        <f>SUM(AG53:AG64)</f>
        <v>1509110</v>
      </c>
      <c r="AH65" s="329">
        <f>SUM(AH53:AH64)</f>
        <v>1473978</v>
      </c>
      <c r="AI65" s="329">
        <f>SUM(AI53:AI64)</f>
        <v>1801260</v>
      </c>
      <c r="AJ65" s="329">
        <f>SUM(AJ53:AJ64)</f>
        <v>1811415</v>
      </c>
      <c r="AK65" s="302"/>
      <c r="AL65" s="302"/>
    </row>
    <row r="66" spans="2:38" ht="3.75" customHeight="1">
      <c r="B66" s="303"/>
      <c r="C66" s="301"/>
      <c r="D66" s="303"/>
      <c r="E66" s="301"/>
      <c r="F66" s="301"/>
      <c r="G66" s="301"/>
      <c r="H66" s="301"/>
      <c r="J66" s="301"/>
      <c r="K66" s="301"/>
      <c r="L66" s="301"/>
      <c r="M66" s="301"/>
      <c r="N66" s="301"/>
      <c r="P66" s="301"/>
      <c r="Q66" s="301"/>
      <c r="R66" s="301"/>
      <c r="S66" s="301"/>
      <c r="T66" s="301"/>
      <c r="U66" s="301"/>
      <c r="W66" s="301"/>
      <c r="AB66" s="301"/>
      <c r="AF66" s="302"/>
      <c r="AG66" s="301"/>
      <c r="AK66" s="302"/>
      <c r="AL66" s="302"/>
    </row>
    <row r="67" spans="2:38" ht="20.25" customHeight="1">
      <c r="B67" s="330" t="s">
        <v>58</v>
      </c>
      <c r="C67" s="331">
        <f>+C51+C65</f>
        <v>1204472</v>
      </c>
      <c r="D67" s="328"/>
      <c r="E67" s="331">
        <f>+E51+E65</f>
        <v>1548214</v>
      </c>
      <c r="F67" s="331">
        <f>+F51+F65</f>
        <v>1332019</v>
      </c>
      <c r="G67" s="331">
        <f>+G51+G65</f>
        <v>1643137</v>
      </c>
      <c r="H67" s="331">
        <f>+H51+H65</f>
        <v>1345985</v>
      </c>
      <c r="J67" s="331">
        <f>+J51+J65</f>
        <v>1661133</v>
      </c>
      <c r="K67" s="331">
        <f>+K51+K65</f>
        <v>2224002</v>
      </c>
      <c r="L67" s="331">
        <f>+L51+L65</f>
        <v>2132564</v>
      </c>
      <c r="M67" s="331">
        <f>+M51+M65</f>
        <v>2031213</v>
      </c>
      <c r="N67" s="331">
        <f>+N51+N65</f>
        <v>2044634</v>
      </c>
      <c r="P67" s="331">
        <f t="shared" ref="P67:U67" si="5">+P51+P65</f>
        <v>2075906</v>
      </c>
      <c r="Q67" s="331">
        <f t="shared" si="5"/>
        <v>1972580</v>
      </c>
      <c r="R67" s="331">
        <f t="shared" si="5"/>
        <v>1829234</v>
      </c>
      <c r="S67" s="331">
        <f t="shared" si="5"/>
        <v>1842655</v>
      </c>
      <c r="T67" s="331">
        <f t="shared" si="5"/>
        <v>1765301</v>
      </c>
      <c r="U67" s="331">
        <f t="shared" si="5"/>
        <v>1853573</v>
      </c>
      <c r="W67" s="331">
        <f>+W51+W65</f>
        <v>2346713</v>
      </c>
      <c r="X67" s="331">
        <f>+X51+X65</f>
        <v>2220637</v>
      </c>
      <c r="Y67" s="331">
        <f>+Y51+Y65</f>
        <v>2003900</v>
      </c>
      <c r="Z67" s="331">
        <f>+Z51+Z65</f>
        <v>1978407</v>
      </c>
      <c r="AB67" s="331">
        <f>+AB51+AB65</f>
        <v>2172480</v>
      </c>
      <c r="AC67" s="331">
        <f>+AC51+AC65</f>
        <v>2259228</v>
      </c>
      <c r="AD67" s="331">
        <f>+AD51+AD65</f>
        <v>2159940</v>
      </c>
      <c r="AE67" s="331">
        <f>+AE51+AE65</f>
        <v>1970469</v>
      </c>
      <c r="AF67" s="302"/>
      <c r="AG67" s="331">
        <f>+AG51+AG65</f>
        <v>2122691</v>
      </c>
      <c r="AH67" s="331">
        <f>+AH51+AH65</f>
        <v>1993561</v>
      </c>
      <c r="AI67" s="331">
        <f>+AI51+AI65</f>
        <v>2022684</v>
      </c>
      <c r="AJ67" s="331">
        <f>+AJ51+AJ65</f>
        <v>1987815</v>
      </c>
      <c r="AK67" s="302"/>
      <c r="AL67" s="302"/>
    </row>
    <row r="68" spans="2:38" ht="20.25" customHeight="1">
      <c r="B68" s="332" t="s">
        <v>48</v>
      </c>
      <c r="C68" s="333">
        <v>625.10548413715799</v>
      </c>
      <c r="D68" s="334"/>
      <c r="E68" s="333">
        <v>787.76687765860015</v>
      </c>
      <c r="F68" s="333">
        <v>708.07254982218694</v>
      </c>
      <c r="G68" s="333">
        <v>810.03362123363308</v>
      </c>
      <c r="H68" s="333">
        <v>562.59456793426011</v>
      </c>
      <c r="J68" s="333">
        <v>644.83725082975866</v>
      </c>
      <c r="K68" s="333">
        <v>860.31232713501549</v>
      </c>
      <c r="L68" s="333">
        <v>683.08936110239142</v>
      </c>
      <c r="M68" s="333">
        <v>644.93803719355958</v>
      </c>
      <c r="N68" s="333">
        <v>649.19938910356348</v>
      </c>
      <c r="P68" s="333">
        <v>686.85162208215468</v>
      </c>
      <c r="Q68" s="333">
        <v>676.43296812578228</v>
      </c>
      <c r="R68" s="333">
        <v>635.16172155766594</v>
      </c>
      <c r="S68" s="333">
        <v>640</v>
      </c>
      <c r="T68" s="333">
        <f>+T67/3000.71</f>
        <v>588.29443698324724</v>
      </c>
      <c r="U68" s="333">
        <v>617.71147495092828</v>
      </c>
      <c r="W68" s="333">
        <v>814.7630058606228</v>
      </c>
      <c r="X68" s="333">
        <v>731</v>
      </c>
      <c r="Y68" s="333">
        <v>682</v>
      </c>
      <c r="Z68" s="333">
        <f>+Z67/2984</f>
        <v>663.00502680965144</v>
      </c>
      <c r="AB68" s="333">
        <f>+AB67/2780.47</f>
        <v>781.33552960470718</v>
      </c>
      <c r="AC68" s="333">
        <f>+AC67/2930.8</f>
        <v>770.85710386242658</v>
      </c>
      <c r="AD68" s="333">
        <f>+AD67/2972.18</f>
        <v>726.71910853313057</v>
      </c>
      <c r="AE68" s="333">
        <f>+AE67/3249.75</f>
        <v>606.34479575351952</v>
      </c>
      <c r="AF68" s="302"/>
      <c r="AG68" s="333">
        <f>+AG67/3174.79</f>
        <v>668.60831740052095</v>
      </c>
      <c r="AH68" s="333">
        <f>+AH67/3205.67</f>
        <v>621.88590840604297</v>
      </c>
      <c r="AI68" s="333">
        <f>+AI67/3462.01</f>
        <v>584.25134531673791</v>
      </c>
      <c r="AJ68" s="333">
        <f>+AJ67/3277.14</f>
        <v>606.57005803841162</v>
      </c>
      <c r="AK68" s="302"/>
      <c r="AL68" s="302"/>
    </row>
    <row r="69" spans="2:38" ht="12" customHeight="1">
      <c r="B69" s="309"/>
      <c r="C69" s="310"/>
      <c r="D69" s="309"/>
      <c r="E69" s="310"/>
      <c r="F69" s="310"/>
      <c r="G69" s="310"/>
      <c r="H69" s="310"/>
      <c r="J69" s="310"/>
      <c r="K69" s="310"/>
      <c r="L69" s="310"/>
      <c r="M69" s="310"/>
      <c r="N69" s="310"/>
      <c r="P69" s="310"/>
      <c r="Q69" s="310"/>
      <c r="R69" s="310"/>
      <c r="S69" s="310"/>
      <c r="T69" s="310"/>
      <c r="U69" s="310"/>
      <c r="W69" s="310"/>
      <c r="AB69" s="310"/>
      <c r="AF69" s="302"/>
      <c r="AG69" s="310"/>
      <c r="AK69" s="302"/>
      <c r="AL69" s="302"/>
    </row>
    <row r="70" spans="2:38" ht="20.25" customHeight="1">
      <c r="B70" s="330" t="s">
        <v>52</v>
      </c>
      <c r="C70" s="331">
        <f>SUM(C75:C81)</f>
        <v>13138349</v>
      </c>
      <c r="D70" s="328"/>
      <c r="E70" s="331">
        <f>SUM(E75:E81)</f>
        <v>13306293</v>
      </c>
      <c r="F70" s="331">
        <f>SUM(F75:F81)</f>
        <v>13542505</v>
      </c>
      <c r="G70" s="331">
        <f>SUM(G75:G81)</f>
        <v>13681450</v>
      </c>
      <c r="H70" s="331">
        <f>SUM(H75:H81)</f>
        <v>13866451</v>
      </c>
      <c r="J70" s="331">
        <f>SUM(J75:J81)</f>
        <v>13291031</v>
      </c>
      <c r="K70" s="331">
        <f>SUM(K75:K81)</f>
        <v>13747522</v>
      </c>
      <c r="L70" s="331">
        <f>SUM(L75:L81)</f>
        <v>14333589</v>
      </c>
      <c r="M70" s="331">
        <f>SUM(M75:M81)</f>
        <v>14138212</v>
      </c>
      <c r="N70" s="331">
        <f>SUM(N75:N81)</f>
        <v>14283203</v>
      </c>
      <c r="P70" s="331">
        <f t="shared" ref="P70:U70" si="6">SUM(P75:P81)</f>
        <v>14134958</v>
      </c>
      <c r="Q70" s="331">
        <f t="shared" si="6"/>
        <v>14033125</v>
      </c>
      <c r="R70" s="331">
        <f t="shared" si="6"/>
        <v>14090713</v>
      </c>
      <c r="S70" s="331">
        <f t="shared" si="6"/>
        <v>14208975</v>
      </c>
      <c r="T70" s="331">
        <f t="shared" si="6"/>
        <v>15229898</v>
      </c>
      <c r="U70" s="331">
        <f t="shared" si="6"/>
        <v>15229898</v>
      </c>
      <c r="W70" s="331">
        <f>SUM(W75:W81)</f>
        <v>14942821</v>
      </c>
      <c r="X70" s="331">
        <f>SUM(X75:X81)</f>
        <v>15248447</v>
      </c>
      <c r="Y70" s="331">
        <f>SUM(Y75:Y81)</f>
        <v>15500361</v>
      </c>
      <c r="Z70" s="331">
        <f>SUM(Z75:Z81)</f>
        <v>15545143</v>
      </c>
      <c r="AB70" s="331">
        <f>SUM(AB75:AB81)</f>
        <v>15425553</v>
      </c>
      <c r="AC70" s="331">
        <f>SUM(AC75:AC81)</f>
        <v>15453214</v>
      </c>
      <c r="AD70" s="331">
        <f>SUM(AD75:AD81)</f>
        <v>15541536</v>
      </c>
      <c r="AE70" s="331">
        <f>SUM(AE75:AE81)</f>
        <v>15975935</v>
      </c>
      <c r="AF70" s="302"/>
      <c r="AG70" s="331">
        <f>SUM(AG75:AG81)</f>
        <v>15838299</v>
      </c>
      <c r="AH70" s="331">
        <f>SUM(AH75:AH81)</f>
        <v>15847486</v>
      </c>
      <c r="AI70" s="331">
        <f>SUM(AI75:AI81)</f>
        <v>16431732</v>
      </c>
      <c r="AJ70" s="331">
        <f>SUM(AJ75:AJ81)</f>
        <v>16172697</v>
      </c>
      <c r="AK70" s="302"/>
      <c r="AL70" s="302"/>
    </row>
    <row r="71" spans="2:38" ht="20.25" customHeight="1">
      <c r="B71" s="332" t="s">
        <v>48</v>
      </c>
      <c r="C71" s="333">
        <v>6818.634233430038</v>
      </c>
      <c r="D71" s="334"/>
      <c r="E71" s="333">
        <v>6770.5477988317425</v>
      </c>
      <c r="F71" s="333">
        <v>7198.9033537282248</v>
      </c>
      <c r="G71" s="333">
        <v>6744.6807461744756</v>
      </c>
      <c r="H71" s="333">
        <v>5795.8966921077053</v>
      </c>
      <c r="J71" s="333">
        <v>5159.4615787737039</v>
      </c>
      <c r="K71" s="333">
        <v>5317.9640324783086</v>
      </c>
      <c r="L71" s="333">
        <v>4591.2442263464382</v>
      </c>
      <c r="M71" s="333">
        <v>4489.0765747887745</v>
      </c>
      <c r="N71" s="333">
        <v>4535.1132095241428</v>
      </c>
      <c r="P71" s="333">
        <v>4676.8104289708344</v>
      </c>
      <c r="Q71" s="333">
        <v>4812.2095914133361</v>
      </c>
      <c r="R71" s="333">
        <v>4892.6936231531799</v>
      </c>
      <c r="S71" s="333">
        <v>4934</v>
      </c>
      <c r="T71" s="333">
        <f>+T70/3000.71</f>
        <v>5075.4314812161119</v>
      </c>
      <c r="U71" s="333">
        <v>5075.4314812161119</v>
      </c>
      <c r="W71" s="333">
        <v>5188.0471766241708</v>
      </c>
      <c r="X71" s="333">
        <v>5019</v>
      </c>
      <c r="Y71" s="333">
        <v>5278</v>
      </c>
      <c r="Z71" s="333">
        <f>+Z70/2984</f>
        <v>5209.4983243967827</v>
      </c>
      <c r="AB71" s="333">
        <f>+AB70/2780.47</f>
        <v>5547.8221307908379</v>
      </c>
      <c r="AC71" s="333">
        <f>+AC70/2930.8</f>
        <v>5272.6948273508933</v>
      </c>
      <c r="AD71" s="333">
        <f>+AD70/2972.18</f>
        <v>5229.0022811539011</v>
      </c>
      <c r="AE71" s="333">
        <f>+AE70/3249.75</f>
        <v>4916.0504654204169</v>
      </c>
      <c r="AF71" s="302"/>
      <c r="AG71" s="333">
        <f>+AG70/3174.79</f>
        <v>4988.7705958504339</v>
      </c>
      <c r="AH71" s="333">
        <f>+AH70/3205.67</f>
        <v>4943.5799692419996</v>
      </c>
      <c r="AI71" s="333">
        <f>+AI70/3462.01</f>
        <v>4746.2982487052313</v>
      </c>
      <c r="AJ71" s="333">
        <f>+AJ70/3277.14</f>
        <v>4935.0033870997277</v>
      </c>
      <c r="AK71" s="302"/>
      <c r="AL71" s="302"/>
    </row>
    <row r="72" spans="2:38">
      <c r="C72" s="301"/>
      <c r="E72" s="301"/>
      <c r="F72" s="301"/>
      <c r="G72" s="301"/>
      <c r="H72" s="301"/>
      <c r="J72" s="301"/>
      <c r="K72" s="301"/>
      <c r="L72" s="301"/>
      <c r="M72" s="301"/>
      <c r="N72" s="301"/>
      <c r="P72" s="301"/>
      <c r="Q72" s="301"/>
      <c r="R72" s="301"/>
      <c r="S72" s="301"/>
      <c r="T72" s="301"/>
      <c r="U72" s="301"/>
      <c r="W72" s="301"/>
      <c r="AB72" s="301"/>
      <c r="AF72" s="302"/>
      <c r="AG72" s="301"/>
      <c r="AK72" s="302"/>
      <c r="AL72" s="302"/>
    </row>
    <row r="73" spans="2:38" ht="13">
      <c r="B73" s="328" t="s">
        <v>59</v>
      </c>
      <c r="C73" s="329">
        <f>+C67+C70</f>
        <v>14342821</v>
      </c>
      <c r="D73" s="328"/>
      <c r="E73" s="329">
        <f>+E67+E70</f>
        <v>14854507</v>
      </c>
      <c r="F73" s="329">
        <f>+F67+F70</f>
        <v>14874524</v>
      </c>
      <c r="G73" s="329">
        <f>+G67+G70</f>
        <v>15324587</v>
      </c>
      <c r="H73" s="329">
        <f>+H67+H70</f>
        <v>15212436</v>
      </c>
      <c r="I73" s="34"/>
      <c r="J73" s="329">
        <f>+J67+J70</f>
        <v>14952164</v>
      </c>
      <c r="K73" s="329">
        <f>+K67+K70</f>
        <v>15971524</v>
      </c>
      <c r="L73" s="329">
        <f>+L67+L70</f>
        <v>16466153</v>
      </c>
      <c r="M73" s="329">
        <f>+M67+M70</f>
        <v>16169425</v>
      </c>
      <c r="N73" s="329">
        <f>+N67+N70</f>
        <v>16327837</v>
      </c>
      <c r="P73" s="329">
        <f t="shared" ref="P73:U73" si="7">+P67+P70</f>
        <v>16210864</v>
      </c>
      <c r="Q73" s="329">
        <f t="shared" si="7"/>
        <v>16005705</v>
      </c>
      <c r="R73" s="329">
        <f t="shared" si="7"/>
        <v>15919947</v>
      </c>
      <c r="S73" s="329">
        <f t="shared" si="7"/>
        <v>16051630</v>
      </c>
      <c r="T73" s="329">
        <f t="shared" si="7"/>
        <v>16995199</v>
      </c>
      <c r="U73" s="329">
        <f t="shared" si="7"/>
        <v>17083471</v>
      </c>
      <c r="W73" s="329">
        <f>+W67+W70</f>
        <v>17289534</v>
      </c>
      <c r="X73" s="329">
        <f>+X67+X70</f>
        <v>17469084</v>
      </c>
      <c r="Y73" s="329">
        <f>+Y67+Y70</f>
        <v>17504261</v>
      </c>
      <c r="Z73" s="329">
        <f>+Z67+Z70</f>
        <v>17523550</v>
      </c>
      <c r="AB73" s="329">
        <f>+AB67+AB70</f>
        <v>17598033</v>
      </c>
      <c r="AC73" s="329">
        <f>+AC67+AC70</f>
        <v>17712442</v>
      </c>
      <c r="AD73" s="329">
        <f>+AD67+AD70</f>
        <v>17701476</v>
      </c>
      <c r="AE73" s="329">
        <f>+AE67+AE70</f>
        <v>17946404</v>
      </c>
      <c r="AF73" s="302"/>
      <c r="AG73" s="329">
        <f>+AG67+AG70</f>
        <v>17960990</v>
      </c>
      <c r="AH73" s="329">
        <f>+AH67+AH70</f>
        <v>17841047</v>
      </c>
      <c r="AI73" s="329">
        <f>+AI67+AI70</f>
        <v>18454416</v>
      </c>
      <c r="AJ73" s="329">
        <f>+AJ67+AJ70</f>
        <v>18160512</v>
      </c>
      <c r="AK73" s="302"/>
      <c r="AL73" s="302"/>
    </row>
    <row r="74" spans="2:38">
      <c r="C74" s="301"/>
      <c r="E74" s="301"/>
      <c r="F74" s="301"/>
      <c r="G74" s="301"/>
      <c r="H74" s="301"/>
      <c r="J74" s="301"/>
      <c r="K74" s="301"/>
      <c r="L74" s="301"/>
      <c r="M74" s="301"/>
      <c r="N74" s="301"/>
      <c r="P74" s="301"/>
      <c r="Q74" s="301"/>
      <c r="R74" s="301"/>
      <c r="S74" s="301"/>
      <c r="T74" s="301"/>
      <c r="U74" s="301"/>
      <c r="W74" s="301"/>
      <c r="AB74" s="301"/>
      <c r="AF74" s="302"/>
      <c r="AG74" s="301"/>
      <c r="AK74" s="302"/>
      <c r="AL74" s="302"/>
    </row>
    <row r="75" spans="2:38" s="299" customFormat="1" ht="16.5" customHeight="1">
      <c r="B75" s="303" t="s">
        <v>150</v>
      </c>
      <c r="C75" s="301">
        <v>51510</v>
      </c>
      <c r="D75" s="303"/>
      <c r="E75" s="301">
        <v>51481</v>
      </c>
      <c r="F75" s="301">
        <v>51481</v>
      </c>
      <c r="G75" s="301">
        <v>51481</v>
      </c>
      <c r="H75" s="301">
        <v>51510</v>
      </c>
      <c r="I75" s="320"/>
      <c r="J75" s="301">
        <v>51481</v>
      </c>
      <c r="K75" s="301">
        <v>50744</v>
      </c>
      <c r="L75" s="301">
        <v>50744</v>
      </c>
      <c r="M75" s="301">
        <v>51510</v>
      </c>
      <c r="N75" s="301">
        <v>51510</v>
      </c>
      <c r="P75" s="301">
        <v>51510</v>
      </c>
      <c r="Q75" s="301">
        <v>51510</v>
      </c>
      <c r="R75" s="301">
        <v>51510</v>
      </c>
      <c r="S75" s="301">
        <v>51510</v>
      </c>
      <c r="T75" s="301">
        <v>53933</v>
      </c>
      <c r="U75" s="301">
        <v>53933</v>
      </c>
      <c r="W75" s="301">
        <v>53933</v>
      </c>
      <c r="X75" s="215">
        <v>53933</v>
      </c>
      <c r="Y75" s="145">
        <v>53933</v>
      </c>
      <c r="Z75" s="147">
        <v>53933</v>
      </c>
      <c r="AA75" s="146"/>
      <c r="AB75" s="301">
        <v>53933</v>
      </c>
      <c r="AC75" s="215">
        <v>53933</v>
      </c>
      <c r="AD75" s="145">
        <v>53933</v>
      </c>
      <c r="AE75" s="147">
        <v>53933</v>
      </c>
      <c r="AF75" s="302"/>
      <c r="AG75" s="301">
        <v>53933</v>
      </c>
      <c r="AH75" s="215">
        <v>53933</v>
      </c>
      <c r="AI75" s="145">
        <v>53933</v>
      </c>
      <c r="AJ75" s="147">
        <v>53933</v>
      </c>
      <c r="AK75" s="302"/>
      <c r="AL75" s="302"/>
    </row>
    <row r="76" spans="2:38" s="299" customFormat="1" ht="16.5" customHeight="1">
      <c r="B76" s="303" t="s">
        <v>139</v>
      </c>
      <c r="C76" s="301">
        <v>667459</v>
      </c>
      <c r="D76" s="303"/>
      <c r="E76" s="301">
        <v>687062</v>
      </c>
      <c r="F76" s="301">
        <v>697292</v>
      </c>
      <c r="G76" s="301">
        <v>680690</v>
      </c>
      <c r="H76" s="301">
        <v>680051</v>
      </c>
      <c r="I76" s="320"/>
      <c r="J76" s="301">
        <v>689585</v>
      </c>
      <c r="K76" s="301">
        <v>681444</v>
      </c>
      <c r="L76" s="301">
        <v>680280</v>
      </c>
      <c r="M76" s="301">
        <v>680218</v>
      </c>
      <c r="N76" s="301">
        <v>680218</v>
      </c>
      <c r="P76" s="301">
        <v>680218</v>
      </c>
      <c r="Q76" s="301">
        <v>680218</v>
      </c>
      <c r="R76" s="301">
        <v>680218</v>
      </c>
      <c r="S76" s="301">
        <v>680218</v>
      </c>
      <c r="T76" s="301">
        <f>1354760-1</f>
        <v>1354759</v>
      </c>
      <c r="U76" s="301">
        <v>1354759</v>
      </c>
      <c r="W76" s="301">
        <f>1354760-1</f>
        <v>1354759</v>
      </c>
      <c r="X76" s="301">
        <f>1354760-1</f>
        <v>1354759</v>
      </c>
      <c r="Y76" s="301">
        <v>1354759</v>
      </c>
      <c r="Z76" s="147">
        <v>1354759</v>
      </c>
      <c r="AA76" s="146"/>
      <c r="AB76" s="301">
        <v>1354759</v>
      </c>
      <c r="AC76" s="301">
        <v>1354759</v>
      </c>
      <c r="AD76" s="301">
        <v>1354759</v>
      </c>
      <c r="AE76" s="147">
        <v>1354759</v>
      </c>
      <c r="AF76" s="302"/>
      <c r="AG76" s="301">
        <v>1354759</v>
      </c>
      <c r="AH76" s="301">
        <v>1354759</v>
      </c>
      <c r="AI76" s="301">
        <v>1354759</v>
      </c>
      <c r="AJ76" s="147">
        <v>1354759</v>
      </c>
      <c r="AK76" s="302"/>
      <c r="AL76" s="302"/>
    </row>
    <row r="77" spans="2:38" s="299" customFormat="1" ht="16.5" customHeight="1">
      <c r="B77" s="303" t="s">
        <v>62</v>
      </c>
      <c r="C77" s="339">
        <v>1143369</v>
      </c>
      <c r="D77" s="303"/>
      <c r="E77" s="339">
        <v>1347062</v>
      </c>
      <c r="F77" s="339">
        <v>1310992</v>
      </c>
      <c r="G77" s="339">
        <v>1442348</v>
      </c>
      <c r="H77" s="339">
        <v>1854084</v>
      </c>
      <c r="I77" s="320"/>
      <c r="J77" s="339">
        <v>1160573</v>
      </c>
      <c r="K77" s="339">
        <f>1517189-1</f>
        <v>1517188</v>
      </c>
      <c r="L77" s="339">
        <f>1797145-1</f>
        <v>1797144</v>
      </c>
      <c r="M77" s="339">
        <v>1694121</v>
      </c>
      <c r="N77" s="339">
        <v>1714197</v>
      </c>
      <c r="P77" s="301">
        <v>1982831</v>
      </c>
      <c r="Q77" s="301">
        <v>1835682</v>
      </c>
      <c r="R77" s="301">
        <v>1700353</v>
      </c>
      <c r="S77" s="301">
        <v>1447059</v>
      </c>
      <c r="T77" s="301">
        <v>1559137</v>
      </c>
      <c r="U77" s="301">
        <v>1559137</v>
      </c>
      <c r="W77" s="301">
        <v>1288659</v>
      </c>
      <c r="X77" s="145">
        <v>1561959</v>
      </c>
      <c r="Y77" s="145">
        <v>1479092</v>
      </c>
      <c r="Z77" s="145">
        <v>1564175</v>
      </c>
      <c r="AA77" s="146"/>
      <c r="AB77" s="301">
        <v>1192509</v>
      </c>
      <c r="AC77" s="145">
        <v>1448037</v>
      </c>
      <c r="AD77" s="145">
        <v>1359357</v>
      </c>
      <c r="AE77" s="145">
        <v>1692653</v>
      </c>
      <c r="AF77" s="302"/>
      <c r="AG77" s="301">
        <v>1717615</v>
      </c>
      <c r="AH77" s="145">
        <v>1678096</v>
      </c>
      <c r="AI77" s="145">
        <v>2066962</v>
      </c>
      <c r="AJ77" s="145">
        <v>1765469</v>
      </c>
      <c r="AK77" s="302"/>
      <c r="AL77" s="302"/>
    </row>
    <row r="78" spans="2:38" s="299" customFormat="1" ht="16.5" customHeight="1">
      <c r="B78" s="303" t="s">
        <v>35</v>
      </c>
      <c r="C78" s="301">
        <v>2331912</v>
      </c>
      <c r="D78" s="303"/>
      <c r="E78" s="301">
        <v>2430710</v>
      </c>
      <c r="F78" s="301">
        <v>2430707</v>
      </c>
      <c r="G78" s="301">
        <v>2431796</v>
      </c>
      <c r="H78" s="301">
        <v>2430615</v>
      </c>
      <c r="I78" s="320"/>
      <c r="J78" s="301">
        <v>2543398</v>
      </c>
      <c r="K78" s="301">
        <v>2547385</v>
      </c>
      <c r="L78" s="301">
        <v>2543987</v>
      </c>
      <c r="M78" s="301">
        <f>2452117+154742</f>
        <v>2606859</v>
      </c>
      <c r="N78" s="301">
        <v>2606859</v>
      </c>
      <c r="P78" s="301">
        <v>2743765</v>
      </c>
      <c r="Q78" s="301">
        <v>2743765</v>
      </c>
      <c r="R78" s="301">
        <v>2743764</v>
      </c>
      <c r="S78" s="301">
        <v>2743765</v>
      </c>
      <c r="T78" s="301">
        <v>2743764</v>
      </c>
      <c r="U78" s="301">
        <v>2743764</v>
      </c>
      <c r="W78" s="301">
        <v>2829844</v>
      </c>
      <c r="X78" s="145">
        <v>2829844</v>
      </c>
      <c r="Y78" s="145">
        <v>2829844</v>
      </c>
      <c r="Z78" s="147">
        <v>2829844</v>
      </c>
      <c r="AA78" s="146"/>
      <c r="AB78" s="301">
        <v>2829844</v>
      </c>
      <c r="AC78" s="145">
        <v>3001515</v>
      </c>
      <c r="AD78" s="145">
        <v>3001515</v>
      </c>
      <c r="AE78" s="147">
        <v>3001515</v>
      </c>
      <c r="AF78" s="302"/>
      <c r="AG78" s="301">
        <v>3513161</v>
      </c>
      <c r="AH78" s="145">
        <v>3513162</v>
      </c>
      <c r="AI78" s="145">
        <v>3513161</v>
      </c>
      <c r="AJ78" s="147">
        <v>3513161</v>
      </c>
      <c r="AK78" s="302"/>
      <c r="AL78" s="302"/>
    </row>
    <row r="79" spans="2:38" s="299" customFormat="1" ht="16.5" customHeight="1">
      <c r="B79" s="303" t="s">
        <v>86</v>
      </c>
      <c r="C79" s="215">
        <v>0</v>
      </c>
      <c r="D79" s="303"/>
      <c r="E79" s="215">
        <v>0</v>
      </c>
      <c r="F79" s="215">
        <v>0</v>
      </c>
      <c r="G79" s="215">
        <v>0</v>
      </c>
      <c r="H79" s="215">
        <v>0</v>
      </c>
      <c r="I79" s="320"/>
      <c r="J79" s="215">
        <v>0</v>
      </c>
      <c r="K79" s="215">
        <v>0</v>
      </c>
      <c r="L79" s="215">
        <v>0</v>
      </c>
      <c r="M79" s="215">
        <v>130033</v>
      </c>
      <c r="N79" s="215">
        <f>127591+3739+37788</f>
        <v>169118</v>
      </c>
      <c r="P79" s="215">
        <v>0</v>
      </c>
      <c r="Q79" s="215">
        <v>0</v>
      </c>
      <c r="R79" s="215">
        <v>0</v>
      </c>
      <c r="S79" s="215">
        <v>248090</v>
      </c>
      <c r="T79" s="215">
        <f>428834+37788</f>
        <v>466622</v>
      </c>
      <c r="U79" s="215">
        <v>466622</v>
      </c>
      <c r="W79" s="215">
        <v>628793</v>
      </c>
      <c r="X79" s="215">
        <v>599700</v>
      </c>
      <c r="Y79" s="215">
        <v>601328</v>
      </c>
      <c r="Z79" s="147">
        <v>592604</v>
      </c>
      <c r="AA79" s="146"/>
      <c r="AB79" s="215">
        <v>366085</v>
      </c>
      <c r="AC79" s="215">
        <v>379442</v>
      </c>
      <c r="AD79" s="215">
        <v>367883</v>
      </c>
      <c r="AE79" s="145">
        <v>374968</v>
      </c>
      <c r="AF79" s="302"/>
      <c r="AG79" s="215">
        <v>340018</v>
      </c>
      <c r="AH79" s="215">
        <v>338899</v>
      </c>
      <c r="AI79" s="215">
        <v>335143</v>
      </c>
      <c r="AJ79" s="145">
        <v>301188</v>
      </c>
      <c r="AK79" s="302"/>
      <c r="AL79" s="302"/>
    </row>
    <row r="80" spans="2:38" ht="16.5" customHeight="1">
      <c r="B80" s="340" t="s">
        <v>140</v>
      </c>
      <c r="C80" s="301">
        <v>8649149</v>
      </c>
      <c r="D80" s="340"/>
      <c r="E80" s="301">
        <v>8811355</v>
      </c>
      <c r="F80" s="301">
        <v>8811355</v>
      </c>
      <c r="G80" s="301">
        <v>8811355</v>
      </c>
      <c r="H80" s="301">
        <v>8649149</v>
      </c>
      <c r="J80" s="301">
        <v>8811355</v>
      </c>
      <c r="K80" s="301">
        <f>8811355</f>
        <v>8811355</v>
      </c>
      <c r="L80" s="301">
        <f>8811355</f>
        <v>8811355</v>
      </c>
      <c r="M80" s="301">
        <v>8603670</v>
      </c>
      <c r="N80" s="301">
        <f>8703627-37788</f>
        <v>8665839</v>
      </c>
      <c r="P80" s="301">
        <v>8585838</v>
      </c>
      <c r="Q80" s="301">
        <v>8585838</v>
      </c>
      <c r="R80" s="301">
        <v>8752011</v>
      </c>
      <c r="S80" s="301">
        <v>8854990</v>
      </c>
      <c r="T80" s="301">
        <f>8737650+1-37788</f>
        <v>8699863</v>
      </c>
      <c r="U80" s="301">
        <v>8699863</v>
      </c>
      <c r="W80" s="301">
        <v>8699862</v>
      </c>
      <c r="X80" s="215">
        <v>8699863</v>
      </c>
      <c r="Y80" s="215">
        <v>8699863</v>
      </c>
      <c r="Z80" s="146">
        <v>8696987</v>
      </c>
      <c r="AB80" s="301">
        <v>9148034</v>
      </c>
      <c r="AC80" s="215">
        <v>8695192</v>
      </c>
      <c r="AD80" s="215">
        <v>8693237</v>
      </c>
      <c r="AE80" s="215">
        <v>8686431</v>
      </c>
      <c r="AF80" s="302"/>
      <c r="AG80" s="301">
        <v>8686625</v>
      </c>
      <c r="AH80" s="215">
        <v>8702920</v>
      </c>
      <c r="AI80" s="215">
        <v>8702956</v>
      </c>
      <c r="AJ80" s="215">
        <v>8701448</v>
      </c>
      <c r="AK80" s="302"/>
      <c r="AL80" s="302"/>
    </row>
    <row r="81" spans="1:38" ht="16.5" customHeight="1">
      <c r="B81" s="303" t="s">
        <v>151</v>
      </c>
      <c r="C81" s="23">
        <v>294950</v>
      </c>
      <c r="D81" s="303"/>
      <c r="E81" s="266">
        <v>-21377</v>
      </c>
      <c r="F81" s="23">
        <v>240678</v>
      </c>
      <c r="G81" s="23">
        <v>263780</v>
      </c>
      <c r="H81" s="23">
        <v>201042</v>
      </c>
      <c r="J81" s="23">
        <v>34639</v>
      </c>
      <c r="K81" s="23">
        <v>139406</v>
      </c>
      <c r="L81" s="23">
        <v>450079</v>
      </c>
      <c r="M81" s="23">
        <v>371801</v>
      </c>
      <c r="N81" s="201">
        <v>395462</v>
      </c>
      <c r="P81" s="23">
        <v>90796</v>
      </c>
      <c r="Q81" s="23">
        <v>136112</v>
      </c>
      <c r="R81" s="23">
        <v>162857</v>
      </c>
      <c r="S81" s="23">
        <v>183343</v>
      </c>
      <c r="T81" s="23">
        <v>351820</v>
      </c>
      <c r="U81" s="23">
        <v>351820</v>
      </c>
      <c r="W81" s="23">
        <v>86971</v>
      </c>
      <c r="X81" s="146">
        <v>148389</v>
      </c>
      <c r="Y81" s="146">
        <v>481542</v>
      </c>
      <c r="Z81" s="146">
        <v>452841</v>
      </c>
      <c r="AB81" s="23">
        <v>480389</v>
      </c>
      <c r="AC81" s="146">
        <v>520336</v>
      </c>
      <c r="AD81" s="146">
        <v>710852</v>
      </c>
      <c r="AE81" s="146">
        <v>811676</v>
      </c>
      <c r="AF81" s="302"/>
      <c r="AG81" s="23">
        <v>172188</v>
      </c>
      <c r="AH81" s="146">
        <v>205717</v>
      </c>
      <c r="AI81" s="146">
        <v>404818</v>
      </c>
      <c r="AJ81" s="146">
        <v>482739</v>
      </c>
      <c r="AK81" s="302"/>
      <c r="AL81" s="302"/>
    </row>
    <row r="82" spans="1:38" ht="7.5" customHeight="1">
      <c r="B82" s="303"/>
      <c r="C82" s="23"/>
      <c r="D82" s="303"/>
      <c r="E82" s="23"/>
      <c r="F82" s="23"/>
      <c r="G82" s="23"/>
      <c r="H82" s="23"/>
      <c r="J82" s="23"/>
      <c r="K82" s="23"/>
      <c r="L82" s="23"/>
      <c r="M82" s="23"/>
      <c r="N82" s="23"/>
      <c r="P82" s="23"/>
      <c r="Q82" s="23"/>
      <c r="R82" s="23"/>
      <c r="S82" s="23"/>
      <c r="T82" s="23"/>
      <c r="U82" s="23"/>
      <c r="W82" s="23"/>
      <c r="AB82" s="23"/>
      <c r="AF82" s="302"/>
      <c r="AG82" s="23"/>
      <c r="AK82" s="302"/>
      <c r="AL82" s="302"/>
    </row>
    <row r="83" spans="1:38" ht="20.25" customHeight="1">
      <c r="B83" s="330" t="s">
        <v>52</v>
      </c>
      <c r="C83" s="331">
        <f>SUM(C75:C81)</f>
        <v>13138349</v>
      </c>
      <c r="D83" s="328"/>
      <c r="E83" s="331">
        <f>SUM(E75:E81)</f>
        <v>13306293</v>
      </c>
      <c r="F83" s="331">
        <f>SUM(F75:F81)</f>
        <v>13542505</v>
      </c>
      <c r="G83" s="331">
        <f>SUM(G75:G81)</f>
        <v>13681450</v>
      </c>
      <c r="H83" s="331">
        <f>SUM(H75:H81)</f>
        <v>13866451</v>
      </c>
      <c r="J83" s="331">
        <f>SUM(J75:J81)</f>
        <v>13291031</v>
      </c>
      <c r="K83" s="331">
        <f>SUM(K75:K81)</f>
        <v>13747522</v>
      </c>
      <c r="L83" s="331">
        <f>SUM(L75:L81)</f>
        <v>14333589</v>
      </c>
      <c r="M83" s="331">
        <f>SUM(M75:M81)</f>
        <v>14138212</v>
      </c>
      <c r="N83" s="331">
        <f>SUM(N75:N81)</f>
        <v>14283203</v>
      </c>
      <c r="P83" s="331">
        <f t="shared" ref="P83:U83" si="8">SUM(P75:P81)</f>
        <v>14134958</v>
      </c>
      <c r="Q83" s="331">
        <f t="shared" si="8"/>
        <v>14033125</v>
      </c>
      <c r="R83" s="331">
        <f t="shared" si="8"/>
        <v>14090713</v>
      </c>
      <c r="S83" s="331">
        <f t="shared" si="8"/>
        <v>14208975</v>
      </c>
      <c r="T83" s="331">
        <f t="shared" si="8"/>
        <v>15229898</v>
      </c>
      <c r="U83" s="331">
        <f t="shared" si="8"/>
        <v>15229898</v>
      </c>
      <c r="W83" s="331">
        <f>SUM(W75:W81)</f>
        <v>14942821</v>
      </c>
      <c r="X83" s="331">
        <f>SUM(X75:X81)</f>
        <v>15248447</v>
      </c>
      <c r="Y83" s="331">
        <f>SUM(Y75:Y81)</f>
        <v>15500361</v>
      </c>
      <c r="Z83" s="331">
        <f>SUM(Z75:Z81)</f>
        <v>15545143</v>
      </c>
      <c r="AB83" s="331">
        <f>SUM(AB75:AB81)</f>
        <v>15425553</v>
      </c>
      <c r="AC83" s="331">
        <f>SUM(AC75:AC81)</f>
        <v>15453214</v>
      </c>
      <c r="AD83" s="331">
        <f>SUM(AD75:AD81)</f>
        <v>15541536</v>
      </c>
      <c r="AE83" s="331">
        <f>SUM(AE75:AE81)</f>
        <v>15975935</v>
      </c>
      <c r="AF83" s="302"/>
      <c r="AG83" s="331">
        <f>SUM(AG75:AG81)</f>
        <v>15838299</v>
      </c>
      <c r="AH83" s="331">
        <f>SUM(AH75:AH81)</f>
        <v>15847486</v>
      </c>
      <c r="AI83" s="331">
        <f>SUM(AI75:AI81)</f>
        <v>16431732</v>
      </c>
      <c r="AJ83" s="331">
        <f>SUM(AJ75:AJ81)</f>
        <v>16172697</v>
      </c>
      <c r="AK83" s="302"/>
      <c r="AL83" s="302"/>
    </row>
    <row r="84" spans="1:38" ht="11.25" customHeight="1">
      <c r="B84" s="303"/>
      <c r="C84" s="301"/>
      <c r="D84" s="303"/>
      <c r="E84" s="301"/>
      <c r="F84" s="301"/>
      <c r="G84" s="301"/>
      <c r="H84" s="301"/>
      <c r="J84" s="301"/>
      <c r="K84" s="301"/>
      <c r="L84" s="301"/>
      <c r="M84" s="301"/>
      <c r="N84" s="301"/>
      <c r="P84" s="301"/>
      <c r="Q84" s="301"/>
      <c r="R84" s="301"/>
      <c r="S84" s="301"/>
    </row>
    <row r="85" spans="1:38">
      <c r="C85" s="299"/>
    </row>
    <row r="86" spans="1:38" ht="21" customHeight="1">
      <c r="C86" s="299"/>
      <c r="E86" s="301"/>
    </row>
    <row r="87" spans="1:38">
      <c r="B87" s="267"/>
      <c r="C87" s="267">
        <f>+C35-C67-C70</f>
        <v>0</v>
      </c>
      <c r="D87" s="264"/>
      <c r="E87" s="267">
        <f t="shared" ref="E87:H88" si="9">+E35-E67-E70</f>
        <v>0</v>
      </c>
      <c r="F87" s="267">
        <f t="shared" si="9"/>
        <v>0</v>
      </c>
      <c r="G87" s="267">
        <f t="shared" si="9"/>
        <v>0</v>
      </c>
      <c r="H87" s="267">
        <f t="shared" si="9"/>
        <v>0</v>
      </c>
      <c r="I87" s="267"/>
      <c r="J87" s="267">
        <f t="shared" ref="J87:N88" si="10">+J35-J67-J70</f>
        <v>0</v>
      </c>
      <c r="K87" s="267">
        <f t="shared" si="10"/>
        <v>0</v>
      </c>
      <c r="L87" s="267">
        <f t="shared" si="10"/>
        <v>0</v>
      </c>
      <c r="M87" s="267">
        <f t="shared" si="10"/>
        <v>0</v>
      </c>
      <c r="N87" s="267">
        <f t="shared" si="10"/>
        <v>0</v>
      </c>
      <c r="O87" s="267"/>
      <c r="P87" s="267">
        <f t="shared" ref="P87:U88" si="11">+P35-P67-P70</f>
        <v>0</v>
      </c>
      <c r="Q87" s="267">
        <f t="shared" si="11"/>
        <v>0</v>
      </c>
      <c r="R87" s="267">
        <f t="shared" si="11"/>
        <v>0</v>
      </c>
      <c r="S87" s="267">
        <f t="shared" si="11"/>
        <v>0</v>
      </c>
      <c r="T87" s="267">
        <f t="shared" si="11"/>
        <v>0</v>
      </c>
      <c r="U87" s="267">
        <f t="shared" si="11"/>
        <v>0</v>
      </c>
      <c r="W87" s="267">
        <f t="shared" ref="W87:Z88" si="12">+W35-W67-W70</f>
        <v>0</v>
      </c>
      <c r="X87" s="267">
        <f t="shared" si="12"/>
        <v>0</v>
      </c>
      <c r="Y87" s="267">
        <f t="shared" si="12"/>
        <v>0</v>
      </c>
      <c r="Z87" s="267">
        <f t="shared" si="12"/>
        <v>0</v>
      </c>
      <c r="AB87" s="267">
        <f t="shared" ref="AB87:AE88" si="13">+AB35-AB67-AB70</f>
        <v>0</v>
      </c>
      <c r="AC87" s="267">
        <f t="shared" si="13"/>
        <v>0</v>
      </c>
      <c r="AD87" s="267">
        <f t="shared" si="13"/>
        <v>0</v>
      </c>
      <c r="AE87" s="267">
        <f t="shared" si="13"/>
        <v>0</v>
      </c>
      <c r="AG87" s="267">
        <f t="shared" ref="AG87:AJ88" si="14">+AG35-AG67-AG70</f>
        <v>0</v>
      </c>
      <c r="AH87" s="267">
        <f t="shared" si="14"/>
        <v>0</v>
      </c>
      <c r="AI87" s="267">
        <f t="shared" si="14"/>
        <v>0</v>
      </c>
      <c r="AJ87" s="267">
        <f t="shared" si="14"/>
        <v>0</v>
      </c>
    </row>
    <row r="88" spans="1:38" ht="16.5" customHeight="1">
      <c r="C88" s="267">
        <f>+C36-C68-C71</f>
        <v>0</v>
      </c>
      <c r="E88" s="267">
        <f t="shared" si="9"/>
        <v>0</v>
      </c>
      <c r="F88" s="267">
        <f t="shared" si="9"/>
        <v>0</v>
      </c>
      <c r="G88" s="267">
        <f t="shared" si="9"/>
        <v>0</v>
      </c>
      <c r="H88" s="267">
        <f t="shared" si="9"/>
        <v>0</v>
      </c>
      <c r="I88" s="267"/>
      <c r="J88" s="267">
        <f t="shared" si="10"/>
        <v>0</v>
      </c>
      <c r="K88" s="267">
        <f t="shared" si="10"/>
        <v>0</v>
      </c>
      <c r="L88" s="267">
        <f t="shared" si="10"/>
        <v>0</v>
      </c>
      <c r="M88" s="267">
        <f t="shared" si="10"/>
        <v>0</v>
      </c>
      <c r="N88" s="267">
        <f t="shared" si="10"/>
        <v>0</v>
      </c>
      <c r="P88" s="267">
        <f t="shared" si="11"/>
        <v>0</v>
      </c>
      <c r="Q88" s="267">
        <f t="shared" si="11"/>
        <v>0</v>
      </c>
      <c r="R88" s="267">
        <f t="shared" si="11"/>
        <v>0</v>
      </c>
      <c r="S88" s="267">
        <f t="shared" si="11"/>
        <v>0</v>
      </c>
      <c r="T88" s="267">
        <f t="shared" si="11"/>
        <v>0</v>
      </c>
      <c r="U88" s="267">
        <f t="shared" si="11"/>
        <v>0</v>
      </c>
      <c r="W88" s="267">
        <f t="shared" si="12"/>
        <v>0</v>
      </c>
      <c r="X88" s="267">
        <f t="shared" si="12"/>
        <v>0</v>
      </c>
      <c r="Y88" s="267">
        <f t="shared" si="12"/>
        <v>0</v>
      </c>
      <c r="Z88" s="267">
        <f t="shared" si="12"/>
        <v>0</v>
      </c>
      <c r="AB88" s="267">
        <f t="shared" si="13"/>
        <v>0</v>
      </c>
      <c r="AC88" s="267">
        <f t="shared" si="13"/>
        <v>0</v>
      </c>
      <c r="AD88" s="267">
        <f t="shared" si="13"/>
        <v>0</v>
      </c>
      <c r="AE88" s="267">
        <f t="shared" si="13"/>
        <v>0</v>
      </c>
      <c r="AG88" s="267">
        <f t="shared" si="14"/>
        <v>0</v>
      </c>
      <c r="AH88" s="267">
        <f t="shared" si="14"/>
        <v>0</v>
      </c>
      <c r="AI88" s="267">
        <f t="shared" si="14"/>
        <v>0</v>
      </c>
      <c r="AJ88" s="267">
        <f t="shared" si="14"/>
        <v>0</v>
      </c>
    </row>
    <row r="89" spans="1:38" ht="16.5" customHeight="1">
      <c r="A89" s="267"/>
      <c r="B89" s="267"/>
      <c r="C89" s="267"/>
      <c r="D89" s="264"/>
      <c r="E89" s="267"/>
      <c r="F89" s="267"/>
      <c r="G89" s="267"/>
      <c r="H89" s="267"/>
      <c r="I89" s="267"/>
      <c r="J89" s="267"/>
      <c r="K89" s="267"/>
      <c r="L89" s="267"/>
      <c r="M89" s="267"/>
      <c r="N89" s="267"/>
    </row>
    <row r="90" spans="1:38" ht="16.5" customHeight="1"/>
    <row r="91" spans="1:38" ht="16.5" customHeight="1"/>
    <row r="92" spans="1:38" ht="14.25" customHeight="1"/>
    <row r="93" spans="1:38" ht="16.5" customHeight="1"/>
    <row r="94" spans="1:38" ht="3.75" customHeight="1"/>
    <row r="95" spans="1:38" ht="16.5" customHeight="1"/>
    <row r="97" spans="2:8" ht="14.25" customHeight="1">
      <c r="B97" s="435"/>
      <c r="C97" s="435"/>
      <c r="D97" s="435"/>
      <c r="E97" s="435"/>
      <c r="F97" s="435"/>
      <c r="G97" s="320"/>
      <c r="H97" s="320"/>
    </row>
    <row r="101" spans="2:8" ht="14.5">
      <c r="B101" s="304"/>
      <c r="C101" s="304"/>
      <c r="D101" s="304"/>
      <c r="E101" s="42"/>
      <c r="F101" s="42"/>
      <c r="G101" s="42"/>
      <c r="H101" s="42"/>
    </row>
    <row r="102" spans="2:8" ht="14.5">
      <c r="B102" s="305"/>
      <c r="C102" s="305"/>
      <c r="D102" s="305"/>
      <c r="E102" s="44"/>
      <c r="F102" s="45"/>
      <c r="G102" s="45"/>
      <c r="H102" s="45"/>
    </row>
    <row r="103" spans="2:8" ht="14.5">
      <c r="B103" s="305"/>
      <c r="C103" s="305"/>
      <c r="D103" s="305"/>
      <c r="E103" s="42"/>
      <c r="F103" s="28"/>
      <c r="G103" s="28"/>
      <c r="H103" s="28"/>
    </row>
    <row r="104" spans="2:8" ht="14.5">
      <c r="B104" s="305"/>
      <c r="C104" s="305"/>
      <c r="D104" s="305"/>
      <c r="E104" s="42"/>
      <c r="F104" s="28"/>
      <c r="G104" s="28"/>
      <c r="H104" s="28"/>
    </row>
    <row r="105" spans="2:8" ht="14.5">
      <c r="B105" s="305"/>
      <c r="C105" s="305"/>
      <c r="D105" s="305"/>
      <c r="E105" s="42"/>
      <c r="F105" s="28"/>
      <c r="G105" s="28"/>
      <c r="H105" s="28"/>
    </row>
    <row r="106" spans="2:8" ht="14.5">
      <c r="B106" s="305"/>
      <c r="C106" s="305"/>
      <c r="D106" s="305"/>
      <c r="E106" s="42"/>
      <c r="F106" s="28"/>
      <c r="G106" s="28"/>
      <c r="H106" s="28"/>
    </row>
    <row r="107" spans="2:8" ht="14.5">
      <c r="B107" s="305"/>
      <c r="C107" s="305"/>
      <c r="D107" s="305"/>
      <c r="E107" s="42"/>
      <c r="F107" s="28"/>
      <c r="G107" s="28"/>
      <c r="H107" s="28"/>
    </row>
    <row r="108" spans="2:8" ht="14.5">
      <c r="B108" s="305"/>
      <c r="C108" s="305"/>
      <c r="D108" s="305"/>
      <c r="E108" s="42"/>
      <c r="F108" s="28"/>
      <c r="G108" s="28"/>
      <c r="H108" s="28"/>
    </row>
    <row r="109" spans="2:8" ht="14.5">
      <c r="B109" s="305"/>
      <c r="C109" s="305"/>
      <c r="D109" s="305"/>
      <c r="E109" s="42"/>
      <c r="F109" s="28"/>
      <c r="G109" s="28"/>
      <c r="H109" s="28"/>
    </row>
    <row r="110" spans="2:8" ht="14.5">
      <c r="B110" s="305"/>
      <c r="C110" s="305"/>
      <c r="D110" s="305"/>
      <c r="E110" s="42"/>
      <c r="F110" s="28"/>
      <c r="G110" s="28"/>
      <c r="H110" s="28"/>
    </row>
    <row r="111" spans="2:8" ht="14.5">
      <c r="B111" s="304"/>
      <c r="C111" s="304"/>
      <c r="D111" s="304"/>
      <c r="E111" s="46"/>
      <c r="F111" s="46"/>
      <c r="G111" s="46"/>
      <c r="H111" s="46"/>
    </row>
  </sheetData>
  <mergeCells count="10">
    <mergeCell ref="W6:Z6"/>
    <mergeCell ref="AB6:AE6"/>
    <mergeCell ref="AG6:AJ6"/>
    <mergeCell ref="B97:F97"/>
    <mergeCell ref="B1:K1"/>
    <mergeCell ref="B2:K2"/>
    <mergeCell ref="B3:K3"/>
    <mergeCell ref="E6:H6"/>
    <mergeCell ref="J6:N6"/>
    <mergeCell ref="P6:U6"/>
  </mergeCells>
  <printOptions horizontalCentered="1"/>
  <pageMargins left="0.27" right="0.22" top="0.63" bottom="0.34" header="0" footer="0"/>
  <pageSetup scale="38" orientation="landscape" r:id="rId1"/>
  <headerFooter alignWithMargins="0"/>
  <customProperties>
    <customPr name="EpmWorksheetKeyString_GUID" r:id="rId2"/>
  </customPropertie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B79DF-B5F7-4D5E-9BEA-6BFBAF98F876}">
  <sheetPr>
    <pageSetUpPr fitToPage="1"/>
  </sheetPr>
  <dimension ref="A1:AV106"/>
  <sheetViews>
    <sheetView showGridLines="0" topLeftCell="B1" zoomScaleNormal="100" workbookViewId="0">
      <pane xSplit="1" ySplit="9" topLeftCell="AQ24" activePane="bottomRight" state="frozen"/>
      <selection activeCell="D38" sqref="D38"/>
      <selection pane="topRight" activeCell="D38" sqref="D38"/>
      <selection pane="bottomLeft" activeCell="D38" sqref="D38"/>
      <selection pane="bottomRight" activeCell="AW5" sqref="AW5"/>
    </sheetView>
  </sheetViews>
  <sheetFormatPr baseColWidth="10" defaultColWidth="13" defaultRowHeight="12.5"/>
  <cols>
    <col min="1" max="1" width="13" style="367" customWidth="1"/>
    <col min="2" max="2" width="56.453125" style="367" bestFit="1" customWidth="1"/>
    <col min="3" max="3" width="10.26953125" style="367" bestFit="1" customWidth="1"/>
    <col min="4" max="4" width="1.54296875" style="367" customWidth="1"/>
    <col min="5" max="8" width="11.26953125" style="299" customWidth="1"/>
    <col min="9" max="9" width="2" style="367" customWidth="1"/>
    <col min="10" max="13" width="11.26953125" style="367" customWidth="1"/>
    <col min="14" max="14" width="15.54296875" style="367" customWidth="1"/>
    <col min="15" max="15" width="2" style="367" customWidth="1"/>
    <col min="16" max="18" width="13" style="367"/>
    <col min="19" max="19" width="14.1796875" style="367" bestFit="1" customWidth="1"/>
    <col min="20" max="21" width="13" style="367"/>
    <col min="22" max="22" width="1.453125" style="367" customWidth="1"/>
    <col min="23" max="26" width="13" style="367"/>
    <col min="27" max="27" width="4.54296875" style="146" customWidth="1"/>
    <col min="28" max="31" width="10.26953125" style="367" bestFit="1" customWidth="1"/>
    <col min="32" max="32" width="5" style="367" customWidth="1"/>
    <col min="33" max="36" width="10.26953125" style="367" bestFit="1" customWidth="1"/>
    <col min="37" max="37" width="5" style="367" customWidth="1"/>
    <col min="38" max="39" width="10.26953125" style="367" bestFit="1" customWidth="1"/>
    <col min="40" max="41" width="10.26953125" style="367" customWidth="1"/>
    <col min="42" max="42" width="5" style="401" customWidth="1"/>
    <col min="43" max="46" width="13" style="367"/>
    <col min="47" max="47" width="5" style="419" customWidth="1"/>
    <col min="48" max="16384" width="13" style="367"/>
  </cols>
  <sheetData>
    <row r="1" spans="2:48" ht="22.5">
      <c r="B1" s="406" t="s">
        <v>0</v>
      </c>
      <c r="C1" s="412"/>
      <c r="D1" s="412"/>
      <c r="E1" s="412"/>
      <c r="F1" s="412"/>
      <c r="G1" s="412"/>
      <c r="H1" s="412"/>
      <c r="I1" s="412"/>
      <c r="J1" s="412"/>
      <c r="K1" s="412"/>
    </row>
    <row r="2" spans="2:48" ht="19">
      <c r="B2" s="408" t="s">
        <v>309</v>
      </c>
      <c r="C2" s="412"/>
      <c r="D2" s="412"/>
      <c r="E2" s="412"/>
      <c r="F2" s="412"/>
      <c r="G2" s="412"/>
      <c r="H2" s="412"/>
      <c r="I2" s="412"/>
      <c r="J2" s="412"/>
      <c r="K2" s="412"/>
    </row>
    <row r="3" spans="2:48" ht="13.5">
      <c r="B3" s="405" t="s">
        <v>1</v>
      </c>
      <c r="C3" s="413"/>
      <c r="D3" s="413"/>
      <c r="E3" s="413"/>
      <c r="F3" s="413"/>
      <c r="G3" s="413"/>
      <c r="H3" s="413"/>
      <c r="I3" s="413"/>
      <c r="J3" s="413"/>
      <c r="K3" s="413"/>
      <c r="AQ3" s="454"/>
      <c r="AR3" s="402"/>
    </row>
    <row r="4" spans="2:48" ht="12.75" customHeight="1">
      <c r="B4" s="368"/>
      <c r="C4" s="368"/>
      <c r="D4" s="368"/>
      <c r="E4" s="368"/>
      <c r="F4" s="368"/>
      <c r="G4" s="368"/>
      <c r="H4" s="368"/>
      <c r="I4" s="368"/>
      <c r="J4" s="368"/>
      <c r="K4" s="368"/>
      <c r="AO4" s="401"/>
      <c r="AS4" s="402"/>
      <c r="AT4" s="402"/>
    </row>
    <row r="5" spans="2:48" ht="13" thickBot="1"/>
    <row r="6" spans="2:48" ht="21" customHeight="1" thickTop="1" thickBot="1">
      <c r="C6" s="274">
        <v>2013</v>
      </c>
      <c r="D6" s="326"/>
      <c r="E6" s="438" t="s">
        <v>101</v>
      </c>
      <c r="F6" s="439"/>
      <c r="G6" s="439"/>
      <c r="H6" s="440"/>
      <c r="J6" s="438" t="s">
        <v>102</v>
      </c>
      <c r="K6" s="439"/>
      <c r="L6" s="439"/>
      <c r="M6" s="439"/>
      <c r="N6" s="440"/>
      <c r="P6" s="441" t="s">
        <v>179</v>
      </c>
      <c r="Q6" s="442"/>
      <c r="R6" s="442"/>
      <c r="S6" s="442"/>
      <c r="T6" s="442"/>
      <c r="U6" s="443"/>
      <c r="W6" s="432" t="s">
        <v>196</v>
      </c>
      <c r="X6" s="433"/>
      <c r="Y6" s="433"/>
      <c r="Z6" s="434"/>
      <c r="AB6" s="432" t="s">
        <v>233</v>
      </c>
      <c r="AC6" s="433"/>
      <c r="AD6" s="433"/>
      <c r="AE6" s="434"/>
      <c r="AG6" s="432" t="s">
        <v>255</v>
      </c>
      <c r="AH6" s="433"/>
      <c r="AI6" s="433"/>
      <c r="AJ6" s="434"/>
      <c r="AL6" s="432" t="s">
        <v>291</v>
      </c>
      <c r="AM6" s="433"/>
      <c r="AN6" s="433"/>
      <c r="AO6" s="434"/>
      <c r="AQ6" s="432" t="s">
        <v>303</v>
      </c>
      <c r="AR6" s="433"/>
      <c r="AS6" s="433"/>
      <c r="AT6" s="434"/>
      <c r="AV6" s="274" t="s">
        <v>350</v>
      </c>
    </row>
    <row r="7" spans="2:48" ht="4.5" customHeight="1" thickTop="1" thickBot="1">
      <c r="E7" s="167"/>
      <c r="F7" s="167"/>
      <c r="G7" s="167"/>
      <c r="H7" s="167"/>
      <c r="J7" s="167"/>
      <c r="K7" s="167"/>
      <c r="AQ7" s="419"/>
      <c r="AR7" s="419"/>
      <c r="AS7" s="419"/>
      <c r="AT7" s="419"/>
      <c r="AV7" s="419"/>
    </row>
    <row r="8" spans="2:48" ht="30" customHeight="1" thickTop="1" thickBot="1">
      <c r="C8" s="151">
        <v>41609</v>
      </c>
      <c r="D8" s="306"/>
      <c r="E8" s="372">
        <v>41699</v>
      </c>
      <c r="F8" s="371">
        <v>41791</v>
      </c>
      <c r="G8" s="371">
        <v>41883</v>
      </c>
      <c r="H8" s="371">
        <v>41974</v>
      </c>
      <c r="J8" s="371">
        <v>42064</v>
      </c>
      <c r="K8" s="371">
        <v>42156</v>
      </c>
      <c r="L8" s="371">
        <v>42248</v>
      </c>
      <c r="M8" s="371">
        <v>42339</v>
      </c>
      <c r="N8" s="151" t="s">
        <v>186</v>
      </c>
      <c r="P8" s="371">
        <v>42430</v>
      </c>
      <c r="Q8" s="371">
        <v>42522</v>
      </c>
      <c r="R8" s="371">
        <v>42614</v>
      </c>
      <c r="S8" s="371" t="s">
        <v>216</v>
      </c>
      <c r="T8" s="151">
        <v>42705</v>
      </c>
      <c r="U8" s="151" t="s">
        <v>229</v>
      </c>
      <c r="W8" s="371">
        <v>42795</v>
      </c>
      <c r="X8" s="371">
        <v>42887</v>
      </c>
      <c r="Y8" s="151">
        <v>42979</v>
      </c>
      <c r="Z8" s="151">
        <v>43070</v>
      </c>
      <c r="AB8" s="371">
        <v>43160</v>
      </c>
      <c r="AC8" s="371">
        <v>43252</v>
      </c>
      <c r="AD8" s="151">
        <v>43344</v>
      </c>
      <c r="AE8" s="151">
        <v>43435</v>
      </c>
      <c r="AG8" s="371">
        <v>43525</v>
      </c>
      <c r="AH8" s="371">
        <v>43617</v>
      </c>
      <c r="AI8" s="151">
        <v>43709</v>
      </c>
      <c r="AJ8" s="151">
        <v>43800</v>
      </c>
      <c r="AL8" s="398">
        <v>43891</v>
      </c>
      <c r="AM8" s="398">
        <v>43983</v>
      </c>
      <c r="AN8" s="151">
        <v>44075</v>
      </c>
      <c r="AO8" s="151">
        <v>44166</v>
      </c>
      <c r="AQ8" s="420">
        <v>44256</v>
      </c>
      <c r="AR8" s="420">
        <v>44348</v>
      </c>
      <c r="AS8" s="420">
        <v>44440</v>
      </c>
      <c r="AT8" s="151">
        <v>44531</v>
      </c>
      <c r="AV8" s="420">
        <v>44621</v>
      </c>
    </row>
    <row r="9" spans="2:48" ht="3.75" customHeight="1" thickTop="1">
      <c r="J9" s="299"/>
      <c r="K9" s="299"/>
      <c r="AL9" s="397"/>
      <c r="AM9" s="397"/>
      <c r="AN9" s="397"/>
      <c r="AO9" s="397"/>
      <c r="AQ9" s="419"/>
      <c r="AR9" s="419"/>
      <c r="AS9" s="419"/>
      <c r="AT9" s="419"/>
      <c r="AV9" s="419"/>
    </row>
    <row r="10" spans="2:48" ht="16.5" customHeight="1">
      <c r="B10" s="300" t="s">
        <v>36</v>
      </c>
      <c r="C10" s="301">
        <v>20409</v>
      </c>
      <c r="D10" s="300"/>
      <c r="E10" s="301">
        <v>44378</v>
      </c>
      <c r="F10" s="301">
        <v>34879</v>
      </c>
      <c r="G10" s="301">
        <v>368419</v>
      </c>
      <c r="H10" s="301">
        <v>165978</v>
      </c>
      <c r="J10" s="301">
        <v>212683</v>
      </c>
      <c r="K10" s="301">
        <v>25622</v>
      </c>
      <c r="L10" s="301">
        <v>399215</v>
      </c>
      <c r="M10" s="301">
        <v>311454</v>
      </c>
      <c r="N10" s="301">
        <v>311454</v>
      </c>
      <c r="P10" s="301">
        <v>145061</v>
      </c>
      <c r="Q10" s="301">
        <v>36458</v>
      </c>
      <c r="R10" s="301">
        <v>165562</v>
      </c>
      <c r="S10" s="301">
        <v>165562</v>
      </c>
      <c r="T10" s="301">
        <v>179358</v>
      </c>
      <c r="U10" s="301">
        <v>180011</v>
      </c>
      <c r="W10" s="301">
        <v>4218</v>
      </c>
      <c r="X10" s="301">
        <v>71637</v>
      </c>
      <c r="Y10" s="146">
        <v>106150</v>
      </c>
      <c r="Z10" s="146">
        <f>312774-13692</f>
        <v>299082</v>
      </c>
      <c r="AB10" s="301">
        <v>79466</v>
      </c>
      <c r="AC10" s="301">
        <v>13861</v>
      </c>
      <c r="AD10" s="146">
        <v>2489</v>
      </c>
      <c r="AE10" s="146">
        <v>4850</v>
      </c>
      <c r="AF10" s="302"/>
      <c r="AG10" s="301">
        <v>7530</v>
      </c>
      <c r="AH10" s="215">
        <v>1810</v>
      </c>
      <c r="AI10" s="215">
        <v>1972</v>
      </c>
      <c r="AJ10" s="215">
        <v>1729</v>
      </c>
      <c r="AK10" s="302"/>
      <c r="AL10" s="301">
        <v>115068</v>
      </c>
      <c r="AM10" s="215">
        <v>116093</v>
      </c>
      <c r="AN10" s="215">
        <v>116372</v>
      </c>
      <c r="AO10" s="215">
        <v>24148</v>
      </c>
      <c r="AQ10" s="301">
        <v>1752</v>
      </c>
      <c r="AR10" s="215">
        <v>2090</v>
      </c>
      <c r="AS10" s="215">
        <v>4235</v>
      </c>
      <c r="AT10" s="215">
        <v>16237</v>
      </c>
      <c r="AU10" s="302"/>
      <c r="AV10" s="301">
        <v>8046</v>
      </c>
    </row>
    <row r="11" spans="2:48" ht="16.5" customHeight="1">
      <c r="B11" s="300" t="s">
        <v>83</v>
      </c>
      <c r="C11" s="215">
        <v>2681</v>
      </c>
      <c r="D11" s="300"/>
      <c r="E11" s="301">
        <v>4375</v>
      </c>
      <c r="F11" s="215">
        <v>0</v>
      </c>
      <c r="G11" s="215">
        <v>0</v>
      </c>
      <c r="H11" s="215">
        <v>0</v>
      </c>
      <c r="J11" s="301">
        <v>2696</v>
      </c>
      <c r="K11" s="301">
        <v>1184</v>
      </c>
      <c r="L11" s="301">
        <v>17393</v>
      </c>
      <c r="M11" s="301">
        <v>15940</v>
      </c>
      <c r="N11" s="301">
        <v>15940</v>
      </c>
      <c r="P11" s="215">
        <v>0</v>
      </c>
      <c r="Q11" s="215">
        <v>0</v>
      </c>
      <c r="R11" s="215">
        <v>0</v>
      </c>
      <c r="S11" s="215">
        <v>0</v>
      </c>
      <c r="T11" s="215">
        <v>0</v>
      </c>
      <c r="U11" s="215">
        <v>0</v>
      </c>
      <c r="W11" s="215">
        <v>0</v>
      </c>
      <c r="X11" s="215">
        <v>0</v>
      </c>
      <c r="Y11" s="146">
        <v>0</v>
      </c>
      <c r="Z11" s="146">
        <v>0</v>
      </c>
      <c r="AB11" s="215">
        <v>0</v>
      </c>
      <c r="AC11" s="215">
        <v>0</v>
      </c>
      <c r="AD11" s="146">
        <v>3822</v>
      </c>
      <c r="AE11" s="146">
        <v>2932</v>
      </c>
      <c r="AF11" s="302"/>
      <c r="AG11" s="215">
        <v>0</v>
      </c>
      <c r="AH11" s="215">
        <v>0</v>
      </c>
      <c r="AI11" s="215">
        <v>0</v>
      </c>
      <c r="AJ11" s="215">
        <v>0</v>
      </c>
      <c r="AK11" s="302"/>
      <c r="AL11" s="215">
        <v>0</v>
      </c>
      <c r="AM11" s="215">
        <v>837</v>
      </c>
      <c r="AN11" s="215">
        <v>0</v>
      </c>
      <c r="AO11" s="215">
        <v>0</v>
      </c>
      <c r="AQ11" s="215">
        <v>83</v>
      </c>
      <c r="AR11" s="215">
        <v>439</v>
      </c>
      <c r="AS11" s="215">
        <v>1796</v>
      </c>
      <c r="AT11" s="215">
        <v>3000</v>
      </c>
      <c r="AU11" s="302"/>
      <c r="AV11" s="215">
        <v>3852</v>
      </c>
    </row>
    <row r="12" spans="2:48" ht="16.5" customHeight="1">
      <c r="B12" s="300" t="s">
        <v>217</v>
      </c>
      <c r="C12" s="215">
        <v>55478</v>
      </c>
      <c r="D12" s="300"/>
      <c r="E12" s="215">
        <v>60316</v>
      </c>
      <c r="F12" s="215">
        <v>0</v>
      </c>
      <c r="G12" s="215">
        <v>30065</v>
      </c>
      <c r="H12" s="215">
        <v>15165</v>
      </c>
      <c r="J12" s="215">
        <v>0</v>
      </c>
      <c r="K12" s="215">
        <v>0</v>
      </c>
      <c r="L12" s="215">
        <v>15000</v>
      </c>
      <c r="M12" s="215">
        <v>0</v>
      </c>
      <c r="N12" s="215" t="s">
        <v>187</v>
      </c>
      <c r="P12" s="215">
        <v>0</v>
      </c>
      <c r="Q12" s="215">
        <v>2129</v>
      </c>
      <c r="R12" s="215">
        <v>0</v>
      </c>
      <c r="S12" s="215">
        <v>0</v>
      </c>
      <c r="T12" s="215">
        <v>0</v>
      </c>
      <c r="U12" s="215">
        <v>0</v>
      </c>
      <c r="W12" s="215">
        <v>0</v>
      </c>
      <c r="X12" s="215">
        <v>0</v>
      </c>
      <c r="Y12" s="146">
        <v>162476</v>
      </c>
      <c r="Z12" s="146">
        <v>13692</v>
      </c>
      <c r="AB12" s="215">
        <v>10206</v>
      </c>
      <c r="AC12" s="215">
        <v>0</v>
      </c>
      <c r="AD12" s="146">
        <v>0</v>
      </c>
      <c r="AE12" s="146">
        <v>0</v>
      </c>
      <c r="AF12" s="302"/>
      <c r="AG12" s="215"/>
      <c r="AH12" s="215">
        <v>0</v>
      </c>
      <c r="AI12" s="215">
        <v>0</v>
      </c>
      <c r="AJ12" s="215">
        <v>0</v>
      </c>
      <c r="AK12" s="302"/>
      <c r="AL12" s="215"/>
      <c r="AM12" s="215">
        <v>0</v>
      </c>
      <c r="AN12" s="215">
        <v>0</v>
      </c>
      <c r="AO12" s="215">
        <v>0</v>
      </c>
      <c r="AQ12" s="215"/>
      <c r="AR12" s="215"/>
      <c r="AS12" s="215"/>
      <c r="AT12" s="215">
        <v>0</v>
      </c>
      <c r="AU12" s="302"/>
      <c r="AV12" s="215">
        <v>16547</v>
      </c>
    </row>
    <row r="13" spans="2:48">
      <c r="B13" s="300" t="s">
        <v>149</v>
      </c>
      <c r="C13" s="301">
        <v>208189</v>
      </c>
      <c r="D13" s="300"/>
      <c r="E13" s="301">
        <v>458659</v>
      </c>
      <c r="F13" s="301">
        <v>379799</v>
      </c>
      <c r="G13" s="301">
        <f>277940+1</f>
        <v>277941</v>
      </c>
      <c r="H13" s="301">
        <v>210989</v>
      </c>
      <c r="J13" s="301">
        <v>447252</v>
      </c>
      <c r="K13" s="301">
        <v>362123</v>
      </c>
      <c r="L13" s="301">
        <v>319542</v>
      </c>
      <c r="M13" s="301">
        <v>231844</v>
      </c>
      <c r="N13" s="301">
        <v>231844</v>
      </c>
      <c r="P13" s="301">
        <v>435227</v>
      </c>
      <c r="Q13" s="301">
        <v>318151</v>
      </c>
      <c r="R13" s="301">
        <v>261026</v>
      </c>
      <c r="S13" s="301">
        <v>260997</v>
      </c>
      <c r="T13" s="301">
        <v>266766</v>
      </c>
      <c r="U13" s="301">
        <v>271659</v>
      </c>
      <c r="W13" s="301">
        <v>547860</v>
      </c>
      <c r="X13" s="301">
        <v>384576</v>
      </c>
      <c r="Y13" s="146">
        <v>387617</v>
      </c>
      <c r="Z13" s="146">
        <v>198433</v>
      </c>
      <c r="AB13" s="301">
        <v>567510</v>
      </c>
      <c r="AC13" s="301">
        <v>467637</v>
      </c>
      <c r="AD13" s="146">
        <v>234105</v>
      </c>
      <c r="AE13" s="146">
        <v>172699</v>
      </c>
      <c r="AF13" s="302"/>
      <c r="AG13" s="301">
        <v>498101</v>
      </c>
      <c r="AH13" s="215">
        <v>365488</v>
      </c>
      <c r="AI13" s="215">
        <v>283086</v>
      </c>
      <c r="AJ13" s="215">
        <v>254041</v>
      </c>
      <c r="AK13" s="302"/>
      <c r="AL13" s="301">
        <v>675079</v>
      </c>
      <c r="AM13" s="215">
        <v>593858</v>
      </c>
      <c r="AN13" s="215">
        <v>515850</v>
      </c>
      <c r="AO13" s="215">
        <v>330216</v>
      </c>
      <c r="AQ13" s="301">
        <v>555556</v>
      </c>
      <c r="AR13" s="215">
        <v>341546</v>
      </c>
      <c r="AS13" s="215">
        <v>307281</v>
      </c>
      <c r="AT13" s="215">
        <v>200051</v>
      </c>
      <c r="AU13" s="302"/>
      <c r="AV13" s="301">
        <v>981584</v>
      </c>
    </row>
    <row r="14" spans="2:48" ht="16.5" customHeight="1">
      <c r="B14" s="300" t="s">
        <v>30</v>
      </c>
      <c r="C14" s="301">
        <v>52011</v>
      </c>
      <c r="D14" s="300"/>
      <c r="E14" s="301">
        <v>27415</v>
      </c>
      <c r="F14" s="301">
        <v>29057</v>
      </c>
      <c r="G14" s="301">
        <v>30903</v>
      </c>
      <c r="H14" s="301">
        <v>17729</v>
      </c>
      <c r="J14" s="301">
        <v>37032</v>
      </c>
      <c r="K14" s="301">
        <v>43090</v>
      </c>
      <c r="L14" s="301">
        <v>46116</v>
      </c>
      <c r="M14" s="301">
        <v>9448</v>
      </c>
      <c r="N14" s="301">
        <v>9448</v>
      </c>
      <c r="P14" s="301">
        <v>5844</v>
      </c>
      <c r="Q14" s="301">
        <v>92560</v>
      </c>
      <c r="R14" s="301">
        <v>102371</v>
      </c>
      <c r="S14" s="301">
        <v>96864</v>
      </c>
      <c r="T14" s="301">
        <v>81488</v>
      </c>
      <c r="U14" s="301">
        <v>81818</v>
      </c>
      <c r="W14" s="301">
        <v>130304</v>
      </c>
      <c r="X14" s="301">
        <v>128656</v>
      </c>
      <c r="Y14" s="146">
        <v>119616</v>
      </c>
      <c r="Z14" s="146">
        <v>164685</v>
      </c>
      <c r="AB14" s="301">
        <v>164877</v>
      </c>
      <c r="AC14" s="301">
        <v>165035</v>
      </c>
      <c r="AD14" s="146">
        <v>165170</v>
      </c>
      <c r="AE14" s="148">
        <v>172868</v>
      </c>
      <c r="AF14" s="302"/>
      <c r="AG14" s="301">
        <v>167740</v>
      </c>
      <c r="AH14" s="215">
        <v>167976</v>
      </c>
      <c r="AI14" s="215">
        <v>168092</v>
      </c>
      <c r="AJ14" s="215">
        <v>169602</v>
      </c>
      <c r="AK14" s="302"/>
      <c r="AL14" s="301">
        <v>169877</v>
      </c>
      <c r="AM14" s="215">
        <v>228152</v>
      </c>
      <c r="AN14" s="215">
        <v>254583</v>
      </c>
      <c r="AO14" s="215">
        <v>248887</v>
      </c>
      <c r="AQ14" s="301">
        <v>249758</v>
      </c>
      <c r="AR14" s="215">
        <v>194384</v>
      </c>
      <c r="AS14" s="215">
        <v>191889</v>
      </c>
      <c r="AT14" s="215">
        <v>200354</v>
      </c>
      <c r="AU14" s="302"/>
      <c r="AV14" s="301">
        <v>263573</v>
      </c>
    </row>
    <row r="15" spans="2:48" ht="16.5" customHeight="1">
      <c r="B15" s="300" t="s">
        <v>131</v>
      </c>
      <c r="C15" s="215">
        <v>0</v>
      </c>
      <c r="D15" s="300"/>
      <c r="E15" s="215">
        <v>0</v>
      </c>
      <c r="F15" s="215">
        <v>0</v>
      </c>
      <c r="G15" s="215">
        <v>0</v>
      </c>
      <c r="H15" s="215">
        <v>0</v>
      </c>
      <c r="J15" s="215">
        <v>0</v>
      </c>
      <c r="K15" s="215">
        <v>0</v>
      </c>
      <c r="L15" s="215">
        <v>0</v>
      </c>
      <c r="M15" s="215">
        <v>0</v>
      </c>
      <c r="N15" s="215">
        <v>0</v>
      </c>
      <c r="P15" s="215">
        <v>0</v>
      </c>
      <c r="Q15" s="215">
        <v>0</v>
      </c>
      <c r="R15" s="215">
        <v>0</v>
      </c>
      <c r="S15" s="215">
        <v>0</v>
      </c>
      <c r="T15" s="215">
        <v>0</v>
      </c>
      <c r="U15" s="215">
        <v>0</v>
      </c>
      <c r="W15" s="215">
        <v>0</v>
      </c>
      <c r="X15" s="264">
        <v>0</v>
      </c>
      <c r="Y15" s="146">
        <v>0</v>
      </c>
      <c r="Z15" s="146">
        <v>0</v>
      </c>
      <c r="AB15" s="215">
        <v>0</v>
      </c>
      <c r="AC15" s="264">
        <v>0</v>
      </c>
      <c r="AD15" s="146">
        <v>0</v>
      </c>
      <c r="AE15" s="146">
        <v>0</v>
      </c>
      <c r="AF15" s="302"/>
      <c r="AG15" s="215"/>
      <c r="AH15" s="215">
        <v>0</v>
      </c>
      <c r="AI15" s="215">
        <v>0</v>
      </c>
      <c r="AJ15" s="215">
        <v>0</v>
      </c>
      <c r="AK15" s="302"/>
      <c r="AL15" s="215"/>
      <c r="AM15" s="215"/>
      <c r="AN15" s="215"/>
      <c r="AO15" s="146">
        <v>0</v>
      </c>
      <c r="AQ15" s="215"/>
      <c r="AR15" s="215"/>
      <c r="AS15" s="215"/>
      <c r="AT15" s="215"/>
      <c r="AU15" s="302"/>
      <c r="AV15" s="215"/>
    </row>
    <row r="16" spans="2:48">
      <c r="B16" s="416" t="s">
        <v>157</v>
      </c>
      <c r="C16" s="301">
        <v>1623</v>
      </c>
      <c r="D16" s="300"/>
      <c r="E16" s="301">
        <v>22345</v>
      </c>
      <c r="F16" s="301">
        <v>2933</v>
      </c>
      <c r="G16" s="301">
        <v>2785</v>
      </c>
      <c r="H16" s="301">
        <v>2644</v>
      </c>
      <c r="J16" s="301">
        <v>61586</v>
      </c>
      <c r="K16" s="301">
        <v>1750</v>
      </c>
      <c r="L16" s="301">
        <v>2833</v>
      </c>
      <c r="M16" s="301">
        <v>1050</v>
      </c>
      <c r="N16" s="301">
        <v>1050</v>
      </c>
      <c r="P16" s="301">
        <v>2211</v>
      </c>
      <c r="Q16" s="301">
        <v>8367</v>
      </c>
      <c r="R16" s="301">
        <v>6699</v>
      </c>
      <c r="S16" s="301">
        <v>6728</v>
      </c>
      <c r="T16" s="301">
        <v>6660</v>
      </c>
      <c r="U16" s="301">
        <v>6667</v>
      </c>
      <c r="W16" s="301">
        <v>6384</v>
      </c>
      <c r="X16" s="301">
        <v>5696</v>
      </c>
      <c r="Y16" s="146">
        <v>6719</v>
      </c>
      <c r="Z16" s="146">
        <v>3660</v>
      </c>
      <c r="AB16" s="301">
        <v>3349</v>
      </c>
      <c r="AC16" s="301">
        <v>2369</v>
      </c>
      <c r="AD16" s="146">
        <v>3887</v>
      </c>
      <c r="AE16" s="146">
        <v>1656</v>
      </c>
      <c r="AF16" s="302"/>
      <c r="AG16" s="301">
        <v>2449</v>
      </c>
      <c r="AH16" s="215">
        <v>2538</v>
      </c>
      <c r="AI16" s="215">
        <v>2783</v>
      </c>
      <c r="AJ16" s="215">
        <v>1189</v>
      </c>
      <c r="AK16" s="302"/>
      <c r="AL16" s="301">
        <v>1972</v>
      </c>
      <c r="AM16" s="215">
        <v>2392</v>
      </c>
      <c r="AN16" s="215">
        <v>3150</v>
      </c>
      <c r="AO16" s="215">
        <v>5026</v>
      </c>
      <c r="AQ16" s="301">
        <v>6465</v>
      </c>
      <c r="AR16" s="215">
        <v>9110</v>
      </c>
      <c r="AS16" s="215">
        <v>8517</v>
      </c>
      <c r="AT16" s="215">
        <v>5631</v>
      </c>
      <c r="AU16" s="302"/>
      <c r="AV16" s="301">
        <v>4472</v>
      </c>
    </row>
    <row r="17" spans="2:48" ht="17.25" customHeight="1">
      <c r="B17" s="300" t="s">
        <v>60</v>
      </c>
      <c r="C17" s="215">
        <v>7</v>
      </c>
      <c r="D17" s="300"/>
      <c r="E17" s="301">
        <v>27</v>
      </c>
      <c r="F17" s="301">
        <v>27</v>
      </c>
      <c r="G17" s="301">
        <v>27</v>
      </c>
      <c r="H17" s="215">
        <v>0</v>
      </c>
      <c r="J17" s="301">
        <v>21</v>
      </c>
      <c r="K17" s="301">
        <v>21</v>
      </c>
      <c r="L17" s="301">
        <v>21</v>
      </c>
      <c r="M17" s="301">
        <v>94740</v>
      </c>
      <c r="N17" s="215">
        <v>0</v>
      </c>
      <c r="P17" s="301">
        <v>94740</v>
      </c>
      <c r="Q17" s="301">
        <v>94740</v>
      </c>
      <c r="R17" s="301">
        <v>94740</v>
      </c>
      <c r="S17" s="264">
        <v>0</v>
      </c>
      <c r="T17" s="215">
        <v>0</v>
      </c>
      <c r="U17" s="215">
        <v>140</v>
      </c>
      <c r="W17" s="215">
        <v>0</v>
      </c>
      <c r="X17" s="215">
        <v>0</v>
      </c>
      <c r="Y17" s="146">
        <v>0</v>
      </c>
      <c r="Z17" s="146">
        <v>0</v>
      </c>
      <c r="AB17" s="215">
        <v>0</v>
      </c>
      <c r="AC17" s="215">
        <v>0</v>
      </c>
      <c r="AD17" s="146">
        <v>0</v>
      </c>
      <c r="AE17" s="146">
        <v>0</v>
      </c>
      <c r="AF17" s="302"/>
      <c r="AG17" s="215">
        <v>0</v>
      </c>
      <c r="AH17" s="215">
        <v>0</v>
      </c>
      <c r="AI17" s="215">
        <v>0</v>
      </c>
      <c r="AJ17" s="215">
        <v>24478</v>
      </c>
      <c r="AK17" s="302"/>
      <c r="AL17" s="215">
        <v>0</v>
      </c>
      <c r="AM17" s="215">
        <v>835</v>
      </c>
      <c r="AN17" s="215">
        <v>0</v>
      </c>
      <c r="AO17" s="215">
        <v>0</v>
      </c>
      <c r="AQ17" s="215">
        <v>1148</v>
      </c>
      <c r="AR17" s="215">
        <v>0</v>
      </c>
      <c r="AS17" s="215"/>
      <c r="AT17" s="215">
        <v>0</v>
      </c>
      <c r="AU17" s="302"/>
      <c r="AV17" s="215">
        <v>0</v>
      </c>
    </row>
    <row r="18" spans="2:48">
      <c r="B18" s="300"/>
      <c r="C18" s="301"/>
      <c r="D18" s="300"/>
      <c r="E18" s="301"/>
      <c r="F18" s="301"/>
      <c r="G18" s="301"/>
      <c r="H18" s="301"/>
      <c r="J18" s="301"/>
      <c r="K18" s="301"/>
      <c r="L18" s="301"/>
      <c r="M18" s="301"/>
      <c r="N18" s="301"/>
      <c r="P18" s="301"/>
      <c r="Q18" s="301"/>
      <c r="R18" s="301"/>
      <c r="S18" s="301"/>
      <c r="T18" s="301"/>
      <c r="U18" s="301"/>
      <c r="W18" s="301"/>
      <c r="X18" s="301"/>
      <c r="AB18" s="301"/>
      <c r="AC18" s="301"/>
      <c r="AF18" s="302"/>
      <c r="AG18" s="301"/>
      <c r="AH18" s="301"/>
      <c r="AK18" s="302"/>
      <c r="AL18" s="301"/>
      <c r="AM18" s="301"/>
      <c r="AN18" s="397"/>
      <c r="AO18" s="401"/>
      <c r="AQ18" s="301"/>
      <c r="AR18" s="301"/>
      <c r="AS18" s="301"/>
      <c r="AT18" s="301"/>
      <c r="AU18" s="302"/>
      <c r="AV18" s="301"/>
    </row>
    <row r="19" spans="2:48" ht="16.5" customHeight="1">
      <c r="B19" s="328" t="s">
        <v>51</v>
      </c>
      <c r="C19" s="329">
        <f>+SUM(C10:C17)</f>
        <v>340398</v>
      </c>
      <c r="D19" s="328"/>
      <c r="E19" s="329">
        <f>+SUM(E10:E17)</f>
        <v>617515</v>
      </c>
      <c r="F19" s="329">
        <f>+SUM(F10:F17)</f>
        <v>446695</v>
      </c>
      <c r="G19" s="329">
        <f>+SUM(G10:G17)</f>
        <v>710140</v>
      </c>
      <c r="H19" s="329">
        <f>+SUM(H10:H17)</f>
        <v>412505</v>
      </c>
      <c r="I19" s="34"/>
      <c r="J19" s="329">
        <f>+SUM(J10:J17)</f>
        <v>761270</v>
      </c>
      <c r="K19" s="329">
        <f>+SUM(K10:K17)</f>
        <v>433790</v>
      </c>
      <c r="L19" s="329">
        <f>+SUM(L10:L17)</f>
        <v>800120</v>
      </c>
      <c r="M19" s="329">
        <f>+SUM(M10:M17)</f>
        <v>664476</v>
      </c>
      <c r="N19" s="329">
        <f>+SUM(N10:N17)</f>
        <v>569736</v>
      </c>
      <c r="P19" s="329">
        <f t="shared" ref="P19:U19" si="0">+SUM(P10:P17)</f>
        <v>683083</v>
      </c>
      <c r="Q19" s="329">
        <f t="shared" si="0"/>
        <v>552405</v>
      </c>
      <c r="R19" s="329">
        <f t="shared" si="0"/>
        <v>630398</v>
      </c>
      <c r="S19" s="329">
        <f t="shared" si="0"/>
        <v>530151</v>
      </c>
      <c r="T19" s="329">
        <f t="shared" si="0"/>
        <v>534272</v>
      </c>
      <c r="U19" s="329">
        <f t="shared" si="0"/>
        <v>540295</v>
      </c>
      <c r="W19" s="329">
        <f>+SUM(W10:W17)</f>
        <v>688766</v>
      </c>
      <c r="X19" s="329">
        <f>+SUM(X10:X17)</f>
        <v>590565</v>
      </c>
      <c r="Y19" s="329">
        <f>+SUM(Y10:Y17)</f>
        <v>782578</v>
      </c>
      <c r="Z19" s="329">
        <f>+SUM(Z10:Z17)</f>
        <v>679552</v>
      </c>
      <c r="AB19" s="329">
        <f>+SUM(AB10:AB17)</f>
        <v>825408</v>
      </c>
      <c r="AC19" s="329">
        <f>+SUM(AC10:AC17)</f>
        <v>648902</v>
      </c>
      <c r="AD19" s="329">
        <f>+SUM(AD10:AD17)</f>
        <v>409473</v>
      </c>
      <c r="AE19" s="329">
        <f>+SUM(AE10:AE17)</f>
        <v>355005</v>
      </c>
      <c r="AF19" s="302"/>
      <c r="AG19" s="329">
        <f>+SUM(AG10:AG17)</f>
        <v>675820</v>
      </c>
      <c r="AH19" s="329">
        <f>+SUM(AH10:AH17)</f>
        <v>537812</v>
      </c>
      <c r="AI19" s="329">
        <f>+SUM(AI10:AI17)</f>
        <v>455933</v>
      </c>
      <c r="AJ19" s="329">
        <f>+SUM(AJ10:AJ17)</f>
        <v>451039</v>
      </c>
      <c r="AK19" s="302"/>
      <c r="AL19" s="329">
        <f>+SUM(AL10:AL17)</f>
        <v>961996</v>
      </c>
      <c r="AM19" s="329">
        <f>+SUM(AM10:AM17)</f>
        <v>942167</v>
      </c>
      <c r="AN19" s="329">
        <f>+SUM(AN10:AN17)</f>
        <v>889955</v>
      </c>
      <c r="AO19" s="329">
        <f>+SUM(AO10:AO17)</f>
        <v>608277</v>
      </c>
      <c r="AQ19" s="329">
        <f>+SUM(AQ10:AQ17)</f>
        <v>814762</v>
      </c>
      <c r="AR19" s="329">
        <f>+SUM(AR10:AR17)</f>
        <v>547569</v>
      </c>
      <c r="AS19" s="329">
        <f>+SUM(AS10:AS17)</f>
        <v>513718</v>
      </c>
      <c r="AT19" s="329">
        <f>+SUM(AT10:AT17)</f>
        <v>425273</v>
      </c>
      <c r="AU19" s="302"/>
      <c r="AV19" s="329">
        <f>+SUM(AV10:AV17)</f>
        <v>1278074</v>
      </c>
    </row>
    <row r="20" spans="2:48" ht="4.5" customHeight="1">
      <c r="C20" s="301"/>
      <c r="E20" s="301"/>
      <c r="F20" s="301"/>
      <c r="G20" s="301"/>
      <c r="H20" s="301"/>
      <c r="J20" s="301"/>
      <c r="K20" s="301"/>
      <c r="L20" s="301"/>
      <c r="M20" s="301"/>
      <c r="N20" s="301"/>
      <c r="P20" s="301"/>
      <c r="Q20" s="301"/>
      <c r="R20" s="301"/>
      <c r="S20" s="301"/>
      <c r="T20" s="301"/>
      <c r="U20" s="301"/>
      <c r="W20" s="301"/>
      <c r="AB20" s="301"/>
      <c r="AG20" s="301"/>
      <c r="AL20" s="301"/>
      <c r="AM20" s="397"/>
      <c r="AN20" s="397"/>
      <c r="AO20" s="401"/>
      <c r="AQ20" s="301"/>
      <c r="AR20" s="419"/>
      <c r="AS20" s="419"/>
      <c r="AT20" s="419"/>
      <c r="AU20" s="302"/>
      <c r="AV20" s="419"/>
    </row>
    <row r="21" spans="2:48" ht="15.75" customHeight="1">
      <c r="B21" s="303" t="s">
        <v>31</v>
      </c>
      <c r="C21" s="301">
        <f>11939487-1</f>
        <v>11939486</v>
      </c>
      <c r="D21" s="303"/>
      <c r="E21" s="301">
        <v>12002319</v>
      </c>
      <c r="F21" s="301">
        <v>12127161</v>
      </c>
      <c r="G21" s="301">
        <v>12245131</v>
      </c>
      <c r="H21" s="301">
        <v>12613801</v>
      </c>
      <c r="J21" s="301">
        <v>11850219</v>
      </c>
      <c r="K21" s="301">
        <v>13063539</v>
      </c>
      <c r="L21" s="301">
        <v>13355749</v>
      </c>
      <c r="M21" s="301">
        <f>13604214</f>
        <v>13604214</v>
      </c>
      <c r="N21" s="301">
        <v>13628417</v>
      </c>
      <c r="P21" s="301">
        <v>13638225</v>
      </c>
      <c r="Q21" s="301">
        <v>13649185</v>
      </c>
      <c r="R21" s="301">
        <v>13489078</v>
      </c>
      <c r="S21" s="301">
        <v>13486342</v>
      </c>
      <c r="T21" s="301">
        <v>14515263</v>
      </c>
      <c r="U21" s="301">
        <v>14377651</v>
      </c>
      <c r="W21" s="301">
        <v>14669083</v>
      </c>
      <c r="X21" s="301">
        <v>14978206</v>
      </c>
      <c r="Y21" s="301">
        <v>14737345</v>
      </c>
      <c r="Z21" s="301">
        <v>14687131</v>
      </c>
      <c r="AB21" s="301">
        <v>14606363</v>
      </c>
      <c r="AC21" s="301">
        <v>14901185</v>
      </c>
      <c r="AD21" s="301">
        <v>15017073</v>
      </c>
      <c r="AE21" s="301">
        <v>15219881</v>
      </c>
      <c r="AF21" s="302"/>
      <c r="AG21" s="301">
        <v>14896138</v>
      </c>
      <c r="AH21" s="301">
        <v>14911228</v>
      </c>
      <c r="AI21" s="301">
        <v>15599154</v>
      </c>
      <c r="AJ21" s="301">
        <v>15341472</v>
      </c>
      <c r="AK21" s="302"/>
      <c r="AL21" s="301">
        <v>15556214</v>
      </c>
      <c r="AM21" s="301">
        <v>15203786</v>
      </c>
      <c r="AN21" s="301">
        <v>15491826</v>
      </c>
      <c r="AO21" s="301">
        <v>14934627</v>
      </c>
      <c r="AQ21" s="301">
        <v>15148144</v>
      </c>
      <c r="AR21" s="301">
        <v>15358219</v>
      </c>
      <c r="AS21" s="301">
        <v>15483775</v>
      </c>
      <c r="AT21" s="301">
        <v>16160782</v>
      </c>
      <c r="AU21" s="302"/>
      <c r="AV21" s="301">
        <v>16015551</v>
      </c>
    </row>
    <row r="22" spans="2:48">
      <c r="B22" s="300" t="s">
        <v>149</v>
      </c>
      <c r="C22" s="301">
        <v>5113</v>
      </c>
      <c r="D22" s="300"/>
      <c r="E22" s="301">
        <v>5146</v>
      </c>
      <c r="F22" s="301">
        <f>5475+1</f>
        <v>5476</v>
      </c>
      <c r="G22" s="301">
        <v>5635</v>
      </c>
      <c r="H22" s="301">
        <v>6134</v>
      </c>
      <c r="J22" s="301">
        <v>2673</v>
      </c>
      <c r="K22" s="301">
        <v>5856</v>
      </c>
      <c r="L22" s="301">
        <v>5261</v>
      </c>
      <c r="M22" s="301">
        <v>3382</v>
      </c>
      <c r="N22" s="301">
        <v>3382</v>
      </c>
      <c r="P22" s="301">
        <v>3660</v>
      </c>
      <c r="Q22" s="301">
        <v>3998</v>
      </c>
      <c r="R22" s="301">
        <v>4041</v>
      </c>
      <c r="S22" s="301">
        <v>4041</v>
      </c>
      <c r="T22" s="301">
        <v>4166</v>
      </c>
      <c r="U22" s="301">
        <v>4166</v>
      </c>
      <c r="W22" s="301">
        <v>35178</v>
      </c>
      <c r="X22" s="301">
        <v>22999</v>
      </c>
      <c r="Y22" s="301">
        <v>13550</v>
      </c>
      <c r="Z22" s="301">
        <v>11965</v>
      </c>
      <c r="AB22" s="301">
        <v>11882</v>
      </c>
      <c r="AC22" s="301">
        <v>7891</v>
      </c>
      <c r="AD22" s="301">
        <v>103711</v>
      </c>
      <c r="AE22" s="301">
        <v>107903</v>
      </c>
      <c r="AF22" s="302"/>
      <c r="AG22" s="301">
        <v>102038</v>
      </c>
      <c r="AH22" s="301">
        <v>98277</v>
      </c>
      <c r="AI22" s="301">
        <v>94671</v>
      </c>
      <c r="AJ22" s="301">
        <v>96511</v>
      </c>
      <c r="AK22" s="302"/>
      <c r="AL22" s="301">
        <v>101955</v>
      </c>
      <c r="AM22" s="301">
        <v>102388</v>
      </c>
      <c r="AN22" s="301">
        <v>34925</v>
      </c>
      <c r="AO22" s="301">
        <v>32062</v>
      </c>
      <c r="AQ22" s="301">
        <v>34106</v>
      </c>
      <c r="AR22" s="301">
        <v>157071</v>
      </c>
      <c r="AS22" s="301">
        <v>162956</v>
      </c>
      <c r="AT22" s="301">
        <v>151249</v>
      </c>
      <c r="AU22" s="302"/>
      <c r="AV22" s="301">
        <v>166808</v>
      </c>
    </row>
    <row r="23" spans="2:48" ht="15.75" customHeight="1">
      <c r="B23" s="303" t="s">
        <v>30</v>
      </c>
      <c r="C23" s="215">
        <v>0</v>
      </c>
      <c r="D23" s="303"/>
      <c r="E23" s="215">
        <v>0</v>
      </c>
      <c r="F23" s="215">
        <v>0</v>
      </c>
      <c r="G23" s="215">
        <v>0</v>
      </c>
      <c r="H23" s="215">
        <v>29508</v>
      </c>
      <c r="J23" s="215">
        <v>0</v>
      </c>
      <c r="K23" s="215">
        <v>0</v>
      </c>
      <c r="L23" s="215">
        <v>0</v>
      </c>
      <c r="M23" s="215">
        <v>24146</v>
      </c>
      <c r="N23" s="215">
        <v>24146</v>
      </c>
      <c r="P23" s="215">
        <v>26594</v>
      </c>
      <c r="Q23" s="215">
        <v>26594</v>
      </c>
      <c r="R23" s="215">
        <v>20659</v>
      </c>
      <c r="S23" s="215">
        <v>20659</v>
      </c>
      <c r="T23" s="215">
        <v>42583</v>
      </c>
      <c r="U23" s="215">
        <v>42583</v>
      </c>
      <c r="W23" s="215">
        <v>44913</v>
      </c>
      <c r="X23" s="301">
        <v>46887</v>
      </c>
      <c r="Y23" s="301">
        <v>46720</v>
      </c>
      <c r="Z23" s="301">
        <v>47275</v>
      </c>
      <c r="AB23" s="215">
        <v>47952</v>
      </c>
      <c r="AC23" s="301">
        <v>49145</v>
      </c>
      <c r="AD23" s="301">
        <v>50734</v>
      </c>
      <c r="AE23" s="301">
        <v>36747</v>
      </c>
      <c r="AF23" s="302"/>
      <c r="AG23" s="215">
        <v>36959</v>
      </c>
      <c r="AH23" s="301">
        <v>37030</v>
      </c>
      <c r="AI23" s="301">
        <v>36065</v>
      </c>
      <c r="AJ23" s="301">
        <v>37204</v>
      </c>
      <c r="AK23" s="302"/>
      <c r="AL23" s="215">
        <v>37366</v>
      </c>
      <c r="AM23" s="301">
        <v>0</v>
      </c>
      <c r="AN23" s="301">
        <v>0</v>
      </c>
      <c r="AO23" s="301">
        <v>0</v>
      </c>
      <c r="AQ23" s="215">
        <v>0</v>
      </c>
      <c r="AR23" s="301">
        <v>0</v>
      </c>
      <c r="AS23" s="301">
        <v>0</v>
      </c>
      <c r="AT23" s="301">
        <v>0</v>
      </c>
      <c r="AU23" s="302"/>
      <c r="AV23" s="215">
        <v>0</v>
      </c>
    </row>
    <row r="24" spans="2:48" ht="15.75" customHeight="1">
      <c r="B24" s="303" t="s">
        <v>256</v>
      </c>
      <c r="C24" s="215"/>
      <c r="D24" s="303"/>
      <c r="E24" s="215"/>
      <c r="F24" s="215"/>
      <c r="G24" s="215"/>
      <c r="H24" s="215"/>
      <c r="J24" s="215"/>
      <c r="K24" s="215"/>
      <c r="L24" s="215"/>
      <c r="M24" s="215"/>
      <c r="N24" s="215"/>
      <c r="P24" s="215"/>
      <c r="Q24" s="215"/>
      <c r="R24" s="215"/>
      <c r="S24" s="215"/>
      <c r="T24" s="215"/>
      <c r="U24" s="215"/>
      <c r="W24" s="215"/>
      <c r="X24" s="301"/>
      <c r="Y24" s="301"/>
      <c r="Z24" s="301"/>
      <c r="AB24" s="215"/>
      <c r="AC24" s="301"/>
      <c r="AD24" s="301"/>
      <c r="AE24" s="301"/>
      <c r="AF24" s="302"/>
      <c r="AG24" s="215">
        <v>12421</v>
      </c>
      <c r="AH24" s="301">
        <v>13017</v>
      </c>
      <c r="AI24" s="301">
        <v>13296</v>
      </c>
      <c r="AJ24" s="301">
        <v>12817</v>
      </c>
      <c r="AK24" s="302"/>
      <c r="AL24" s="215">
        <v>11209</v>
      </c>
      <c r="AM24" s="301">
        <v>10661</v>
      </c>
      <c r="AN24" s="301">
        <v>10461</v>
      </c>
      <c r="AO24" s="301">
        <v>8777</v>
      </c>
      <c r="AQ24" s="215">
        <v>8350</v>
      </c>
      <c r="AR24" s="301">
        <v>7824</v>
      </c>
      <c r="AS24" s="301">
        <v>7253</v>
      </c>
      <c r="AT24" s="301">
        <v>6723</v>
      </c>
      <c r="AU24" s="302"/>
      <c r="AV24" s="215">
        <v>8046</v>
      </c>
    </row>
    <row r="25" spans="2:48" ht="15.75" customHeight="1">
      <c r="B25" s="303" t="s">
        <v>37</v>
      </c>
      <c r="C25" s="301">
        <v>5116</v>
      </c>
      <c r="D25" s="303"/>
      <c r="E25" s="301">
        <v>7515</v>
      </c>
      <c r="F25" s="301">
        <v>10609</v>
      </c>
      <c r="G25" s="301">
        <v>10728</v>
      </c>
      <c r="H25" s="301">
        <v>8788</v>
      </c>
      <c r="J25" s="301">
        <v>8295</v>
      </c>
      <c r="K25" s="301">
        <v>7849</v>
      </c>
      <c r="L25" s="301">
        <v>7403</v>
      </c>
      <c r="M25" s="301">
        <v>8489</v>
      </c>
      <c r="N25" s="301">
        <v>8489</v>
      </c>
      <c r="P25" s="301">
        <v>7842</v>
      </c>
      <c r="Q25" s="301">
        <v>7196</v>
      </c>
      <c r="R25" s="301">
        <v>6565</v>
      </c>
      <c r="S25" s="301">
        <v>6565</v>
      </c>
      <c r="T25" s="301">
        <v>5917</v>
      </c>
      <c r="U25" s="301">
        <v>5974</v>
      </c>
      <c r="W25" s="301">
        <v>5404</v>
      </c>
      <c r="X25" s="301">
        <v>5014</v>
      </c>
      <c r="Y25" s="301">
        <v>4991</v>
      </c>
      <c r="Z25" s="301">
        <v>3329</v>
      </c>
      <c r="AB25" s="301">
        <v>2680</v>
      </c>
      <c r="AC25" s="301">
        <v>2032</v>
      </c>
      <c r="AD25" s="301">
        <v>1388</v>
      </c>
      <c r="AE25" s="301">
        <v>119633</v>
      </c>
      <c r="AF25" s="302"/>
      <c r="AG25" s="301">
        <v>116349</v>
      </c>
      <c r="AH25" s="301">
        <v>113113</v>
      </c>
      <c r="AI25" s="301">
        <v>109880</v>
      </c>
      <c r="AJ25" s="301">
        <v>107005</v>
      </c>
      <c r="AK25" s="302"/>
      <c r="AL25" s="301">
        <v>104008</v>
      </c>
      <c r="AM25" s="301">
        <v>100344</v>
      </c>
      <c r="AN25" s="301">
        <v>95330</v>
      </c>
      <c r="AO25" s="301">
        <v>91296</v>
      </c>
      <c r="AQ25" s="301">
        <v>87459</v>
      </c>
      <c r="AR25" s="301">
        <v>83658</v>
      </c>
      <c r="AS25" s="301">
        <v>79839</v>
      </c>
      <c r="AT25" s="301">
        <v>76021</v>
      </c>
      <c r="AU25" s="302"/>
      <c r="AV25" s="301">
        <v>72219</v>
      </c>
    </row>
    <row r="26" spans="2:48" ht="15.75" customHeight="1">
      <c r="B26" s="303" t="s">
        <v>53</v>
      </c>
      <c r="C26" s="301">
        <v>12065</v>
      </c>
      <c r="D26" s="303"/>
      <c r="E26" s="301">
        <v>13531</v>
      </c>
      <c r="F26" s="301">
        <v>75787</v>
      </c>
      <c r="G26" s="301">
        <v>102042</v>
      </c>
      <c r="H26" s="301">
        <v>19238</v>
      </c>
      <c r="J26" s="301">
        <v>80565</v>
      </c>
      <c r="K26" s="301">
        <v>212732</v>
      </c>
      <c r="L26" s="301">
        <v>95596</v>
      </c>
      <c r="M26" s="301">
        <v>82850</v>
      </c>
      <c r="N26" s="301">
        <v>82850</v>
      </c>
      <c r="P26" s="301">
        <v>83148</v>
      </c>
      <c r="Q26" s="301">
        <v>83621</v>
      </c>
      <c r="R26" s="301">
        <v>86502</v>
      </c>
      <c r="S26" s="301">
        <v>86502</v>
      </c>
      <c r="T26" s="301">
        <v>25551</v>
      </c>
      <c r="U26" s="301">
        <v>25901</v>
      </c>
      <c r="W26" s="301">
        <v>27243</v>
      </c>
      <c r="X26" s="301">
        <v>26267</v>
      </c>
      <c r="Y26" s="301">
        <v>10572</v>
      </c>
      <c r="Z26" s="301">
        <v>10723</v>
      </c>
      <c r="AB26" s="301">
        <v>10516</v>
      </c>
      <c r="AC26" s="301">
        <v>2446</v>
      </c>
      <c r="AD26" s="301">
        <v>2224</v>
      </c>
      <c r="AE26" s="301">
        <v>2022</v>
      </c>
      <c r="AF26" s="302"/>
      <c r="AG26" s="301">
        <v>1849</v>
      </c>
      <c r="AH26" s="301">
        <v>1615</v>
      </c>
      <c r="AI26" s="301">
        <v>1449</v>
      </c>
      <c r="AJ26" s="301">
        <v>1452</v>
      </c>
      <c r="AK26" s="302"/>
      <c r="AL26" s="301">
        <v>1222</v>
      </c>
      <c r="AM26" s="301">
        <v>1074</v>
      </c>
      <c r="AN26" s="301">
        <v>954</v>
      </c>
      <c r="AO26" s="301">
        <v>856</v>
      </c>
      <c r="AQ26" s="301">
        <v>823</v>
      </c>
      <c r="AR26" s="301">
        <v>789</v>
      </c>
      <c r="AS26" s="301">
        <v>1003</v>
      </c>
      <c r="AT26" s="301">
        <v>1806</v>
      </c>
      <c r="AU26" s="302"/>
      <c r="AV26" s="301">
        <v>1725</v>
      </c>
    </row>
    <row r="27" spans="2:48" ht="15.75" customHeight="1">
      <c r="B27" s="303" t="s">
        <v>38</v>
      </c>
      <c r="C27" s="301">
        <v>2040643</v>
      </c>
      <c r="D27" s="303"/>
      <c r="E27" s="301">
        <v>2208481</v>
      </c>
      <c r="F27" s="301">
        <v>2208796</v>
      </c>
      <c r="G27" s="301">
        <v>2250911</v>
      </c>
      <c r="H27" s="301">
        <v>2122462</v>
      </c>
      <c r="J27" s="301">
        <v>2249142</v>
      </c>
      <c r="K27" s="301">
        <v>2247758</v>
      </c>
      <c r="L27" s="301">
        <v>2202024</v>
      </c>
      <c r="M27" s="301">
        <v>1781868</v>
      </c>
      <c r="N27" s="301">
        <v>2010817</v>
      </c>
      <c r="P27" s="301">
        <v>1767538</v>
      </c>
      <c r="Q27" s="301">
        <v>1682706</v>
      </c>
      <c r="R27" s="301">
        <v>1682704</v>
      </c>
      <c r="S27" s="301">
        <v>1917370</v>
      </c>
      <c r="T27" s="301">
        <v>1867447</v>
      </c>
      <c r="U27" s="301">
        <f>1867447+219454</f>
        <v>2086901</v>
      </c>
      <c r="W27" s="301">
        <v>1818947</v>
      </c>
      <c r="X27" s="301">
        <v>1799146</v>
      </c>
      <c r="Y27" s="301">
        <v>1908505</v>
      </c>
      <c r="Z27" s="301">
        <v>2083575</v>
      </c>
      <c r="AB27" s="301">
        <v>2093232</v>
      </c>
      <c r="AC27" s="301">
        <v>2100841</v>
      </c>
      <c r="AD27" s="301">
        <v>2116300</v>
      </c>
      <c r="AE27" s="301">
        <v>2105213</v>
      </c>
      <c r="AF27" s="302"/>
      <c r="AG27" s="301">
        <v>2119416</v>
      </c>
      <c r="AH27" s="301">
        <v>2128858</v>
      </c>
      <c r="AI27" s="301">
        <v>2136943</v>
      </c>
      <c r="AJ27" s="301">
        <v>2108346</v>
      </c>
      <c r="AK27" s="302"/>
      <c r="AL27" s="301">
        <v>2119829</v>
      </c>
      <c r="AM27" s="301">
        <v>2118279</v>
      </c>
      <c r="AN27" s="301">
        <v>2121714</v>
      </c>
      <c r="AO27" s="301">
        <v>2108885</v>
      </c>
      <c r="AQ27" s="301">
        <v>2126889</v>
      </c>
      <c r="AR27" s="301">
        <v>2142983</v>
      </c>
      <c r="AS27" s="301">
        <v>2141411</v>
      </c>
      <c r="AT27" s="301">
        <v>2123104</v>
      </c>
      <c r="AU27" s="302"/>
      <c r="AV27" s="301">
        <v>2067558</v>
      </c>
    </row>
    <row r="28" spans="2:48" ht="15.75" customHeight="1">
      <c r="B28" s="303" t="s">
        <v>135</v>
      </c>
      <c r="C28" s="215">
        <v>0</v>
      </c>
      <c r="D28" s="303"/>
      <c r="E28" s="215">
        <v>0</v>
      </c>
      <c r="F28" s="215">
        <v>0</v>
      </c>
      <c r="G28" s="215">
        <v>0</v>
      </c>
      <c r="H28" s="215">
        <v>0</v>
      </c>
      <c r="J28" s="215">
        <v>0</v>
      </c>
      <c r="K28" s="215">
        <v>0</v>
      </c>
      <c r="L28" s="215">
        <v>0</v>
      </c>
      <c r="M28" s="215">
        <v>0</v>
      </c>
      <c r="N28" s="215">
        <v>0</v>
      </c>
      <c r="P28" s="215">
        <v>774</v>
      </c>
      <c r="Q28" s="215">
        <v>0</v>
      </c>
      <c r="R28" s="215">
        <v>0</v>
      </c>
      <c r="S28" s="215">
        <v>0</v>
      </c>
      <c r="T28" s="215">
        <v>0</v>
      </c>
      <c r="U28" s="215">
        <v>0</v>
      </c>
      <c r="W28" s="215">
        <v>0</v>
      </c>
      <c r="X28" s="215">
        <v>0</v>
      </c>
      <c r="Y28" s="215">
        <v>0</v>
      </c>
      <c r="Z28" s="215">
        <v>0</v>
      </c>
      <c r="AB28" s="215">
        <v>0</v>
      </c>
      <c r="AC28" s="215">
        <v>0</v>
      </c>
      <c r="AD28" s="215">
        <v>0</v>
      </c>
      <c r="AE28" s="215">
        <v>0</v>
      </c>
      <c r="AF28" s="302"/>
      <c r="AG28" s="215">
        <v>0</v>
      </c>
      <c r="AH28" s="215">
        <v>0</v>
      </c>
      <c r="AI28" s="215">
        <v>0</v>
      </c>
      <c r="AJ28" s="215">
        <v>0</v>
      </c>
      <c r="AK28" s="302"/>
      <c r="AL28" s="215">
        <v>0</v>
      </c>
      <c r="AM28" s="215">
        <v>0</v>
      </c>
      <c r="AN28" s="215">
        <v>0</v>
      </c>
      <c r="AO28" s="215">
        <v>0</v>
      </c>
      <c r="AQ28" s="215">
        <v>0</v>
      </c>
      <c r="AR28" s="215">
        <v>0</v>
      </c>
      <c r="AS28" s="215"/>
      <c r="AT28" s="215">
        <v>0</v>
      </c>
      <c r="AU28" s="302"/>
      <c r="AV28" s="215"/>
    </row>
    <row r="29" spans="2:48" ht="15.75" customHeight="1">
      <c r="B29" s="303" t="s">
        <v>131</v>
      </c>
      <c r="C29" s="215">
        <v>0</v>
      </c>
      <c r="D29" s="303"/>
      <c r="E29" s="215">
        <v>0</v>
      </c>
      <c r="F29" s="215">
        <v>0</v>
      </c>
      <c r="G29" s="215">
        <v>0</v>
      </c>
      <c r="H29" s="215">
        <v>0</v>
      </c>
      <c r="J29" s="215">
        <v>0</v>
      </c>
      <c r="K29" s="215">
        <v>0</v>
      </c>
      <c r="L29" s="215">
        <v>0</v>
      </c>
      <c r="M29" s="215">
        <v>0</v>
      </c>
      <c r="N29" s="215">
        <v>0</v>
      </c>
      <c r="P29" s="215">
        <v>0</v>
      </c>
      <c r="Q29" s="215">
        <v>0</v>
      </c>
      <c r="R29" s="215">
        <v>0</v>
      </c>
      <c r="S29" s="215">
        <v>0</v>
      </c>
      <c r="T29" s="215">
        <v>0</v>
      </c>
      <c r="U29" s="215">
        <v>0</v>
      </c>
      <c r="W29" s="215">
        <v>0</v>
      </c>
      <c r="X29" s="215">
        <v>0</v>
      </c>
      <c r="Y29" s="215">
        <v>0</v>
      </c>
      <c r="Z29" s="215">
        <v>0</v>
      </c>
      <c r="AB29" s="215">
        <v>0</v>
      </c>
      <c r="AC29" s="215">
        <v>0</v>
      </c>
      <c r="AD29" s="215">
        <v>0</v>
      </c>
      <c r="AE29" s="215">
        <v>0</v>
      </c>
      <c r="AF29" s="302"/>
      <c r="AG29" s="215">
        <v>0</v>
      </c>
      <c r="AH29" s="215">
        <v>0</v>
      </c>
      <c r="AI29" s="215">
        <v>0</v>
      </c>
      <c r="AJ29" s="215">
        <v>0</v>
      </c>
      <c r="AK29" s="302"/>
      <c r="AL29" s="215">
        <v>0</v>
      </c>
      <c r="AM29" s="215">
        <v>0</v>
      </c>
      <c r="AN29" s="215">
        <v>0</v>
      </c>
      <c r="AO29" s="215">
        <v>0</v>
      </c>
      <c r="AQ29" s="215">
        <v>0</v>
      </c>
      <c r="AR29" s="215">
        <v>0</v>
      </c>
      <c r="AS29" s="215"/>
      <c r="AT29" s="215">
        <v>0</v>
      </c>
      <c r="AU29" s="302"/>
      <c r="AV29" s="215">
        <v>0</v>
      </c>
    </row>
    <row r="30" spans="2:48" ht="15.75" customHeight="1">
      <c r="B30" s="303" t="s">
        <v>136</v>
      </c>
      <c r="C30" s="215">
        <v>0</v>
      </c>
      <c r="D30" s="303"/>
      <c r="E30" s="215">
        <v>0</v>
      </c>
      <c r="F30" s="215">
        <v>0</v>
      </c>
      <c r="G30" s="215">
        <v>0</v>
      </c>
      <c r="H30" s="215">
        <v>0</v>
      </c>
      <c r="J30" s="215">
        <v>0</v>
      </c>
      <c r="K30" s="215">
        <v>0</v>
      </c>
      <c r="L30" s="215">
        <v>0</v>
      </c>
      <c r="M30" s="215">
        <v>0</v>
      </c>
      <c r="N30" s="215">
        <v>0</v>
      </c>
      <c r="P30" s="215">
        <v>0</v>
      </c>
      <c r="Q30" s="215">
        <v>0</v>
      </c>
      <c r="R30" s="215">
        <v>0</v>
      </c>
      <c r="S30" s="215">
        <v>0</v>
      </c>
      <c r="T30" s="215">
        <v>0</v>
      </c>
      <c r="U30" s="215">
        <v>0</v>
      </c>
      <c r="W30" s="215">
        <v>0</v>
      </c>
      <c r="X30" s="215">
        <v>0</v>
      </c>
      <c r="Y30" s="215">
        <v>0</v>
      </c>
      <c r="Z30" s="215">
        <v>0</v>
      </c>
      <c r="AB30" s="215">
        <v>0</v>
      </c>
      <c r="AC30" s="215">
        <v>0</v>
      </c>
      <c r="AD30" s="215">
        <v>573</v>
      </c>
      <c r="AE30" s="215">
        <v>0</v>
      </c>
      <c r="AF30" s="302"/>
      <c r="AG30" s="215">
        <v>0</v>
      </c>
      <c r="AH30" s="215">
        <v>0</v>
      </c>
      <c r="AI30" s="215">
        <v>0</v>
      </c>
      <c r="AJ30" s="215">
        <v>0</v>
      </c>
      <c r="AK30" s="302"/>
      <c r="AL30" s="215">
        <v>0</v>
      </c>
      <c r="AM30" s="215">
        <v>0</v>
      </c>
      <c r="AN30" s="215">
        <v>0</v>
      </c>
      <c r="AO30" s="215">
        <v>0</v>
      </c>
      <c r="AQ30" s="215">
        <v>0</v>
      </c>
      <c r="AR30" s="215">
        <v>0</v>
      </c>
      <c r="AS30" s="215"/>
      <c r="AT30" s="215">
        <v>0</v>
      </c>
      <c r="AU30" s="302"/>
      <c r="AV30" s="215">
        <v>0</v>
      </c>
    </row>
    <row r="31" spans="2:48">
      <c r="B31" s="416" t="s">
        <v>157</v>
      </c>
      <c r="C31" s="215">
        <v>0</v>
      </c>
      <c r="D31" s="303"/>
      <c r="E31" s="215">
        <v>0</v>
      </c>
      <c r="F31" s="215">
        <v>0</v>
      </c>
      <c r="G31" s="215">
        <v>0</v>
      </c>
      <c r="H31" s="215">
        <v>0</v>
      </c>
      <c r="J31" s="215">
        <v>0</v>
      </c>
      <c r="K31" s="215">
        <v>0</v>
      </c>
      <c r="L31" s="215">
        <v>0</v>
      </c>
      <c r="M31" s="215">
        <v>0</v>
      </c>
      <c r="N31" s="215">
        <v>0</v>
      </c>
      <c r="P31" s="215">
        <v>0</v>
      </c>
      <c r="Q31" s="215">
        <v>0</v>
      </c>
      <c r="R31" s="215">
        <v>0</v>
      </c>
      <c r="S31" s="215">
        <v>0</v>
      </c>
      <c r="T31" s="215">
        <v>0</v>
      </c>
      <c r="U31" s="215">
        <v>0</v>
      </c>
      <c r="W31" s="215">
        <v>0</v>
      </c>
      <c r="X31" s="215">
        <v>0</v>
      </c>
      <c r="Y31" s="215">
        <v>0</v>
      </c>
      <c r="Z31" s="215">
        <v>0</v>
      </c>
      <c r="AB31" s="215">
        <v>0</v>
      </c>
      <c r="AC31" s="215">
        <v>0</v>
      </c>
      <c r="AD31" s="215">
        <v>0</v>
      </c>
      <c r="AE31" s="215">
        <v>0</v>
      </c>
      <c r="AF31" s="302"/>
      <c r="AG31" s="215">
        <v>0</v>
      </c>
      <c r="AH31" s="215">
        <v>97</v>
      </c>
      <c r="AI31" s="215">
        <v>7025</v>
      </c>
      <c r="AJ31" s="215">
        <v>4666</v>
      </c>
      <c r="AK31" s="302"/>
      <c r="AL31" s="215">
        <v>4837</v>
      </c>
      <c r="AM31" s="215">
        <v>5000</v>
      </c>
      <c r="AN31" s="215">
        <v>5164</v>
      </c>
      <c r="AO31" s="215">
        <v>6694</v>
      </c>
      <c r="AQ31" s="215">
        <v>6837</v>
      </c>
      <c r="AR31" s="215">
        <v>6981</v>
      </c>
      <c r="AS31" s="215">
        <v>7052</v>
      </c>
      <c r="AT31" s="215">
        <v>7134</v>
      </c>
      <c r="AU31" s="302"/>
      <c r="AV31" s="215">
        <v>7205</v>
      </c>
    </row>
    <row r="32" spans="2:48" ht="7.5" customHeight="1">
      <c r="B32" s="303"/>
      <c r="C32" s="215"/>
      <c r="D32" s="303"/>
      <c r="E32" s="215"/>
      <c r="F32" s="215"/>
      <c r="G32" s="215"/>
      <c r="H32" s="215"/>
      <c r="J32" s="215"/>
      <c r="K32" s="215"/>
      <c r="L32" s="215"/>
      <c r="M32" s="215"/>
      <c r="N32" s="215"/>
      <c r="P32" s="215"/>
      <c r="Q32" s="215"/>
      <c r="R32" s="215"/>
      <c r="S32" s="215"/>
      <c r="T32" s="215"/>
      <c r="U32" s="215"/>
      <c r="W32" s="215"/>
      <c r="AB32" s="215"/>
      <c r="AF32" s="302"/>
      <c r="AG32" s="215"/>
      <c r="AK32" s="302"/>
      <c r="AL32" s="215"/>
      <c r="AM32" s="397"/>
      <c r="AN32" s="397"/>
      <c r="AO32" s="401"/>
      <c r="AQ32" s="215"/>
      <c r="AR32" s="419"/>
      <c r="AS32" s="419"/>
      <c r="AT32" s="419"/>
      <c r="AU32" s="302"/>
      <c r="AV32" s="419"/>
    </row>
    <row r="33" spans="1:48" ht="13">
      <c r="B33" s="328" t="s">
        <v>54</v>
      </c>
      <c r="C33" s="329">
        <f>SUM(C21:C31)</f>
        <v>14002423</v>
      </c>
      <c r="D33" s="328"/>
      <c r="E33" s="329">
        <f>SUM(E21:E31)</f>
        <v>14236992</v>
      </c>
      <c r="F33" s="329">
        <f>SUM(F21:F31)</f>
        <v>14427829</v>
      </c>
      <c r="G33" s="329">
        <f>SUM(G21:G31)</f>
        <v>14614447</v>
      </c>
      <c r="H33" s="329">
        <f>SUM(H21:H31)</f>
        <v>14799931</v>
      </c>
      <c r="I33" s="34"/>
      <c r="J33" s="329">
        <f>SUM(J21:J31)</f>
        <v>14190894</v>
      </c>
      <c r="K33" s="329">
        <f>SUM(K21:K31)</f>
        <v>15537734</v>
      </c>
      <c r="L33" s="329">
        <f>SUM(L21:L31)</f>
        <v>15666033</v>
      </c>
      <c r="M33" s="329">
        <f>SUM(M21:M31)</f>
        <v>15504949</v>
      </c>
      <c r="N33" s="329">
        <f>SUM(N21:N31)</f>
        <v>15758101</v>
      </c>
      <c r="O33" s="367" t="s">
        <v>154</v>
      </c>
      <c r="P33" s="329">
        <f t="shared" ref="P33:U33" si="1">SUM(P21:P31)</f>
        <v>15527781</v>
      </c>
      <c r="Q33" s="329">
        <f t="shared" si="1"/>
        <v>15453300</v>
      </c>
      <c r="R33" s="329">
        <f t="shared" si="1"/>
        <v>15289549</v>
      </c>
      <c r="S33" s="329">
        <f t="shared" si="1"/>
        <v>15521479</v>
      </c>
      <c r="T33" s="329">
        <f t="shared" si="1"/>
        <v>16460927</v>
      </c>
      <c r="U33" s="329">
        <f t="shared" si="1"/>
        <v>16543176</v>
      </c>
      <c r="W33" s="329">
        <f>SUM(W21:W31)</f>
        <v>16600768</v>
      </c>
      <c r="X33" s="329">
        <f>SUM(X21:X31)</f>
        <v>16878519</v>
      </c>
      <c r="Y33" s="329">
        <f>SUM(Y21:Y31)</f>
        <v>16721683</v>
      </c>
      <c r="Z33" s="329">
        <f>SUM(Z21:Z31)</f>
        <v>16843998</v>
      </c>
      <c r="AB33" s="329">
        <f>SUM(AB21:AB31)</f>
        <v>16772625</v>
      </c>
      <c r="AC33" s="329">
        <f>SUM(AC21:AC31)</f>
        <v>17063540</v>
      </c>
      <c r="AD33" s="329">
        <f>SUM(AD21:AD31)</f>
        <v>17292003</v>
      </c>
      <c r="AE33" s="329">
        <f>SUM(AE21:AE31)</f>
        <v>17591399</v>
      </c>
      <c r="AF33" s="302"/>
      <c r="AG33" s="329">
        <f>SUM(AG21:AG31)</f>
        <v>17285170</v>
      </c>
      <c r="AH33" s="329">
        <f>SUM(AH21:AH31)</f>
        <v>17303235</v>
      </c>
      <c r="AI33" s="329">
        <f>SUM(AI21:AI31)</f>
        <v>17998483</v>
      </c>
      <c r="AJ33" s="329">
        <f>SUM(AJ21:AJ31)</f>
        <v>17709473</v>
      </c>
      <c r="AK33" s="302"/>
      <c r="AL33" s="329">
        <f>SUM(AL21:AL31)</f>
        <v>17936640</v>
      </c>
      <c r="AM33" s="329">
        <f>SUM(AM21:AM31)</f>
        <v>17541532</v>
      </c>
      <c r="AN33" s="329">
        <f>SUM(AN21:AN31)</f>
        <v>17760374</v>
      </c>
      <c r="AO33" s="329">
        <f>SUM(AO21:AO31)</f>
        <v>17183197</v>
      </c>
      <c r="AQ33" s="329">
        <f>SUM(AQ21:AQ31)</f>
        <v>17412608</v>
      </c>
      <c r="AR33" s="329">
        <f>SUM(AR21:AR31)</f>
        <v>17757525</v>
      </c>
      <c r="AS33" s="329">
        <f>SUM(AS21:AS31)</f>
        <v>17883289</v>
      </c>
      <c r="AT33" s="329">
        <f>SUM(AT21:AT31)</f>
        <v>18526819</v>
      </c>
      <c r="AU33" s="302"/>
      <c r="AV33" s="329">
        <f>SUM(AV21:AV31)</f>
        <v>18339112</v>
      </c>
    </row>
    <row r="34" spans="1:48" ht="10.5" customHeight="1">
      <c r="B34" s="303"/>
      <c r="C34" s="301"/>
      <c r="D34" s="303"/>
      <c r="E34" s="301"/>
      <c r="F34" s="301"/>
      <c r="G34" s="301"/>
      <c r="H34" s="301"/>
      <c r="J34" s="301"/>
      <c r="K34" s="301"/>
      <c r="L34" s="301"/>
      <c r="M34" s="301"/>
      <c r="N34" s="301"/>
      <c r="P34" s="301"/>
      <c r="Q34" s="301"/>
      <c r="R34" s="301"/>
      <c r="S34" s="301"/>
      <c r="T34" s="301"/>
      <c r="U34" s="301"/>
      <c r="W34" s="301"/>
      <c r="AB34" s="301"/>
      <c r="AF34" s="302"/>
      <c r="AG34" s="301"/>
      <c r="AK34" s="302"/>
      <c r="AL34" s="301"/>
      <c r="AM34" s="397"/>
      <c r="AN34" s="397"/>
      <c r="AO34" s="401"/>
      <c r="AQ34" s="301"/>
      <c r="AR34" s="419"/>
      <c r="AS34" s="419"/>
      <c r="AT34" s="419"/>
      <c r="AU34" s="302"/>
      <c r="AV34" s="419"/>
    </row>
    <row r="35" spans="1:48" ht="20.25" customHeight="1">
      <c r="B35" s="330" t="s">
        <v>55</v>
      </c>
      <c r="C35" s="331">
        <f>+C19+C33</f>
        <v>14342821</v>
      </c>
      <c r="D35" s="328"/>
      <c r="E35" s="331">
        <f>+E19+E33</f>
        <v>14854507</v>
      </c>
      <c r="F35" s="331">
        <f>+F19+F33</f>
        <v>14874524</v>
      </c>
      <c r="G35" s="331">
        <f>+G19+G33</f>
        <v>15324587</v>
      </c>
      <c r="H35" s="331">
        <f>+H19+H33</f>
        <v>15212436</v>
      </c>
      <c r="J35" s="331">
        <f>+J19+J33</f>
        <v>14952164</v>
      </c>
      <c r="K35" s="331">
        <f>+K19+K33</f>
        <v>15971524</v>
      </c>
      <c r="L35" s="331">
        <f>+L19+L33</f>
        <v>16466153</v>
      </c>
      <c r="M35" s="331">
        <f>+M19+M33</f>
        <v>16169425</v>
      </c>
      <c r="N35" s="331">
        <f>+N19+N33</f>
        <v>16327837</v>
      </c>
      <c r="P35" s="331">
        <f t="shared" ref="P35:U35" si="2">+P19+P33</f>
        <v>16210864</v>
      </c>
      <c r="Q35" s="331">
        <f t="shared" si="2"/>
        <v>16005705</v>
      </c>
      <c r="R35" s="331">
        <f t="shared" si="2"/>
        <v>15919947</v>
      </c>
      <c r="S35" s="331">
        <f t="shared" si="2"/>
        <v>16051630</v>
      </c>
      <c r="T35" s="331">
        <f t="shared" si="2"/>
        <v>16995199</v>
      </c>
      <c r="U35" s="331">
        <f t="shared" si="2"/>
        <v>17083471</v>
      </c>
      <c r="W35" s="331">
        <f>+W19+W33</f>
        <v>17289534</v>
      </c>
      <c r="X35" s="331">
        <f>+X19+X33</f>
        <v>17469084</v>
      </c>
      <c r="Y35" s="331">
        <f>+Y19+Y33</f>
        <v>17504261</v>
      </c>
      <c r="Z35" s="331">
        <f>+Z19+Z33</f>
        <v>17523550</v>
      </c>
      <c r="AB35" s="331">
        <f>+AB19+AB33</f>
        <v>17598033</v>
      </c>
      <c r="AC35" s="331">
        <f>+AC19+AC33</f>
        <v>17712442</v>
      </c>
      <c r="AD35" s="331">
        <f>+AD19+AD33</f>
        <v>17701476</v>
      </c>
      <c r="AE35" s="331">
        <f>+AE19+AE33</f>
        <v>17946404</v>
      </c>
      <c r="AF35" s="302"/>
      <c r="AG35" s="331">
        <f>+AG19+AG33</f>
        <v>17960990</v>
      </c>
      <c r="AH35" s="331">
        <f>+AH19+AH33</f>
        <v>17841047</v>
      </c>
      <c r="AI35" s="331">
        <f>+AI19+AI33</f>
        <v>18454416</v>
      </c>
      <c r="AJ35" s="331">
        <f>+AJ19+AJ33</f>
        <v>18160512</v>
      </c>
      <c r="AK35" s="302"/>
      <c r="AL35" s="331">
        <f>+AL19+AL33</f>
        <v>18898636</v>
      </c>
      <c r="AM35" s="331">
        <f>+AM19+AM33</f>
        <v>18483699</v>
      </c>
      <c r="AN35" s="331">
        <f>+AN19+AN33</f>
        <v>18650329</v>
      </c>
      <c r="AO35" s="331">
        <f>+AO19+AO33</f>
        <v>17791474</v>
      </c>
      <c r="AQ35" s="331">
        <f>+AQ19+AQ33</f>
        <v>18227370</v>
      </c>
      <c r="AR35" s="331">
        <f>+AR19+AR33</f>
        <v>18305094</v>
      </c>
      <c r="AS35" s="331">
        <f>+AS19+AS33</f>
        <v>18397007</v>
      </c>
      <c r="AT35" s="331">
        <f>+AT19+AT33</f>
        <v>18952092</v>
      </c>
      <c r="AU35" s="302"/>
      <c r="AV35" s="331">
        <f>+AV19+AV33</f>
        <v>19617186</v>
      </c>
    </row>
    <row r="36" spans="1:48" ht="20.25" customHeight="1">
      <c r="B36" s="332" t="s">
        <v>48</v>
      </c>
      <c r="C36" s="333">
        <v>7443.7397175671958</v>
      </c>
      <c r="D36" s="334"/>
      <c r="E36" s="333">
        <v>7558.3146764903431</v>
      </c>
      <c r="F36" s="333">
        <v>7906.9759035504121</v>
      </c>
      <c r="G36" s="333">
        <v>7554.714367408108</v>
      </c>
      <c r="H36" s="333">
        <v>6358.4912600419648</v>
      </c>
      <c r="J36" s="333">
        <v>5804.2988296034619</v>
      </c>
      <c r="K36" s="333">
        <v>6178.2763596133236</v>
      </c>
      <c r="L36" s="333">
        <v>5274.3335874488293</v>
      </c>
      <c r="M36" s="333">
        <v>5134.0146119823339</v>
      </c>
      <c r="N36" s="333">
        <v>5184.3125986277064</v>
      </c>
      <c r="P36" s="333">
        <v>5363.6620510529883</v>
      </c>
      <c r="Q36" s="333">
        <v>5488.6425595391183</v>
      </c>
      <c r="R36" s="333">
        <v>5527.8553447108461</v>
      </c>
      <c r="S36" s="333">
        <v>5574</v>
      </c>
      <c r="T36" s="333">
        <f>+T35/3000.71</f>
        <v>5663.7259181993595</v>
      </c>
      <c r="U36" s="333">
        <v>5693.1429561670402</v>
      </c>
      <c r="W36" s="333">
        <v>6002.8101824847936</v>
      </c>
      <c r="X36" s="333">
        <v>5750</v>
      </c>
      <c r="Y36" s="333">
        <v>5960</v>
      </c>
      <c r="Z36" s="333">
        <f>+Z35/2984</f>
        <v>5872.5033512064347</v>
      </c>
      <c r="AB36" s="333">
        <f>+AB35/2780.47</f>
        <v>6329.1576603955455</v>
      </c>
      <c r="AC36" s="333">
        <f>+AC35/2930.8</f>
        <v>6043.5519312133201</v>
      </c>
      <c r="AD36" s="333">
        <f>+AD35/2972.18</f>
        <v>5955.7213896870317</v>
      </c>
      <c r="AE36" s="333">
        <f>+AE35/3249.75</f>
        <v>5522.3952611739369</v>
      </c>
      <c r="AF36" s="302"/>
      <c r="AG36" s="333">
        <f>+AG35/3174.79</f>
        <v>5657.3789132509555</v>
      </c>
      <c r="AH36" s="333">
        <f>+AH35/3205.67</f>
        <v>5565.4658776480419</v>
      </c>
      <c r="AI36" s="333">
        <f>+AI35/3462.01</f>
        <v>5330.5495940219698</v>
      </c>
      <c r="AJ36" s="333">
        <f>+AJ35/3277.14</f>
        <v>5541.5734451381386</v>
      </c>
      <c r="AK36" s="302"/>
      <c r="AL36" s="333">
        <f>+AL35/4064.81</f>
        <v>4649.328258885409</v>
      </c>
      <c r="AM36" s="333">
        <f>+AM35/3758.91</f>
        <v>4917.3028883373108</v>
      </c>
      <c r="AN36" s="333">
        <f>+AN35/3878.94</f>
        <v>4808.0993776650321</v>
      </c>
      <c r="AO36" s="333">
        <f>+AO35/3432.5</f>
        <v>5183.2407865986888</v>
      </c>
      <c r="AQ36" s="333">
        <f>+AQ35/3736.91</f>
        <v>4877.6582791664769</v>
      </c>
      <c r="AR36" s="333">
        <f>+AR35/3756.67</f>
        <v>4872.6915060412548</v>
      </c>
      <c r="AS36" s="333">
        <f>+AS35/3834.68</f>
        <v>4797.5338229004765</v>
      </c>
      <c r="AT36" s="333">
        <f>+AT35/3981.16</f>
        <v>4760.4446945111476</v>
      </c>
      <c r="AU36" s="302"/>
      <c r="AV36" s="333">
        <f>+AV35/3748.15</f>
        <v>5233.8316236009759</v>
      </c>
    </row>
    <row r="37" spans="1:48" ht="3.75" customHeight="1">
      <c r="C37" s="299"/>
      <c r="J37" s="299"/>
      <c r="K37" s="299"/>
      <c r="L37" s="299"/>
      <c r="M37" s="299"/>
      <c r="N37" s="299"/>
      <c r="P37" s="299"/>
      <c r="Q37" s="299"/>
      <c r="R37" s="299"/>
      <c r="S37" s="299"/>
      <c r="T37" s="299"/>
      <c r="U37" s="299"/>
      <c r="W37" s="299"/>
      <c r="AB37" s="299"/>
      <c r="AF37" s="302"/>
      <c r="AG37" s="299"/>
      <c r="AK37" s="302"/>
      <c r="AL37" s="299"/>
      <c r="AM37" s="397"/>
      <c r="AN37" s="397"/>
      <c r="AO37" s="401"/>
      <c r="AQ37" s="299"/>
      <c r="AR37" s="419"/>
      <c r="AS37" s="419"/>
      <c r="AT37" s="419"/>
      <c r="AU37" s="302"/>
      <c r="AV37" s="419"/>
    </row>
    <row r="38" spans="1:48" ht="16.5" customHeight="1">
      <c r="B38" s="300" t="s">
        <v>33</v>
      </c>
      <c r="C38" s="215">
        <v>403345</v>
      </c>
      <c r="D38" s="300"/>
      <c r="E38" s="301">
        <v>561428</v>
      </c>
      <c r="F38" s="301">
        <v>417165</v>
      </c>
      <c r="G38" s="301">
        <v>171377</v>
      </c>
      <c r="H38" s="215">
        <v>0</v>
      </c>
      <c r="J38" s="301">
        <v>103745</v>
      </c>
      <c r="K38" s="301">
        <v>116234</v>
      </c>
      <c r="L38" s="301">
        <v>123695</v>
      </c>
      <c r="M38" s="301">
        <v>123415</v>
      </c>
      <c r="N38" s="301">
        <v>123415</v>
      </c>
      <c r="P38" s="301">
        <v>5105</v>
      </c>
      <c r="Q38" s="301">
        <v>5500</v>
      </c>
      <c r="R38" s="301">
        <v>5891</v>
      </c>
      <c r="S38" s="301">
        <v>5891</v>
      </c>
      <c r="T38" s="301">
        <v>5920</v>
      </c>
      <c r="U38" s="301">
        <v>5920</v>
      </c>
      <c r="W38" s="301">
        <v>37394</v>
      </c>
      <c r="X38" s="301">
        <v>13044</v>
      </c>
      <c r="Y38" s="301">
        <v>4056</v>
      </c>
      <c r="Z38" s="301">
        <v>3728</v>
      </c>
      <c r="AB38" s="301">
        <v>2871</v>
      </c>
      <c r="AC38" s="301">
        <v>186376</v>
      </c>
      <c r="AD38" s="301">
        <v>243729</v>
      </c>
      <c r="AE38" s="301">
        <v>119106</v>
      </c>
      <c r="AF38" s="302"/>
      <c r="AG38" s="301">
        <v>140423</v>
      </c>
      <c r="AH38" s="301">
        <v>144537</v>
      </c>
      <c r="AI38" s="301">
        <v>270</v>
      </c>
      <c r="AJ38" s="301">
        <v>4252</v>
      </c>
      <c r="AK38" s="302"/>
      <c r="AL38" s="301">
        <v>10454</v>
      </c>
      <c r="AM38" s="301">
        <v>17778</v>
      </c>
      <c r="AN38" s="301">
        <v>3383</v>
      </c>
      <c r="AO38" s="301">
        <v>237</v>
      </c>
      <c r="AQ38" s="301">
        <v>5843</v>
      </c>
      <c r="AR38" s="301">
        <v>133821</v>
      </c>
      <c r="AS38" s="301">
        <v>53848</v>
      </c>
      <c r="AT38" s="301">
        <v>2556</v>
      </c>
      <c r="AU38" s="302"/>
      <c r="AV38" s="301">
        <v>32220</v>
      </c>
    </row>
    <row r="39" spans="1:48" ht="16.5" customHeight="1">
      <c r="B39" s="300" t="s">
        <v>257</v>
      </c>
      <c r="C39" s="215"/>
      <c r="D39" s="300"/>
      <c r="E39" s="301"/>
      <c r="F39" s="301"/>
      <c r="G39" s="301"/>
      <c r="H39" s="215"/>
      <c r="J39" s="301"/>
      <c r="K39" s="301"/>
      <c r="L39" s="301"/>
      <c r="M39" s="301"/>
      <c r="N39" s="301"/>
      <c r="P39" s="301"/>
      <c r="Q39" s="301"/>
      <c r="R39" s="301"/>
      <c r="S39" s="301"/>
      <c r="T39" s="301"/>
      <c r="U39" s="301"/>
      <c r="W39" s="301"/>
      <c r="X39" s="301"/>
      <c r="Y39" s="301"/>
      <c r="Z39" s="301"/>
      <c r="AB39" s="301"/>
      <c r="AC39" s="301"/>
      <c r="AD39" s="301"/>
      <c r="AE39" s="301"/>
      <c r="AF39" s="302"/>
      <c r="AG39" s="335">
        <v>1310</v>
      </c>
      <c r="AH39" s="301">
        <v>956</v>
      </c>
      <c r="AI39" s="301">
        <v>527</v>
      </c>
      <c r="AJ39" s="301">
        <v>2036</v>
      </c>
      <c r="AK39" s="302"/>
      <c r="AL39" s="301">
        <v>1478</v>
      </c>
      <c r="AM39" s="301">
        <v>1749</v>
      </c>
      <c r="AN39" s="301">
        <v>1483</v>
      </c>
      <c r="AO39" s="301">
        <v>1720</v>
      </c>
      <c r="AQ39" s="301">
        <v>1331</v>
      </c>
      <c r="AR39" s="301">
        <v>2402</v>
      </c>
      <c r="AS39" s="301">
        <v>1890</v>
      </c>
      <c r="AT39" s="301">
        <v>2053</v>
      </c>
      <c r="AU39" s="302"/>
      <c r="AV39" s="301">
        <v>1192</v>
      </c>
    </row>
    <row r="40" spans="1:48" ht="16.5" customHeight="1">
      <c r="A40" s="302"/>
      <c r="B40" s="300" t="s">
        <v>61</v>
      </c>
      <c r="C40" s="301">
        <v>33543</v>
      </c>
      <c r="D40" s="300"/>
      <c r="E40" s="301">
        <v>36840</v>
      </c>
      <c r="F40" s="301">
        <v>41640</v>
      </c>
      <c r="G40" s="301">
        <v>37478</v>
      </c>
      <c r="H40" s="301">
        <v>30429</v>
      </c>
      <c r="J40" s="301">
        <v>39346</v>
      </c>
      <c r="K40" s="301">
        <v>20123</v>
      </c>
      <c r="L40" s="301">
        <v>13302</v>
      </c>
      <c r="M40" s="301">
        <f>4958+338</f>
        <v>5296</v>
      </c>
      <c r="N40" s="301">
        <f>4958+338</f>
        <v>5296</v>
      </c>
      <c r="P40" s="301">
        <v>6939</v>
      </c>
      <c r="Q40" s="301">
        <v>112523</v>
      </c>
      <c r="R40" s="301">
        <v>137205</v>
      </c>
      <c r="S40" s="301">
        <v>137205</v>
      </c>
      <c r="T40" s="301">
        <v>139132</v>
      </c>
      <c r="U40" s="301">
        <v>139132</v>
      </c>
      <c r="W40" s="301">
        <v>139602</v>
      </c>
      <c r="X40" s="301">
        <v>139748</v>
      </c>
      <c r="Y40" s="301">
        <v>365315</v>
      </c>
      <c r="Z40" s="301">
        <v>367340</v>
      </c>
      <c r="AB40" s="301">
        <v>373220</v>
      </c>
      <c r="AC40" s="301">
        <v>103602</v>
      </c>
      <c r="AD40" s="301">
        <v>7136</v>
      </c>
      <c r="AE40" s="301">
        <v>121691</v>
      </c>
      <c r="AF40" s="302"/>
      <c r="AG40" s="301">
        <v>110611</v>
      </c>
      <c r="AH40" s="301">
        <v>94580</v>
      </c>
      <c r="AI40" s="301">
        <v>8031</v>
      </c>
      <c r="AJ40" s="301">
        <v>8274</v>
      </c>
      <c r="AK40" s="302"/>
      <c r="AL40" s="301">
        <v>8192</v>
      </c>
      <c r="AM40" s="301">
        <v>8911</v>
      </c>
      <c r="AN40" s="301">
        <v>8676</v>
      </c>
      <c r="AO40" s="301">
        <v>535</v>
      </c>
      <c r="AQ40" s="301">
        <v>382</v>
      </c>
      <c r="AR40" s="301">
        <v>23</v>
      </c>
      <c r="AS40" s="301">
        <v>2115</v>
      </c>
      <c r="AT40" s="301">
        <v>95117</v>
      </c>
      <c r="AU40" s="302"/>
      <c r="AV40" s="301">
        <v>61019</v>
      </c>
    </row>
    <row r="41" spans="1:48" ht="16.5" customHeight="1">
      <c r="B41" s="300" t="s">
        <v>138</v>
      </c>
      <c r="C41" s="301">
        <v>125609</v>
      </c>
      <c r="D41" s="300"/>
      <c r="E41" s="301">
        <v>273125</v>
      </c>
      <c r="F41" s="301">
        <v>227780</v>
      </c>
      <c r="G41" s="301">
        <v>167568</v>
      </c>
      <c r="H41" s="301">
        <v>143921</v>
      </c>
      <c r="J41" s="301">
        <f>290138+1</f>
        <v>290139</v>
      </c>
      <c r="K41" s="301">
        <v>299078</v>
      </c>
      <c r="L41" s="301">
        <v>232572</v>
      </c>
      <c r="M41" s="301">
        <f>185324-338-2012-4543</f>
        <v>178431</v>
      </c>
      <c r="N41" s="301">
        <f>185324-338-2012-4543</f>
        <v>178431</v>
      </c>
      <c r="P41" s="301">
        <v>334268</v>
      </c>
      <c r="Q41" s="301">
        <v>238607</v>
      </c>
      <c r="R41" s="301">
        <v>156449</v>
      </c>
      <c r="S41" s="301">
        <v>156449</v>
      </c>
      <c r="T41" s="301">
        <v>92004</v>
      </c>
      <c r="U41" s="301">
        <v>136251</v>
      </c>
      <c r="W41" s="301">
        <v>529169</v>
      </c>
      <c r="X41" s="301">
        <v>225831</v>
      </c>
      <c r="Y41" s="301">
        <v>157093</v>
      </c>
      <c r="Z41" s="301">
        <v>83789</v>
      </c>
      <c r="AB41" s="301">
        <v>16130</v>
      </c>
      <c r="AC41" s="301">
        <v>225365</v>
      </c>
      <c r="AD41" s="301">
        <v>156633</v>
      </c>
      <c r="AE41" s="301">
        <v>90551</v>
      </c>
      <c r="AF41" s="302"/>
      <c r="AG41" s="301">
        <v>316035</v>
      </c>
      <c r="AH41" s="301">
        <v>242184</v>
      </c>
      <c r="AI41" s="301">
        <v>165111</v>
      </c>
      <c r="AJ41" s="301">
        <v>93764</v>
      </c>
      <c r="AK41" s="302"/>
      <c r="AL41" s="301">
        <v>338408</v>
      </c>
      <c r="AM41" s="301">
        <v>257015</v>
      </c>
      <c r="AN41" s="301">
        <v>176804</v>
      </c>
      <c r="AO41" s="301">
        <v>94587</v>
      </c>
      <c r="AQ41" s="301">
        <v>338262</v>
      </c>
      <c r="AR41" s="301">
        <v>16624</v>
      </c>
      <c r="AS41" s="301">
        <v>14505</v>
      </c>
      <c r="AT41" s="301">
        <v>11274</v>
      </c>
      <c r="AU41" s="302"/>
      <c r="AV41" s="301">
        <v>458168</v>
      </c>
    </row>
    <row r="42" spans="1:48" ht="16.5" customHeight="1">
      <c r="B42" s="300" t="s">
        <v>132</v>
      </c>
      <c r="C42" s="301">
        <v>1155</v>
      </c>
      <c r="D42" s="300"/>
      <c r="E42" s="301">
        <v>1155</v>
      </c>
      <c r="F42" s="301">
        <v>1143</v>
      </c>
      <c r="G42" s="301">
        <v>2259</v>
      </c>
      <c r="H42" s="301">
        <v>1863</v>
      </c>
      <c r="J42" s="301">
        <v>6909</v>
      </c>
      <c r="K42" s="301">
        <v>2521</v>
      </c>
      <c r="L42" s="301">
        <v>1249</v>
      </c>
      <c r="M42" s="301">
        <f>770+495</f>
        <v>1265</v>
      </c>
      <c r="N42" s="301">
        <f>770+495</f>
        <v>1265</v>
      </c>
      <c r="P42" s="301">
        <v>1288</v>
      </c>
      <c r="Q42" s="301">
        <v>1312</v>
      </c>
      <c r="R42" s="301">
        <v>1335</v>
      </c>
      <c r="S42" s="301">
        <v>1335</v>
      </c>
      <c r="T42" s="301">
        <v>1921</v>
      </c>
      <c r="U42" s="301">
        <v>1921</v>
      </c>
      <c r="W42" s="301">
        <v>1921</v>
      </c>
      <c r="X42" s="301">
        <v>1921</v>
      </c>
      <c r="Y42" s="301">
        <v>514</v>
      </c>
      <c r="Z42" s="301">
        <v>515</v>
      </c>
      <c r="AB42" s="301">
        <v>515</v>
      </c>
      <c r="AC42" s="301">
        <v>730</v>
      </c>
      <c r="AD42" s="301">
        <v>701</v>
      </c>
      <c r="AE42" s="301">
        <v>701</v>
      </c>
      <c r="AF42" s="302"/>
      <c r="AG42" s="301">
        <v>701</v>
      </c>
      <c r="AH42" s="301">
        <v>701</v>
      </c>
      <c r="AI42" s="301">
        <v>701</v>
      </c>
      <c r="AJ42" s="301">
        <v>322</v>
      </c>
      <c r="AK42" s="302"/>
      <c r="AL42" s="301">
        <v>323</v>
      </c>
      <c r="AM42" s="301">
        <v>323</v>
      </c>
      <c r="AN42" s="301">
        <v>323</v>
      </c>
      <c r="AO42" s="301">
        <v>253</v>
      </c>
      <c r="AQ42" s="301">
        <v>253</v>
      </c>
      <c r="AR42" s="301">
        <v>253</v>
      </c>
      <c r="AS42" s="301">
        <v>155</v>
      </c>
      <c r="AT42" s="301">
        <v>5005</v>
      </c>
      <c r="AU42" s="302"/>
      <c r="AV42" s="301">
        <v>4960</v>
      </c>
    </row>
    <row r="43" spans="1:48" ht="16.5" customHeight="1">
      <c r="B43" s="300" t="s">
        <v>137</v>
      </c>
      <c r="C43" s="301">
        <v>14212</v>
      </c>
      <c r="D43" s="300"/>
      <c r="E43" s="301">
        <v>13649</v>
      </c>
      <c r="F43" s="301">
        <v>4584</v>
      </c>
      <c r="G43" s="301">
        <v>5905</v>
      </c>
      <c r="H43" s="301">
        <v>470</v>
      </c>
      <c r="J43" s="301">
        <v>14957</v>
      </c>
      <c r="K43" s="301">
        <v>13510</v>
      </c>
      <c r="L43" s="301">
        <v>9066</v>
      </c>
      <c r="M43" s="301">
        <f>14177-3630</f>
        <v>10547</v>
      </c>
      <c r="N43" s="301">
        <v>10547</v>
      </c>
      <c r="P43" s="301">
        <v>30459</v>
      </c>
      <c r="Q43" s="301">
        <v>12074</v>
      </c>
      <c r="R43" s="301">
        <v>7176</v>
      </c>
      <c r="S43" s="301">
        <v>4689</v>
      </c>
      <c r="T43" s="301">
        <v>5562</v>
      </c>
      <c r="U43" s="301">
        <v>5741</v>
      </c>
      <c r="W43" s="301">
        <v>6513</v>
      </c>
      <c r="X43" s="301">
        <v>9381</v>
      </c>
      <c r="Y43" s="301">
        <v>38001</v>
      </c>
      <c r="Z43" s="301">
        <v>45668</v>
      </c>
      <c r="AB43" s="301">
        <v>40290</v>
      </c>
      <c r="AC43" s="301">
        <v>7684</v>
      </c>
      <c r="AD43" s="301">
        <v>11670</v>
      </c>
      <c r="AE43" s="301">
        <v>23811</v>
      </c>
      <c r="AF43" s="302"/>
      <c r="AG43" s="301">
        <v>12083</v>
      </c>
      <c r="AH43" s="301">
        <v>1711</v>
      </c>
      <c r="AI43" s="301">
        <v>5469</v>
      </c>
      <c r="AJ43" s="301">
        <v>1974</v>
      </c>
      <c r="AK43" s="302"/>
      <c r="AL43" s="301">
        <v>5004</v>
      </c>
      <c r="AM43" s="301">
        <v>5708</v>
      </c>
      <c r="AN43" s="301">
        <v>6493</v>
      </c>
      <c r="AO43" s="301">
        <v>7453</v>
      </c>
      <c r="AQ43" s="301">
        <v>52</v>
      </c>
      <c r="AR43" s="301">
        <v>3334</v>
      </c>
      <c r="AS43" s="301">
        <v>1337</v>
      </c>
      <c r="AT43" s="301">
        <v>15682</v>
      </c>
      <c r="AU43" s="302"/>
      <c r="AV43" s="301">
        <v>1453</v>
      </c>
    </row>
    <row r="44" spans="1:48" ht="16.5" customHeight="1">
      <c r="B44" s="327" t="s">
        <v>194</v>
      </c>
      <c r="C44" s="336">
        <f>712+1000</f>
        <v>1712</v>
      </c>
      <c r="D44" s="327"/>
      <c r="E44" s="336">
        <f>879+1058</f>
        <v>1937</v>
      </c>
      <c r="F44" s="336">
        <f>786+1177</f>
        <v>1963</v>
      </c>
      <c r="G44" s="336">
        <f>4094-1040</f>
        <v>3054</v>
      </c>
      <c r="H44" s="336">
        <f>944+1000</f>
        <v>1944</v>
      </c>
      <c r="I44" s="337"/>
      <c r="J44" s="336">
        <f>1118+1347</f>
        <v>2465</v>
      </c>
      <c r="K44" s="336">
        <f>1243+1374</f>
        <v>2617</v>
      </c>
      <c r="L44" s="336">
        <f>1427-1+10</f>
        <v>1436</v>
      </c>
      <c r="M44" s="336">
        <f>1933+517+2012+4543-495</f>
        <v>8510</v>
      </c>
      <c r="N44" s="336">
        <f>1933+517+2012+4543-495</f>
        <v>8510</v>
      </c>
      <c r="O44" s="337"/>
      <c r="P44" s="336">
        <f>2087+517</f>
        <v>2604</v>
      </c>
      <c r="Q44" s="336">
        <f>4228+517</f>
        <v>4745</v>
      </c>
      <c r="R44" s="336">
        <f>6690+517</f>
        <v>7207</v>
      </c>
      <c r="S44" s="336">
        <v>7207</v>
      </c>
      <c r="T44" s="336">
        <f>8961+2815</f>
        <v>11776</v>
      </c>
      <c r="U44" s="336">
        <v>11776</v>
      </c>
      <c r="W44" s="336">
        <v>9084</v>
      </c>
      <c r="X44" s="336">
        <v>8701</v>
      </c>
      <c r="Y44" s="336">
        <v>11409</v>
      </c>
      <c r="Z44" s="336">
        <v>12683</v>
      </c>
      <c r="AB44" s="336">
        <v>15129</v>
      </c>
      <c r="AC44" s="336">
        <v>7703</v>
      </c>
      <c r="AD44" s="336">
        <v>10057</v>
      </c>
      <c r="AE44" s="336">
        <v>11414</v>
      </c>
      <c r="AF44" s="302"/>
      <c r="AG44" s="336">
        <v>5829</v>
      </c>
      <c r="AH44" s="336">
        <v>7943</v>
      </c>
      <c r="AI44" s="336">
        <v>9809</v>
      </c>
      <c r="AJ44" s="336">
        <v>12404</v>
      </c>
      <c r="AK44" s="302"/>
      <c r="AL44" s="336">
        <v>5066</v>
      </c>
      <c r="AM44" s="336">
        <v>8244</v>
      </c>
      <c r="AN44" s="336">
        <v>11277</v>
      </c>
      <c r="AO44" s="336">
        <v>13522</v>
      </c>
      <c r="AQ44" s="336">
        <v>10729</v>
      </c>
      <c r="AR44" s="336">
        <v>6946</v>
      </c>
      <c r="AS44" s="336">
        <v>9342</v>
      </c>
      <c r="AT44" s="336">
        <v>12510</v>
      </c>
      <c r="AU44" s="302"/>
      <c r="AV44" s="336">
        <v>6891</v>
      </c>
    </row>
    <row r="45" spans="1:48" ht="16.5" customHeight="1">
      <c r="B45" s="327" t="s">
        <v>133</v>
      </c>
      <c r="C45" s="265">
        <v>0</v>
      </c>
      <c r="D45" s="327"/>
      <c r="E45" s="265">
        <v>0</v>
      </c>
      <c r="F45" s="265">
        <v>0</v>
      </c>
      <c r="G45" s="265">
        <v>0</v>
      </c>
      <c r="H45" s="265">
        <v>0</v>
      </c>
      <c r="I45" s="337"/>
      <c r="J45" s="265">
        <v>0</v>
      </c>
      <c r="K45" s="265">
        <v>0</v>
      </c>
      <c r="L45" s="265">
        <v>0</v>
      </c>
      <c r="M45" s="265">
        <v>0</v>
      </c>
      <c r="N45" s="265">
        <v>0</v>
      </c>
      <c r="O45" s="337"/>
      <c r="P45" s="265">
        <v>0</v>
      </c>
      <c r="Q45" s="265">
        <v>0</v>
      </c>
      <c r="R45" s="265">
        <v>0</v>
      </c>
      <c r="S45" s="265">
        <v>0</v>
      </c>
      <c r="T45" s="265">
        <v>0</v>
      </c>
      <c r="U45" s="265">
        <v>0</v>
      </c>
      <c r="W45" s="265">
        <v>0</v>
      </c>
      <c r="X45" s="265">
        <v>0</v>
      </c>
      <c r="Y45" s="265">
        <v>0</v>
      </c>
      <c r="Z45" s="265">
        <v>0</v>
      </c>
      <c r="AB45" s="265">
        <v>0</v>
      </c>
      <c r="AC45" s="265">
        <v>0</v>
      </c>
      <c r="AD45" s="265">
        <v>0</v>
      </c>
      <c r="AE45" s="265">
        <v>0</v>
      </c>
      <c r="AF45" s="302"/>
      <c r="AG45" s="265">
        <v>0</v>
      </c>
      <c r="AH45" s="265">
        <v>0</v>
      </c>
      <c r="AI45" s="265">
        <v>0</v>
      </c>
      <c r="AJ45" s="265">
        <v>0</v>
      </c>
      <c r="AK45" s="302"/>
      <c r="AL45" s="265">
        <v>0</v>
      </c>
      <c r="AM45" s="265">
        <v>0</v>
      </c>
      <c r="AN45" s="265">
        <v>0</v>
      </c>
      <c r="AO45" s="265">
        <v>0</v>
      </c>
      <c r="AQ45" s="265">
        <v>0</v>
      </c>
      <c r="AR45" s="265">
        <v>0</v>
      </c>
      <c r="AS45" s="265">
        <v>0</v>
      </c>
      <c r="AT45" s="265">
        <v>0</v>
      </c>
      <c r="AU45" s="302"/>
      <c r="AV45" s="265"/>
    </row>
    <row r="46" spans="1:48" ht="16.5" customHeight="1">
      <c r="A46" s="302"/>
      <c r="B46" s="303" t="s">
        <v>280</v>
      </c>
      <c r="C46" s="215"/>
      <c r="D46" s="300"/>
      <c r="E46" s="301"/>
      <c r="F46" s="215"/>
      <c r="G46" s="215"/>
      <c r="H46" s="215"/>
      <c r="J46" s="301"/>
      <c r="K46" s="301"/>
      <c r="L46" s="301"/>
      <c r="M46" s="301"/>
      <c r="N46" s="301"/>
      <c r="P46" s="301"/>
      <c r="Q46" s="301"/>
      <c r="R46" s="301"/>
      <c r="S46" s="301"/>
      <c r="T46" s="301"/>
      <c r="U46" s="301"/>
      <c r="W46" s="301"/>
      <c r="X46" s="301"/>
      <c r="Y46" s="301"/>
      <c r="Z46" s="301"/>
      <c r="AB46" s="215"/>
      <c r="AC46" s="301"/>
      <c r="AD46" s="301"/>
      <c r="AE46" s="301"/>
      <c r="AF46" s="302"/>
      <c r="AG46" s="215">
        <v>0</v>
      </c>
      <c r="AH46" s="215">
        <v>0</v>
      </c>
      <c r="AI46" s="215">
        <v>0</v>
      </c>
      <c r="AJ46" s="215">
        <v>0</v>
      </c>
      <c r="AK46" s="302"/>
      <c r="AL46" s="215">
        <v>0</v>
      </c>
      <c r="AM46" s="215">
        <v>0</v>
      </c>
      <c r="AN46" s="215">
        <v>0</v>
      </c>
      <c r="AO46" s="215">
        <v>0</v>
      </c>
      <c r="AQ46" s="215">
        <v>0</v>
      </c>
      <c r="AR46" s="215">
        <v>0</v>
      </c>
      <c r="AS46" s="215">
        <v>0</v>
      </c>
      <c r="AT46" s="215">
        <v>0</v>
      </c>
      <c r="AU46" s="302"/>
      <c r="AV46" s="215"/>
    </row>
    <row r="47" spans="1:48" ht="16.5" customHeight="1">
      <c r="A47" s="302"/>
      <c r="B47" s="300" t="s">
        <v>271</v>
      </c>
      <c r="C47" s="215">
        <v>29061</v>
      </c>
      <c r="D47" s="300"/>
      <c r="E47" s="301">
        <v>34331</v>
      </c>
      <c r="F47" s="215">
        <f>-12515-1</f>
        <v>-12516</v>
      </c>
      <c r="G47" s="215">
        <v>91213</v>
      </c>
      <c r="H47" s="215">
        <v>27501</v>
      </c>
      <c r="J47" s="301">
        <v>35618</v>
      </c>
      <c r="K47" s="301">
        <v>41521</v>
      </c>
      <c r="L47" s="301">
        <v>27833</v>
      </c>
      <c r="M47" s="301">
        <f>17253+3630</f>
        <v>20883</v>
      </c>
      <c r="N47" s="301">
        <v>20883</v>
      </c>
      <c r="P47" s="301">
        <v>16536</v>
      </c>
      <c r="Q47" s="301">
        <v>19515</v>
      </c>
      <c r="R47" s="301">
        <v>51633</v>
      </c>
      <c r="S47" s="301">
        <v>54120</v>
      </c>
      <c r="T47" s="301">
        <v>46770</v>
      </c>
      <c r="U47" s="301">
        <v>46824</v>
      </c>
      <c r="W47" s="301">
        <v>56382</v>
      </c>
      <c r="X47" s="301">
        <v>49969</v>
      </c>
      <c r="Y47" s="301">
        <v>47983</v>
      </c>
      <c r="Z47" s="301">
        <v>62970</v>
      </c>
      <c r="AB47" s="215">
        <v>41421</v>
      </c>
      <c r="AC47" s="301">
        <v>41900</v>
      </c>
      <c r="AD47" s="301">
        <v>46355</v>
      </c>
      <c r="AE47" s="301">
        <v>25420</v>
      </c>
      <c r="AF47" s="302"/>
      <c r="AG47" s="215">
        <v>23407</v>
      </c>
      <c r="AH47" s="301">
        <v>24551</v>
      </c>
      <c r="AI47" s="301">
        <v>30117</v>
      </c>
      <c r="AJ47" s="301">
        <v>53332</v>
      </c>
      <c r="AK47" s="302"/>
      <c r="AL47" s="215">
        <v>55195</v>
      </c>
      <c r="AM47" s="301">
        <v>62495</v>
      </c>
      <c r="AN47" s="301">
        <v>57770</v>
      </c>
      <c r="AO47" s="301">
        <v>57882</v>
      </c>
      <c r="AQ47" s="215">
        <v>67468</v>
      </c>
      <c r="AR47" s="301">
        <v>83752</v>
      </c>
      <c r="AS47" s="301">
        <v>101016</v>
      </c>
      <c r="AT47" s="301">
        <v>109055</v>
      </c>
      <c r="AU47" s="302"/>
      <c r="AV47" s="301">
        <v>120449</v>
      </c>
    </row>
    <row r="48" spans="1:48" ht="16.5" customHeight="1">
      <c r="A48" s="302"/>
      <c r="B48" s="300" t="s">
        <v>136</v>
      </c>
      <c r="C48" s="215">
        <v>1451</v>
      </c>
      <c r="D48" s="300"/>
      <c r="E48" s="215">
        <v>6987</v>
      </c>
      <c r="F48" s="215">
        <v>15170</v>
      </c>
      <c r="G48" s="215">
        <v>0</v>
      </c>
      <c r="H48" s="215">
        <v>0</v>
      </c>
      <c r="J48" s="215">
        <v>0</v>
      </c>
      <c r="K48" s="215">
        <v>0</v>
      </c>
      <c r="L48" s="215">
        <v>0</v>
      </c>
      <c r="M48" s="215">
        <v>0</v>
      </c>
      <c r="N48" s="215">
        <v>0</v>
      </c>
      <c r="P48" s="215">
        <v>0</v>
      </c>
      <c r="Q48" s="215">
        <v>0</v>
      </c>
      <c r="R48" s="215">
        <v>0</v>
      </c>
      <c r="S48" s="215">
        <v>0</v>
      </c>
      <c r="T48" s="215">
        <v>0</v>
      </c>
      <c r="U48" s="215">
        <v>0</v>
      </c>
      <c r="W48" s="215">
        <v>0</v>
      </c>
      <c r="X48" s="215">
        <v>0</v>
      </c>
      <c r="Y48" s="215">
        <v>0</v>
      </c>
      <c r="Z48" s="215">
        <v>0</v>
      </c>
      <c r="AB48" s="215">
        <v>0</v>
      </c>
      <c r="AC48" s="215">
        <v>0</v>
      </c>
      <c r="AD48" s="215">
        <v>0</v>
      </c>
      <c r="AE48" s="215">
        <v>175</v>
      </c>
      <c r="AF48" s="302"/>
      <c r="AG48" s="215">
        <v>3182</v>
      </c>
      <c r="AH48" s="215">
        <v>2420</v>
      </c>
      <c r="AI48" s="215">
        <v>1389</v>
      </c>
      <c r="AJ48" s="215">
        <v>42</v>
      </c>
      <c r="AK48" s="302"/>
      <c r="AL48" s="215">
        <v>31264</v>
      </c>
      <c r="AM48" s="215">
        <v>16803</v>
      </c>
      <c r="AN48" s="215">
        <v>3182</v>
      </c>
      <c r="AO48" s="215">
        <v>0</v>
      </c>
      <c r="AQ48" s="215">
        <v>0</v>
      </c>
      <c r="AR48" s="215">
        <v>0</v>
      </c>
      <c r="AS48" s="215">
        <v>0</v>
      </c>
      <c r="AT48" s="215">
        <v>727</v>
      </c>
      <c r="AU48" s="302"/>
      <c r="AV48" s="215">
        <v>0</v>
      </c>
    </row>
    <row r="49" spans="1:48" ht="16.5" customHeight="1">
      <c r="B49" s="300" t="s">
        <v>85</v>
      </c>
      <c r="C49" s="215">
        <v>0</v>
      </c>
      <c r="D49" s="300"/>
      <c r="E49" s="215">
        <v>0</v>
      </c>
      <c r="F49" s="215">
        <v>0</v>
      </c>
      <c r="G49" s="215">
        <v>0</v>
      </c>
      <c r="H49" s="215">
        <v>0</v>
      </c>
      <c r="J49" s="215">
        <v>0</v>
      </c>
      <c r="K49" s="215">
        <v>0</v>
      </c>
      <c r="L49" s="215">
        <v>0</v>
      </c>
      <c r="M49" s="215">
        <v>0</v>
      </c>
      <c r="N49" s="215">
        <v>0</v>
      </c>
      <c r="P49" s="215">
        <v>0</v>
      </c>
      <c r="Q49" s="215">
        <v>0</v>
      </c>
      <c r="R49" s="215">
        <v>0</v>
      </c>
      <c r="S49" s="215">
        <v>0</v>
      </c>
      <c r="T49" s="215">
        <v>0</v>
      </c>
      <c r="U49" s="215">
        <v>0</v>
      </c>
      <c r="W49" s="215">
        <v>0</v>
      </c>
      <c r="X49" s="215">
        <v>0</v>
      </c>
      <c r="Y49" s="215">
        <v>0</v>
      </c>
      <c r="Z49" s="215">
        <v>0</v>
      </c>
      <c r="AB49" s="215">
        <v>0</v>
      </c>
      <c r="AC49" s="215">
        <v>0</v>
      </c>
      <c r="AD49" s="215">
        <v>0</v>
      </c>
      <c r="AE49" s="215">
        <v>0</v>
      </c>
      <c r="AF49" s="302"/>
      <c r="AG49" s="215">
        <v>0</v>
      </c>
      <c r="AH49" s="215">
        <v>0</v>
      </c>
      <c r="AI49" s="215">
        <v>0</v>
      </c>
      <c r="AJ49" s="215"/>
      <c r="AK49" s="302"/>
      <c r="AL49" s="215">
        <v>0</v>
      </c>
      <c r="AM49" s="215">
        <v>0</v>
      </c>
      <c r="AN49" s="215">
        <v>0</v>
      </c>
      <c r="AO49" s="215">
        <v>0</v>
      </c>
      <c r="AQ49" s="215">
        <v>0</v>
      </c>
      <c r="AR49" s="215">
        <v>0</v>
      </c>
      <c r="AS49" s="215">
        <v>0</v>
      </c>
      <c r="AT49" s="215">
        <v>0</v>
      </c>
      <c r="AU49" s="302"/>
      <c r="AV49" s="215">
        <v>0</v>
      </c>
    </row>
    <row r="50" spans="1:48" ht="3.75" customHeight="1">
      <c r="B50" s="300"/>
      <c r="C50" s="215"/>
      <c r="D50" s="300"/>
      <c r="E50" s="215"/>
      <c r="F50" s="215"/>
      <c r="G50" s="215"/>
      <c r="H50" s="215"/>
      <c r="J50" s="215"/>
      <c r="K50" s="215"/>
      <c r="L50" s="215"/>
      <c r="M50" s="215"/>
      <c r="N50" s="215"/>
      <c r="P50" s="215"/>
      <c r="Q50" s="215"/>
      <c r="R50" s="215"/>
      <c r="S50" s="215"/>
      <c r="T50" s="215"/>
      <c r="U50" s="215"/>
      <c r="W50" s="215"/>
      <c r="AB50" s="215"/>
      <c r="AF50" s="302"/>
      <c r="AG50" s="215"/>
      <c r="AK50" s="302"/>
      <c r="AL50" s="215"/>
      <c r="AM50" s="397"/>
      <c r="AN50" s="397"/>
      <c r="AO50" s="401"/>
      <c r="AQ50" s="215"/>
      <c r="AR50" s="419"/>
      <c r="AS50" s="419"/>
      <c r="AT50" s="419"/>
      <c r="AU50" s="302"/>
      <c r="AV50" s="419"/>
    </row>
    <row r="51" spans="1:48" ht="20.25" customHeight="1">
      <c r="B51" s="328" t="s">
        <v>56</v>
      </c>
      <c r="C51" s="329">
        <f>+SUM(C38:C49)</f>
        <v>610088</v>
      </c>
      <c r="D51" s="328"/>
      <c r="E51" s="329">
        <f>+SUM(E38:E49)</f>
        <v>929452</v>
      </c>
      <c r="F51" s="329">
        <f>+SUM(F38:F49)</f>
        <v>696929</v>
      </c>
      <c r="G51" s="329">
        <f>+SUM(G38:G49)</f>
        <v>478854</v>
      </c>
      <c r="H51" s="329">
        <f>+SUM(H38:H49)</f>
        <v>206128</v>
      </c>
      <c r="I51" s="34"/>
      <c r="J51" s="329">
        <f>+SUM(J38:J49)</f>
        <v>493179</v>
      </c>
      <c r="K51" s="329">
        <f>+SUM(K38:K49)</f>
        <v>495604</v>
      </c>
      <c r="L51" s="329">
        <f>+SUM(L38:L49)</f>
        <v>409153</v>
      </c>
      <c r="M51" s="329">
        <f>+SUM(M38:M49)</f>
        <v>348347</v>
      </c>
      <c r="N51" s="329">
        <f>+SUM(N38:N49)</f>
        <v>348347</v>
      </c>
      <c r="P51" s="329">
        <f t="shared" ref="P51:U51" si="3">+SUM(P38:P49)</f>
        <v>397199</v>
      </c>
      <c r="Q51" s="329">
        <f t="shared" si="3"/>
        <v>394276</v>
      </c>
      <c r="R51" s="329">
        <f t="shared" si="3"/>
        <v>366896</v>
      </c>
      <c r="S51" s="329">
        <f t="shared" si="3"/>
        <v>366896</v>
      </c>
      <c r="T51" s="329">
        <f t="shared" si="3"/>
        <v>303085</v>
      </c>
      <c r="U51" s="329">
        <f t="shared" si="3"/>
        <v>347565</v>
      </c>
      <c r="W51" s="329">
        <f>+SUM(W38:W49)</f>
        <v>780065</v>
      </c>
      <c r="X51" s="329">
        <f>+SUM(X38:X49)</f>
        <v>448595</v>
      </c>
      <c r="Y51" s="329">
        <f>+SUM(Y38:Y49)</f>
        <v>624371</v>
      </c>
      <c r="Z51" s="329">
        <f>+SUM(Z38:Z49)</f>
        <v>576693</v>
      </c>
      <c r="AB51" s="329">
        <f>+SUM(AB38:AB49)</f>
        <v>489576</v>
      </c>
      <c r="AC51" s="329">
        <f>+SUM(AC38:AC49)</f>
        <v>573360</v>
      </c>
      <c r="AD51" s="329">
        <f>+SUM(AD38:AD49)</f>
        <v>476281</v>
      </c>
      <c r="AE51" s="329">
        <f>+SUM(AE38:AE49)</f>
        <v>392869</v>
      </c>
      <c r="AF51" s="302"/>
      <c r="AG51" s="329">
        <f>+SUM(AG38:AG49)</f>
        <v>613581</v>
      </c>
      <c r="AH51" s="329">
        <f>+SUM(AH38:AH49)</f>
        <v>519583</v>
      </c>
      <c r="AI51" s="329">
        <f>+SUM(AI38:AI49)</f>
        <v>221424</v>
      </c>
      <c r="AJ51" s="329">
        <f>+SUM(AJ38:AJ49)</f>
        <v>176400</v>
      </c>
      <c r="AK51" s="302"/>
      <c r="AL51" s="329">
        <f>+SUM(AL38:AL49)</f>
        <v>455384</v>
      </c>
      <c r="AM51" s="329">
        <f>+SUM(AM38:AM49)</f>
        <v>379026</v>
      </c>
      <c r="AN51" s="329">
        <f>+SUM(AN38:AN49)</f>
        <v>269391</v>
      </c>
      <c r="AO51" s="329">
        <f>+SUM(AO38:AO49)</f>
        <v>176189</v>
      </c>
      <c r="AQ51" s="329">
        <f>+SUM(AQ38:AQ49)</f>
        <v>424320</v>
      </c>
      <c r="AR51" s="329">
        <f>+SUM(AR38:AR49)</f>
        <v>247155</v>
      </c>
      <c r="AS51" s="329">
        <f>+SUM(AS38:AS49)</f>
        <v>184208</v>
      </c>
      <c r="AT51" s="329">
        <f>+SUM(AT38:AT49)</f>
        <v>253979</v>
      </c>
      <c r="AU51" s="302"/>
      <c r="AV51" s="329">
        <f>+SUM(AV38:AV49)</f>
        <v>686352</v>
      </c>
    </row>
    <row r="52" spans="1:48" ht="6" customHeight="1">
      <c r="B52" s="328"/>
      <c r="C52" s="329"/>
      <c r="D52" s="328"/>
      <c r="E52" s="329"/>
      <c r="F52" s="329"/>
      <c r="G52" s="329"/>
      <c r="H52" s="329"/>
      <c r="I52" s="34"/>
      <c r="J52" s="329"/>
      <c r="K52" s="329"/>
      <c r="L52" s="329"/>
      <c r="M52" s="329"/>
      <c r="N52" s="329"/>
      <c r="P52" s="329"/>
      <c r="Q52" s="329"/>
      <c r="R52" s="329"/>
      <c r="S52" s="329"/>
      <c r="T52" s="329"/>
      <c r="U52" s="329"/>
      <c r="W52" s="329"/>
      <c r="AB52" s="329"/>
      <c r="AF52" s="302"/>
      <c r="AG52" s="329"/>
      <c r="AK52" s="302"/>
      <c r="AL52" s="329"/>
      <c r="AM52" s="397"/>
      <c r="AN52" s="397"/>
      <c r="AO52" s="401"/>
      <c r="AQ52" s="329"/>
      <c r="AR52" s="419"/>
      <c r="AS52" s="419"/>
      <c r="AT52" s="419"/>
      <c r="AU52" s="302"/>
      <c r="AV52" s="419"/>
    </row>
    <row r="53" spans="1:48" ht="16.5" customHeight="1">
      <c r="B53" s="303" t="s">
        <v>33</v>
      </c>
      <c r="C53" s="301">
        <v>418952</v>
      </c>
      <c r="D53" s="303"/>
      <c r="E53" s="301">
        <v>418953</v>
      </c>
      <c r="F53" s="301">
        <v>401454</v>
      </c>
      <c r="G53" s="301">
        <v>23955</v>
      </c>
      <c r="H53" s="301">
        <v>23</v>
      </c>
      <c r="J53" s="301">
        <v>24</v>
      </c>
      <c r="K53" s="301">
        <v>550025</v>
      </c>
      <c r="L53" s="301">
        <v>551187</v>
      </c>
      <c r="M53" s="301">
        <v>550028</v>
      </c>
      <c r="N53" s="301">
        <v>550028</v>
      </c>
      <c r="P53" s="301">
        <v>550029</v>
      </c>
      <c r="Q53" s="301">
        <v>550030</v>
      </c>
      <c r="R53" s="301">
        <v>550031</v>
      </c>
      <c r="S53" s="301">
        <v>550031</v>
      </c>
      <c r="T53" s="301">
        <v>550033</v>
      </c>
      <c r="U53" s="301">
        <v>550033</v>
      </c>
      <c r="W53" s="301">
        <v>655035</v>
      </c>
      <c r="X53" s="301">
        <v>865036</v>
      </c>
      <c r="Y53" s="301">
        <v>458038</v>
      </c>
      <c r="Z53" s="301">
        <v>458039</v>
      </c>
      <c r="AB53" s="301">
        <v>738040</v>
      </c>
      <c r="AC53" s="301">
        <v>738043</v>
      </c>
      <c r="AD53" s="301">
        <v>738045</v>
      </c>
      <c r="AE53" s="301">
        <v>738047</v>
      </c>
      <c r="AF53" s="302"/>
      <c r="AG53" s="301">
        <v>658049</v>
      </c>
      <c r="AH53" s="301">
        <v>618552</v>
      </c>
      <c r="AI53" s="301">
        <v>487754</v>
      </c>
      <c r="AJ53" s="301">
        <v>497757</v>
      </c>
      <c r="AK53" s="302"/>
      <c r="AL53" s="301">
        <v>622759</v>
      </c>
      <c r="AM53" s="301">
        <v>647762</v>
      </c>
      <c r="AN53" s="301">
        <v>647765</v>
      </c>
      <c r="AO53" s="301">
        <v>479768</v>
      </c>
      <c r="AQ53" s="301">
        <v>479771</v>
      </c>
      <c r="AR53" s="301">
        <v>479774</v>
      </c>
      <c r="AS53" s="301">
        <v>479777</v>
      </c>
      <c r="AT53" s="301">
        <v>392281</v>
      </c>
      <c r="AU53" s="302"/>
      <c r="AV53" s="301">
        <v>392285</v>
      </c>
    </row>
    <row r="54" spans="1:48" ht="16.5" customHeight="1">
      <c r="B54" s="303" t="s">
        <v>259</v>
      </c>
      <c r="C54" s="301"/>
      <c r="D54" s="303"/>
      <c r="E54" s="301"/>
      <c r="F54" s="301"/>
      <c r="G54" s="301"/>
      <c r="H54" s="301"/>
      <c r="J54" s="301"/>
      <c r="K54" s="301"/>
      <c r="L54" s="301"/>
      <c r="M54" s="301"/>
      <c r="N54" s="301"/>
      <c r="P54" s="301"/>
      <c r="Q54" s="301"/>
      <c r="R54" s="301"/>
      <c r="S54" s="301"/>
      <c r="T54" s="301"/>
      <c r="U54" s="301"/>
      <c r="W54" s="301"/>
      <c r="X54" s="301"/>
      <c r="Y54" s="301"/>
      <c r="Z54" s="301"/>
      <c r="AB54" s="301"/>
      <c r="AC54" s="301"/>
      <c r="AD54" s="301"/>
      <c r="AE54" s="301"/>
      <c r="AF54" s="302"/>
      <c r="AG54" s="379">
        <v>11204</v>
      </c>
      <c r="AH54" s="301">
        <v>12229</v>
      </c>
      <c r="AI54" s="301">
        <v>12230</v>
      </c>
      <c r="AJ54" s="301">
        <v>10264</v>
      </c>
      <c r="AK54" s="302"/>
      <c r="AL54" s="301">
        <v>9311</v>
      </c>
      <c r="AM54" s="301">
        <v>8575</v>
      </c>
      <c r="AN54" s="301">
        <v>8712</v>
      </c>
      <c r="AO54" s="301">
        <v>6763</v>
      </c>
      <c r="AQ54" s="301">
        <v>6836</v>
      </c>
      <c r="AR54" s="301">
        <v>5305</v>
      </c>
      <c r="AS54" s="301">
        <v>5303</v>
      </c>
      <c r="AT54" s="301">
        <v>4679</v>
      </c>
      <c r="AU54" s="302"/>
      <c r="AV54" s="301">
        <v>6946</v>
      </c>
    </row>
    <row r="55" spans="1:48" ht="16.5" customHeight="1">
      <c r="A55" s="302"/>
      <c r="B55" s="300" t="s">
        <v>61</v>
      </c>
      <c r="C55" s="301">
        <v>31474</v>
      </c>
      <c r="D55" s="300"/>
      <c r="E55" s="301">
        <v>4135</v>
      </c>
      <c r="F55" s="301">
        <v>-9705</v>
      </c>
      <c r="G55" s="301">
        <v>997978</v>
      </c>
      <c r="H55" s="301">
        <v>997825</v>
      </c>
      <c r="J55" s="301">
        <v>975442</v>
      </c>
      <c r="K55" s="301">
        <v>997932</v>
      </c>
      <c r="L55" s="301">
        <v>997932</v>
      </c>
      <c r="M55" s="301">
        <v>1006588</v>
      </c>
      <c r="N55" s="301">
        <v>1006588</v>
      </c>
      <c r="P55" s="301">
        <v>997932</v>
      </c>
      <c r="Q55" s="301">
        <v>889749</v>
      </c>
      <c r="R55" s="301">
        <v>766155</v>
      </c>
      <c r="S55" s="301">
        <v>766155</v>
      </c>
      <c r="T55" s="301">
        <v>766243</v>
      </c>
      <c r="U55" s="301">
        <v>766243</v>
      </c>
      <c r="W55" s="301">
        <v>766243</v>
      </c>
      <c r="X55" s="301">
        <v>766243</v>
      </c>
      <c r="Y55" s="301">
        <v>766243</v>
      </c>
      <c r="Z55" s="301">
        <v>769075</v>
      </c>
      <c r="AB55" s="301">
        <v>769075</v>
      </c>
      <c r="AC55" s="301">
        <v>769075</v>
      </c>
      <c r="AD55" s="301">
        <v>769075</v>
      </c>
      <c r="AE55" s="301">
        <v>655517</v>
      </c>
      <c r="AF55" s="302"/>
      <c r="AG55" s="301">
        <v>655517</v>
      </c>
      <c r="AH55" s="301">
        <v>655517</v>
      </c>
      <c r="AI55" s="301">
        <v>1104482</v>
      </c>
      <c r="AJ55" s="301">
        <v>1105207</v>
      </c>
      <c r="AK55" s="302"/>
      <c r="AL55" s="301">
        <v>1105207</v>
      </c>
      <c r="AM55" s="301">
        <v>1104244</v>
      </c>
      <c r="AN55" s="301">
        <v>1104243</v>
      </c>
      <c r="AO55" s="301">
        <v>1125849</v>
      </c>
      <c r="AQ55" s="301">
        <v>1125849</v>
      </c>
      <c r="AR55" s="301">
        <v>1125850</v>
      </c>
      <c r="AS55" s="301">
        <v>1125850</v>
      </c>
      <c r="AT55" s="301">
        <v>1003177</v>
      </c>
      <c r="AU55" s="302"/>
      <c r="AV55" s="301">
        <v>1003178</v>
      </c>
    </row>
    <row r="56" spans="1:48" ht="16.5" customHeight="1">
      <c r="A56" s="302"/>
      <c r="B56" s="300" t="s">
        <v>134</v>
      </c>
      <c r="C56" s="301">
        <v>119193</v>
      </c>
      <c r="D56" s="300"/>
      <c r="E56" s="301">
        <v>172089</v>
      </c>
      <c r="F56" s="301">
        <v>165726</v>
      </c>
      <c r="G56" s="301">
        <v>170973</v>
      </c>
      <c r="H56" s="301">
        <v>109859</v>
      </c>
      <c r="J56" s="215">
        <v>161794</v>
      </c>
      <c r="K56" s="301">
        <v>148819</v>
      </c>
      <c r="L56" s="301">
        <v>140849</v>
      </c>
      <c r="M56" s="301">
        <v>119431</v>
      </c>
      <c r="N56" s="301">
        <v>132852</v>
      </c>
      <c r="P56" s="301">
        <v>115271</v>
      </c>
      <c r="Q56" s="301">
        <v>121450</v>
      </c>
      <c r="R56" s="301">
        <v>136493</v>
      </c>
      <c r="S56" s="301">
        <v>149914</v>
      </c>
      <c r="T56" s="301">
        <v>132865</v>
      </c>
      <c r="U56" s="301">
        <v>176657</v>
      </c>
      <c r="W56" s="301">
        <v>132295</v>
      </c>
      <c r="X56" s="301">
        <v>127688</v>
      </c>
      <c r="Y56" s="301">
        <v>142173</v>
      </c>
      <c r="Z56" s="301">
        <v>162692</v>
      </c>
      <c r="AB56" s="301">
        <v>164054</v>
      </c>
      <c r="AC56" s="301">
        <v>167688</v>
      </c>
      <c r="AD56" s="301">
        <v>167150</v>
      </c>
      <c r="AE56" s="301">
        <v>182086</v>
      </c>
      <c r="AF56" s="302"/>
      <c r="AG56" s="301">
        <v>182575</v>
      </c>
      <c r="AH56" s="301">
        <v>187680</v>
      </c>
      <c r="AI56" s="301">
        <v>196794</v>
      </c>
      <c r="AJ56" s="301">
        <v>195402</v>
      </c>
      <c r="AK56" s="302"/>
      <c r="AL56" s="301">
        <v>194569</v>
      </c>
      <c r="AM56" s="301">
        <v>199221</v>
      </c>
      <c r="AN56" s="301">
        <v>203807</v>
      </c>
      <c r="AO56" s="301">
        <v>207369</v>
      </c>
      <c r="AQ56" s="301">
        <v>209350</v>
      </c>
      <c r="AR56" s="301">
        <v>201896</v>
      </c>
      <c r="AS56" s="301">
        <v>198784</v>
      </c>
      <c r="AT56" s="301">
        <v>185302</v>
      </c>
      <c r="AU56" s="302"/>
      <c r="AV56" s="301">
        <v>185404</v>
      </c>
    </row>
    <row r="57" spans="1:48" ht="16.5" customHeight="1">
      <c r="A57" s="302"/>
      <c r="B57" s="300" t="s">
        <v>132</v>
      </c>
      <c r="C57" s="215">
        <v>0</v>
      </c>
      <c r="D57" s="300"/>
      <c r="E57" s="215">
        <v>0</v>
      </c>
      <c r="F57" s="215">
        <v>0</v>
      </c>
      <c r="G57" s="215">
        <v>0</v>
      </c>
      <c r="H57" s="215">
        <v>0</v>
      </c>
      <c r="J57" s="215">
        <v>0</v>
      </c>
      <c r="K57" s="215">
        <v>0</v>
      </c>
      <c r="L57" s="215">
        <v>0</v>
      </c>
      <c r="M57" s="215">
        <v>0</v>
      </c>
      <c r="N57" s="215">
        <v>0</v>
      </c>
      <c r="P57" s="215">
        <v>0</v>
      </c>
      <c r="Q57" s="215">
        <v>0</v>
      </c>
      <c r="R57" s="215">
        <v>0</v>
      </c>
      <c r="S57" s="215">
        <v>0</v>
      </c>
      <c r="T57" s="215">
        <v>0</v>
      </c>
      <c r="U57" s="215">
        <v>0</v>
      </c>
      <c r="W57" s="215">
        <v>0</v>
      </c>
      <c r="X57" s="215">
        <v>0</v>
      </c>
      <c r="Y57" s="215">
        <v>0</v>
      </c>
      <c r="Z57" s="215">
        <v>0</v>
      </c>
      <c r="AB57" s="215">
        <v>0</v>
      </c>
      <c r="AC57" s="215">
        <v>0</v>
      </c>
      <c r="AD57" s="215">
        <v>0</v>
      </c>
      <c r="AE57" s="215">
        <v>0</v>
      </c>
      <c r="AF57" s="302"/>
      <c r="AG57" s="215">
        <v>0</v>
      </c>
      <c r="AH57" s="215">
        <v>0</v>
      </c>
      <c r="AI57" s="215">
        <v>0</v>
      </c>
      <c r="AJ57" s="215">
        <v>0</v>
      </c>
      <c r="AK57" s="302"/>
      <c r="AL57" s="215">
        <v>0</v>
      </c>
      <c r="AM57" s="215">
        <v>0</v>
      </c>
      <c r="AN57" s="215">
        <v>0</v>
      </c>
      <c r="AO57" s="215">
        <v>0</v>
      </c>
      <c r="AQ57" s="215">
        <v>0</v>
      </c>
      <c r="AR57" s="215">
        <v>0</v>
      </c>
      <c r="AS57" s="215">
        <v>0</v>
      </c>
      <c r="AT57" s="215">
        <v>0</v>
      </c>
      <c r="AU57" s="302"/>
      <c r="AV57" s="215">
        <v>0</v>
      </c>
    </row>
    <row r="58" spans="1:48" ht="16.5" customHeight="1">
      <c r="B58" s="303" t="s">
        <v>42</v>
      </c>
      <c r="C58" s="301">
        <v>8285</v>
      </c>
      <c r="D58" s="303"/>
      <c r="E58" s="301">
        <v>6890</v>
      </c>
      <c r="F58" s="301">
        <v>6890</v>
      </c>
      <c r="G58" s="301">
        <v>6890</v>
      </c>
      <c r="H58" s="301">
        <v>8406</v>
      </c>
      <c r="J58" s="301">
        <v>6890</v>
      </c>
      <c r="K58" s="301">
        <v>6890</v>
      </c>
      <c r="L58" s="301">
        <v>6891</v>
      </c>
      <c r="M58" s="215">
        <v>0</v>
      </c>
      <c r="N58" s="215">
        <v>0</v>
      </c>
      <c r="P58" s="301">
        <v>8656</v>
      </c>
      <c r="Q58" s="301">
        <v>8656</v>
      </c>
      <c r="R58" s="215">
        <v>0</v>
      </c>
      <c r="S58" s="215">
        <v>0</v>
      </c>
      <c r="T58" s="215">
        <v>0</v>
      </c>
      <c r="U58" s="215">
        <v>0</v>
      </c>
      <c r="W58" s="215">
        <v>0</v>
      </c>
      <c r="X58" s="215">
        <v>0</v>
      </c>
      <c r="Y58" s="215">
        <v>0</v>
      </c>
      <c r="Z58" s="215">
        <v>0</v>
      </c>
      <c r="AB58" s="215">
        <v>0</v>
      </c>
      <c r="AC58" s="215">
        <v>0</v>
      </c>
      <c r="AD58" s="215">
        <v>0</v>
      </c>
      <c r="AE58" s="215">
        <v>0</v>
      </c>
      <c r="AF58" s="302"/>
      <c r="AG58" s="215">
        <v>0</v>
      </c>
      <c r="AH58" s="215">
        <v>0</v>
      </c>
      <c r="AI58" s="215">
        <v>0</v>
      </c>
      <c r="AJ58" s="215">
        <v>0</v>
      </c>
      <c r="AK58" s="302"/>
      <c r="AL58" s="215">
        <v>0</v>
      </c>
      <c r="AM58" s="215">
        <v>0</v>
      </c>
      <c r="AN58" s="215">
        <v>0</v>
      </c>
      <c r="AO58" s="215">
        <v>0</v>
      </c>
      <c r="AQ58" s="215">
        <v>0</v>
      </c>
      <c r="AR58" s="215">
        <v>0</v>
      </c>
      <c r="AS58" s="215">
        <v>0</v>
      </c>
      <c r="AT58" s="215">
        <v>0</v>
      </c>
      <c r="AU58" s="302"/>
      <c r="AV58" s="215">
        <v>0</v>
      </c>
    </row>
    <row r="59" spans="1:48" ht="16.5" customHeight="1">
      <c r="B59" s="327" t="s">
        <v>194</v>
      </c>
      <c r="C59" s="336">
        <v>16480</v>
      </c>
      <c r="D59" s="338"/>
      <c r="E59" s="265">
        <v>16695</v>
      </c>
      <c r="F59" s="336">
        <v>17131</v>
      </c>
      <c r="G59" s="336">
        <v>18081</v>
      </c>
      <c r="H59" s="336">
        <v>23744</v>
      </c>
      <c r="I59" s="337"/>
      <c r="J59" s="265">
        <v>23804</v>
      </c>
      <c r="K59" s="336">
        <v>24732</v>
      </c>
      <c r="L59" s="336">
        <v>26552</v>
      </c>
      <c r="M59" s="336">
        <v>6819</v>
      </c>
      <c r="N59" s="336">
        <v>6819</v>
      </c>
      <c r="O59" s="337"/>
      <c r="P59" s="336">
        <v>6819</v>
      </c>
      <c r="Q59" s="265">
        <f>1600+6819</f>
        <v>8419</v>
      </c>
      <c r="R59" s="265">
        <f>2840+6819</f>
        <v>9659</v>
      </c>
      <c r="S59" s="265">
        <v>9659</v>
      </c>
      <c r="T59" s="265">
        <v>13075</v>
      </c>
      <c r="U59" s="265">
        <v>13075</v>
      </c>
      <c r="W59" s="265">
        <v>13075</v>
      </c>
      <c r="X59" s="265">
        <v>13075</v>
      </c>
      <c r="Y59" s="265">
        <v>13075</v>
      </c>
      <c r="Z59" s="265">
        <v>11908</v>
      </c>
      <c r="AB59" s="265">
        <v>11735</v>
      </c>
      <c r="AC59" s="265">
        <v>11062</v>
      </c>
      <c r="AD59" s="265">
        <v>9389</v>
      </c>
      <c r="AE59" s="265">
        <v>1865</v>
      </c>
      <c r="AF59" s="302"/>
      <c r="AG59" s="265">
        <v>1691</v>
      </c>
      <c r="AH59" s="265">
        <v>0</v>
      </c>
      <c r="AI59" s="265"/>
      <c r="AJ59" s="265">
        <v>2785</v>
      </c>
      <c r="AK59" s="302"/>
      <c r="AL59" s="265">
        <v>2785</v>
      </c>
      <c r="AM59" s="265">
        <v>2785</v>
      </c>
      <c r="AN59" s="265">
        <v>2785</v>
      </c>
      <c r="AO59" s="265">
        <v>2760</v>
      </c>
      <c r="AQ59" s="265">
        <v>2760</v>
      </c>
      <c r="AR59" s="265">
        <v>2760</v>
      </c>
      <c r="AS59" s="265">
        <v>2760</v>
      </c>
      <c r="AT59" s="265">
        <v>2122</v>
      </c>
      <c r="AU59" s="302"/>
      <c r="AV59" s="265">
        <v>2122</v>
      </c>
    </row>
    <row r="60" spans="1:48" ht="16.5" customHeight="1">
      <c r="B60" s="338" t="s">
        <v>133</v>
      </c>
      <c r="C60" s="265">
        <v>0</v>
      </c>
      <c r="D60" s="338"/>
      <c r="E60" s="265">
        <v>0</v>
      </c>
      <c r="F60" s="265">
        <v>0</v>
      </c>
      <c r="G60" s="265">
        <v>0</v>
      </c>
      <c r="H60" s="265">
        <v>0</v>
      </c>
      <c r="I60" s="337"/>
      <c r="J60" s="265">
        <v>0</v>
      </c>
      <c r="K60" s="265">
        <v>0</v>
      </c>
      <c r="L60" s="265">
        <v>0</v>
      </c>
      <c r="M60" s="265">
        <v>0</v>
      </c>
      <c r="N60" s="265">
        <v>0</v>
      </c>
      <c r="O60" s="337"/>
      <c r="P60" s="265">
        <v>0</v>
      </c>
      <c r="Q60" s="265">
        <v>0</v>
      </c>
      <c r="R60" s="265">
        <v>0</v>
      </c>
      <c r="S60" s="265">
        <v>0</v>
      </c>
      <c r="T60" s="265">
        <v>0</v>
      </c>
      <c r="U60" s="265">
        <v>0</v>
      </c>
      <c r="W60" s="265">
        <v>0</v>
      </c>
      <c r="X60" s="265">
        <v>0</v>
      </c>
      <c r="Y60" s="265">
        <v>0</v>
      </c>
      <c r="Z60" s="265">
        <v>0</v>
      </c>
      <c r="AB60" s="265">
        <v>0</v>
      </c>
      <c r="AC60" s="265">
        <v>0</v>
      </c>
      <c r="AD60" s="265">
        <v>0</v>
      </c>
      <c r="AE60" s="265">
        <v>0</v>
      </c>
      <c r="AF60" s="302"/>
      <c r="AG60" s="265">
        <v>0</v>
      </c>
      <c r="AH60" s="265">
        <v>0</v>
      </c>
      <c r="AI60" s="265">
        <v>0</v>
      </c>
      <c r="AJ60" s="265">
        <v>0</v>
      </c>
      <c r="AK60" s="302"/>
      <c r="AL60" s="265">
        <v>0</v>
      </c>
      <c r="AM60" s="265">
        <v>0</v>
      </c>
      <c r="AN60" s="265">
        <v>0</v>
      </c>
      <c r="AO60" s="265">
        <v>0</v>
      </c>
      <c r="AQ60" s="265">
        <v>0</v>
      </c>
      <c r="AR60" s="265">
        <v>0</v>
      </c>
      <c r="AS60" s="265">
        <v>0</v>
      </c>
      <c r="AT60" s="265">
        <v>0</v>
      </c>
      <c r="AU60" s="302"/>
      <c r="AV60" s="265"/>
    </row>
    <row r="61" spans="1:48" ht="16.5" customHeight="1">
      <c r="B61" s="303" t="s">
        <v>136</v>
      </c>
      <c r="C61" s="215">
        <v>0</v>
      </c>
      <c r="D61" s="303"/>
      <c r="E61" s="215">
        <v>0</v>
      </c>
      <c r="F61" s="215">
        <v>0</v>
      </c>
      <c r="G61" s="215">
        <v>0</v>
      </c>
      <c r="H61" s="215">
        <v>0</v>
      </c>
      <c r="J61" s="215">
        <v>0</v>
      </c>
      <c r="K61" s="215">
        <v>0</v>
      </c>
      <c r="L61" s="215">
        <v>0</v>
      </c>
      <c r="M61" s="215">
        <v>0</v>
      </c>
      <c r="N61" s="215">
        <v>0</v>
      </c>
      <c r="P61" s="215">
        <v>0</v>
      </c>
      <c r="Q61" s="215">
        <v>0</v>
      </c>
      <c r="R61" s="215">
        <v>0</v>
      </c>
      <c r="S61" s="215">
        <v>0</v>
      </c>
      <c r="T61" s="215">
        <v>0</v>
      </c>
      <c r="U61" s="215">
        <v>0</v>
      </c>
      <c r="W61" s="215">
        <v>0</v>
      </c>
      <c r="X61" s="215">
        <v>0</v>
      </c>
      <c r="Y61" s="215">
        <v>0</v>
      </c>
      <c r="Z61" s="215">
        <v>0</v>
      </c>
      <c r="AB61" s="215">
        <v>0</v>
      </c>
      <c r="AC61" s="215">
        <v>0</v>
      </c>
      <c r="AD61" s="215">
        <v>0</v>
      </c>
      <c r="AE61" s="215">
        <v>85</v>
      </c>
      <c r="AF61" s="302"/>
      <c r="AG61" s="215">
        <v>74</v>
      </c>
      <c r="AH61" s="215">
        <v>0</v>
      </c>
      <c r="AI61" s="215">
        <v>0</v>
      </c>
      <c r="AJ61" s="215">
        <v>0</v>
      </c>
      <c r="AK61" s="302"/>
      <c r="AL61" s="215">
        <v>0</v>
      </c>
      <c r="AM61" s="215">
        <v>0</v>
      </c>
      <c r="AN61" s="215">
        <v>0</v>
      </c>
      <c r="AO61" s="215">
        <v>0</v>
      </c>
      <c r="AQ61" s="215">
        <v>0</v>
      </c>
      <c r="AR61" s="215">
        <v>0</v>
      </c>
      <c r="AS61" s="215">
        <v>0</v>
      </c>
      <c r="AT61" s="215">
        <v>921</v>
      </c>
      <c r="AU61" s="302"/>
      <c r="AV61" s="215">
        <v>327</v>
      </c>
    </row>
    <row r="62" spans="1:48" ht="16.5" customHeight="1">
      <c r="A62" s="302"/>
      <c r="B62" s="16" t="s">
        <v>271</v>
      </c>
      <c r="C62" s="215">
        <v>0</v>
      </c>
      <c r="D62" s="303"/>
      <c r="E62" s="215">
        <v>0</v>
      </c>
      <c r="F62" s="301">
        <f>53595-1</f>
        <v>53594</v>
      </c>
      <c r="G62" s="301">
        <v>-53594</v>
      </c>
      <c r="H62" s="215">
        <v>0</v>
      </c>
      <c r="J62" s="215">
        <v>0</v>
      </c>
      <c r="K62" s="215">
        <v>0</v>
      </c>
      <c r="L62" s="215">
        <v>0</v>
      </c>
      <c r="M62" s="215">
        <v>0</v>
      </c>
      <c r="N62" s="215">
        <v>0</v>
      </c>
      <c r="P62" s="215">
        <v>0</v>
      </c>
      <c r="Q62" s="215">
        <v>0</v>
      </c>
      <c r="R62" s="215">
        <v>0</v>
      </c>
      <c r="S62" s="215">
        <v>0</v>
      </c>
      <c r="T62" s="215">
        <v>0</v>
      </c>
      <c r="U62" s="215">
        <v>0</v>
      </c>
      <c r="W62" s="215">
        <v>0</v>
      </c>
      <c r="X62" s="215">
        <v>0</v>
      </c>
      <c r="Y62" s="215">
        <v>0</v>
      </c>
      <c r="Z62" s="215">
        <v>0</v>
      </c>
      <c r="AB62" s="215">
        <v>0</v>
      </c>
      <c r="AC62" s="215">
        <v>0</v>
      </c>
      <c r="AD62" s="215">
        <v>0</v>
      </c>
      <c r="AE62" s="215">
        <v>0</v>
      </c>
      <c r="AF62" s="302"/>
      <c r="AG62" s="215">
        <v>0</v>
      </c>
      <c r="AH62" s="215">
        <v>0</v>
      </c>
      <c r="AI62" s="215">
        <v>0</v>
      </c>
      <c r="AJ62" s="215">
        <v>0</v>
      </c>
      <c r="AK62" s="302"/>
      <c r="AL62" s="215">
        <v>0</v>
      </c>
      <c r="AM62" s="215">
        <v>0</v>
      </c>
      <c r="AN62" s="215">
        <v>0</v>
      </c>
      <c r="AO62" s="215">
        <v>0</v>
      </c>
      <c r="AQ62" s="215">
        <v>0</v>
      </c>
      <c r="AR62" s="215">
        <v>0</v>
      </c>
      <c r="AS62" s="215">
        <v>0</v>
      </c>
      <c r="AT62" s="215">
        <v>0</v>
      </c>
      <c r="AU62" s="302"/>
      <c r="AV62" s="215">
        <v>7949</v>
      </c>
    </row>
    <row r="63" spans="1:48" ht="12" customHeight="1">
      <c r="B63" s="303"/>
      <c r="C63" s="301"/>
      <c r="D63" s="303"/>
      <c r="E63" s="301"/>
      <c r="F63" s="301"/>
      <c r="G63" s="301"/>
      <c r="H63" s="301"/>
      <c r="J63" s="301"/>
      <c r="K63" s="301"/>
      <c r="L63" s="301"/>
      <c r="M63" s="301"/>
      <c r="N63" s="301"/>
      <c r="P63" s="301"/>
      <c r="Q63" s="301"/>
      <c r="R63" s="301"/>
      <c r="S63" s="301"/>
      <c r="T63" s="301"/>
      <c r="U63" s="301"/>
      <c r="W63" s="301"/>
      <c r="AB63" s="301"/>
      <c r="AF63" s="302"/>
      <c r="AG63" s="301"/>
      <c r="AK63" s="302"/>
      <c r="AL63" s="301"/>
      <c r="AM63" s="397"/>
      <c r="AN63" s="397"/>
      <c r="AO63" s="401"/>
      <c r="AQ63" s="301"/>
      <c r="AR63" s="419"/>
      <c r="AS63" s="419"/>
      <c r="AT63" s="419"/>
      <c r="AU63" s="302"/>
      <c r="AV63" s="419"/>
    </row>
    <row r="64" spans="1:48" ht="13">
      <c r="B64" s="328" t="s">
        <v>57</v>
      </c>
      <c r="C64" s="329">
        <f>SUM(C53:C63)</f>
        <v>594384</v>
      </c>
      <c r="D64" s="328"/>
      <c r="E64" s="329">
        <f>SUM(E53:E63)</f>
        <v>618762</v>
      </c>
      <c r="F64" s="329">
        <f>SUM(F53:F63)</f>
        <v>635090</v>
      </c>
      <c r="G64" s="329">
        <f>SUM(G53:G63)</f>
        <v>1164283</v>
      </c>
      <c r="H64" s="329">
        <f>SUM(H53:H63)</f>
        <v>1139857</v>
      </c>
      <c r="I64" s="34"/>
      <c r="J64" s="329">
        <f>SUM(J53:J63)</f>
        <v>1167954</v>
      </c>
      <c r="K64" s="329">
        <f>SUM(K53:K63)</f>
        <v>1728398</v>
      </c>
      <c r="L64" s="329">
        <f>SUM(L53:L63)</f>
        <v>1723411</v>
      </c>
      <c r="M64" s="329">
        <f>SUM(M53:M63)</f>
        <v>1682866</v>
      </c>
      <c r="N64" s="329">
        <f>SUM(N53:N63)</f>
        <v>1696287</v>
      </c>
      <c r="P64" s="329">
        <f>SUM(P53:P63)</f>
        <v>1678707</v>
      </c>
      <c r="Q64" s="329">
        <f>SUM(Q53:Q63)</f>
        <v>1578304</v>
      </c>
      <c r="R64" s="329">
        <f>SUM(R53:R63)</f>
        <v>1462338</v>
      </c>
      <c r="S64" s="329">
        <f>SUM(S53:S63)</f>
        <v>1475759</v>
      </c>
      <c r="T64" s="329">
        <f>SUM(T53:T63)</f>
        <v>1462216</v>
      </c>
      <c r="U64" s="329">
        <f>SUM(U53:U63)</f>
        <v>1506008</v>
      </c>
      <c r="W64" s="329">
        <f>SUM(W53:W63)</f>
        <v>1566648</v>
      </c>
      <c r="X64" s="329">
        <f>SUM(X53:X63)</f>
        <v>1772042</v>
      </c>
      <c r="Y64" s="329">
        <f>SUM(Y53:Y63)</f>
        <v>1379529</v>
      </c>
      <c r="Z64" s="329">
        <f>SUM(Z53:Z63)</f>
        <v>1401714</v>
      </c>
      <c r="AB64" s="329">
        <f>SUM(AB53:AB63)</f>
        <v>1682904</v>
      </c>
      <c r="AC64" s="329">
        <f>SUM(AC53:AC63)</f>
        <v>1685868</v>
      </c>
      <c r="AD64" s="329">
        <f>SUM(AD53:AD63)</f>
        <v>1683659</v>
      </c>
      <c r="AE64" s="329">
        <f>SUM(AE53:AE63)</f>
        <v>1577600</v>
      </c>
      <c r="AF64" s="302"/>
      <c r="AG64" s="329">
        <f>SUM(AG53:AG63)</f>
        <v>1509110</v>
      </c>
      <c r="AH64" s="329">
        <f>SUM(AH53:AH63)</f>
        <v>1473978</v>
      </c>
      <c r="AI64" s="329">
        <f>SUM(AI53:AI63)</f>
        <v>1801260</v>
      </c>
      <c r="AJ64" s="329">
        <f>SUM(AJ53:AJ63)</f>
        <v>1811415</v>
      </c>
      <c r="AK64" s="302"/>
      <c r="AL64" s="329">
        <f>SUM(AL53:AL63)</f>
        <v>1934631</v>
      </c>
      <c r="AM64" s="329">
        <f>SUM(AM53:AM63)</f>
        <v>1962587</v>
      </c>
      <c r="AN64" s="329">
        <f>SUM(AN53:AN63)</f>
        <v>1967312</v>
      </c>
      <c r="AO64" s="329">
        <f>SUM(AO53:AO63)</f>
        <v>1822509</v>
      </c>
      <c r="AQ64" s="329">
        <f>SUM(AQ53:AQ63)</f>
        <v>1824566</v>
      </c>
      <c r="AR64" s="329">
        <f>SUM(AR53:AR63)</f>
        <v>1815585</v>
      </c>
      <c r="AS64" s="329">
        <f>SUM(AS53:AS63)</f>
        <v>1812474</v>
      </c>
      <c r="AT64" s="329">
        <f>SUM(AT53:AT63)</f>
        <v>1588482</v>
      </c>
      <c r="AU64" s="302"/>
      <c r="AV64" s="329">
        <f>SUM(AV53:AV63)</f>
        <v>1598211</v>
      </c>
    </row>
    <row r="65" spans="2:48">
      <c r="B65" s="303"/>
      <c r="C65" s="301"/>
      <c r="D65" s="303"/>
      <c r="E65" s="301"/>
      <c r="F65" s="301"/>
      <c r="G65" s="301"/>
      <c r="H65" s="301"/>
      <c r="J65" s="301"/>
      <c r="K65" s="301"/>
      <c r="L65" s="301"/>
      <c r="M65" s="301"/>
      <c r="N65" s="301"/>
      <c r="P65" s="301"/>
      <c r="Q65" s="301"/>
      <c r="R65" s="301"/>
      <c r="S65" s="301"/>
      <c r="T65" s="301"/>
      <c r="U65" s="301"/>
      <c r="W65" s="301"/>
      <c r="AB65" s="301"/>
      <c r="AF65" s="302"/>
      <c r="AG65" s="301"/>
      <c r="AK65" s="302"/>
      <c r="AL65" s="301"/>
      <c r="AM65" s="397"/>
      <c r="AN65" s="397"/>
      <c r="AO65" s="401"/>
      <c r="AQ65" s="301"/>
      <c r="AR65" s="419"/>
      <c r="AS65" s="419"/>
      <c r="AT65" s="419"/>
      <c r="AU65" s="302"/>
      <c r="AV65" s="419"/>
    </row>
    <row r="66" spans="2:48" ht="20.25" customHeight="1">
      <c r="B66" s="330" t="s">
        <v>58</v>
      </c>
      <c r="C66" s="331">
        <f>+C51+C64</f>
        <v>1204472</v>
      </c>
      <c r="D66" s="328"/>
      <c r="E66" s="331">
        <f>+E51+E64</f>
        <v>1548214</v>
      </c>
      <c r="F66" s="331">
        <f>+F51+F64</f>
        <v>1332019</v>
      </c>
      <c r="G66" s="331">
        <f>+G51+G64</f>
        <v>1643137</v>
      </c>
      <c r="H66" s="331">
        <f>+H51+H64</f>
        <v>1345985</v>
      </c>
      <c r="J66" s="331">
        <f>+J51+J64</f>
        <v>1661133</v>
      </c>
      <c r="K66" s="331">
        <f>+K51+K64</f>
        <v>2224002</v>
      </c>
      <c r="L66" s="331">
        <f>+L51+L64</f>
        <v>2132564</v>
      </c>
      <c r="M66" s="331">
        <f>+M51+M64</f>
        <v>2031213</v>
      </c>
      <c r="N66" s="331">
        <f>+N51+N64</f>
        <v>2044634</v>
      </c>
      <c r="P66" s="331">
        <f>+P51+P64</f>
        <v>2075906</v>
      </c>
      <c r="Q66" s="331">
        <f>+Q51+Q64</f>
        <v>1972580</v>
      </c>
      <c r="R66" s="331">
        <f>+R51+R64</f>
        <v>1829234</v>
      </c>
      <c r="S66" s="331">
        <f>+S51+S64</f>
        <v>1842655</v>
      </c>
      <c r="T66" s="331">
        <f>+T51+T64</f>
        <v>1765301</v>
      </c>
      <c r="U66" s="331">
        <f>+U51+U64</f>
        <v>1853573</v>
      </c>
      <c r="W66" s="331">
        <f>+W51+W64</f>
        <v>2346713</v>
      </c>
      <c r="X66" s="331">
        <f>+X51+X64</f>
        <v>2220637</v>
      </c>
      <c r="Y66" s="331">
        <f>+Y51+Y64</f>
        <v>2003900</v>
      </c>
      <c r="Z66" s="331">
        <f>+Z51+Z64</f>
        <v>1978407</v>
      </c>
      <c r="AB66" s="331">
        <f>+AB51+AB64</f>
        <v>2172480</v>
      </c>
      <c r="AC66" s="331">
        <f>+AC51+AC64</f>
        <v>2259228</v>
      </c>
      <c r="AD66" s="331">
        <f>+AD51+AD64</f>
        <v>2159940</v>
      </c>
      <c r="AE66" s="331">
        <f>+AE51+AE64</f>
        <v>1970469</v>
      </c>
      <c r="AF66" s="302"/>
      <c r="AG66" s="331">
        <f>+AG51+AG64</f>
        <v>2122691</v>
      </c>
      <c r="AH66" s="331">
        <f>+AH51+AH64</f>
        <v>1993561</v>
      </c>
      <c r="AI66" s="331">
        <f>+AI51+AI64</f>
        <v>2022684</v>
      </c>
      <c r="AJ66" s="331">
        <f>+AJ51+AJ64</f>
        <v>1987815</v>
      </c>
      <c r="AK66" s="302"/>
      <c r="AL66" s="331">
        <f>+AL51+AL64</f>
        <v>2390015</v>
      </c>
      <c r="AM66" s="331">
        <f>+AM51+AM64</f>
        <v>2341613</v>
      </c>
      <c r="AN66" s="331">
        <f>+AN51+AN64</f>
        <v>2236703</v>
      </c>
      <c r="AO66" s="331">
        <f>+AO51+AO64</f>
        <v>1998698</v>
      </c>
      <c r="AQ66" s="331">
        <f>+AQ51+AQ64</f>
        <v>2248886</v>
      </c>
      <c r="AR66" s="331">
        <f>+AR51+AR64</f>
        <v>2062740</v>
      </c>
      <c r="AS66" s="331">
        <f>+AS51+AS64</f>
        <v>1996682</v>
      </c>
      <c r="AT66" s="331">
        <f>+AT51+AT64</f>
        <v>1842461</v>
      </c>
      <c r="AU66" s="302"/>
      <c r="AV66" s="331">
        <f>+AV51+AV64</f>
        <v>2284563</v>
      </c>
    </row>
    <row r="67" spans="2:48" ht="20.25" customHeight="1">
      <c r="B67" s="332" t="s">
        <v>48</v>
      </c>
      <c r="C67" s="333">
        <v>625.10548413715799</v>
      </c>
      <c r="D67" s="334"/>
      <c r="E67" s="333">
        <v>787.76687765860015</v>
      </c>
      <c r="F67" s="333">
        <v>708.07254982218694</v>
      </c>
      <c r="G67" s="333">
        <v>810.03362123363308</v>
      </c>
      <c r="H67" s="333">
        <v>562.59456793426011</v>
      </c>
      <c r="J67" s="333">
        <v>644.83725082975866</v>
      </c>
      <c r="K67" s="333">
        <v>860.31232713501549</v>
      </c>
      <c r="L67" s="333">
        <v>683.08936110239142</v>
      </c>
      <c r="M67" s="333">
        <v>644.93803719355958</v>
      </c>
      <c r="N67" s="333">
        <v>649.19938910356348</v>
      </c>
      <c r="P67" s="333">
        <v>686.85162208215468</v>
      </c>
      <c r="Q67" s="333">
        <v>676.43296812578228</v>
      </c>
      <c r="R67" s="333">
        <v>635.16172155766594</v>
      </c>
      <c r="S67" s="333">
        <v>640</v>
      </c>
      <c r="T67" s="333">
        <f>+T66/3000.71</f>
        <v>588.29443698324724</v>
      </c>
      <c r="U67" s="333">
        <v>617.71147495092828</v>
      </c>
      <c r="W67" s="333">
        <v>814.7630058606228</v>
      </c>
      <c r="X67" s="333">
        <v>731</v>
      </c>
      <c r="Y67" s="333">
        <v>682</v>
      </c>
      <c r="Z67" s="333">
        <f>+Z66/2984</f>
        <v>663.00502680965144</v>
      </c>
      <c r="AB67" s="333">
        <f>+AB66/2780.47</f>
        <v>781.33552960470718</v>
      </c>
      <c r="AC67" s="333">
        <f>+AC66/2930.8</f>
        <v>770.85710386242658</v>
      </c>
      <c r="AD67" s="333">
        <f>+AD66/2972.18</f>
        <v>726.71910853313057</v>
      </c>
      <c r="AE67" s="333">
        <f>+AE66/3249.75</f>
        <v>606.34479575351952</v>
      </c>
      <c r="AF67" s="302"/>
      <c r="AG67" s="333">
        <f>+AG66/3174.79</f>
        <v>668.60831740052095</v>
      </c>
      <c r="AH67" s="333">
        <f>+AH66/3205.67</f>
        <v>621.88590840604297</v>
      </c>
      <c r="AI67" s="333">
        <f>+AI66/3462.01</f>
        <v>584.25134531673791</v>
      </c>
      <c r="AJ67" s="333">
        <f>+AJ66/3277.14</f>
        <v>606.57005803841162</v>
      </c>
      <c r="AK67" s="302"/>
      <c r="AL67" s="333">
        <f>+AL66/4064.81</f>
        <v>587.97705181792014</v>
      </c>
      <c r="AM67" s="333">
        <f>+AM66/3758.91</f>
        <v>622.95000412353579</v>
      </c>
      <c r="AN67" s="333">
        <f>+AN66/3878.94</f>
        <v>576.62737758253547</v>
      </c>
      <c r="AO67" s="333">
        <f>+AO66/3432.5</f>
        <v>582.28638018936635</v>
      </c>
      <c r="AQ67" s="333">
        <f>+AQ66/3736.91</f>
        <v>601.80362920166669</v>
      </c>
      <c r="AR67" s="333">
        <f>+AR66/3756.67</f>
        <v>549.08735662168885</v>
      </c>
      <c r="AS67" s="333">
        <f>+AS66/3834.68</f>
        <v>520.69064433016581</v>
      </c>
      <c r="AT67" s="333">
        <f>+AT66/3981.16</f>
        <v>462.79501451838161</v>
      </c>
      <c r="AU67" s="302"/>
      <c r="AV67" s="333">
        <f>+AV66/3748.15</f>
        <v>609.51749529768017</v>
      </c>
    </row>
    <row r="68" spans="2:48" ht="12" customHeight="1">
      <c r="B68" s="309"/>
      <c r="C68" s="310"/>
      <c r="D68" s="309"/>
      <c r="E68" s="310"/>
      <c r="F68" s="310"/>
      <c r="G68" s="310"/>
      <c r="H68" s="310"/>
      <c r="J68" s="310"/>
      <c r="K68" s="310"/>
      <c r="L68" s="310"/>
      <c r="M68" s="310"/>
      <c r="N68" s="310"/>
      <c r="P68" s="310"/>
      <c r="Q68" s="310"/>
      <c r="R68" s="310"/>
      <c r="S68" s="310"/>
      <c r="T68" s="310"/>
      <c r="U68" s="310"/>
      <c r="W68" s="310"/>
      <c r="AB68" s="310"/>
      <c r="AF68" s="302"/>
      <c r="AG68" s="310"/>
      <c r="AK68" s="302"/>
      <c r="AL68" s="310"/>
      <c r="AM68" s="397"/>
      <c r="AN68" s="397"/>
      <c r="AO68" s="401"/>
      <c r="AQ68" s="310"/>
      <c r="AR68" s="419"/>
      <c r="AS68" s="419"/>
      <c r="AT68" s="419"/>
      <c r="AU68" s="302"/>
      <c r="AV68" s="419"/>
    </row>
    <row r="69" spans="2:48" ht="20.25" customHeight="1">
      <c r="B69" s="330" t="s">
        <v>52</v>
      </c>
      <c r="C69" s="331">
        <f>SUM(C74:C80)</f>
        <v>13138349</v>
      </c>
      <c r="D69" s="328"/>
      <c r="E69" s="331">
        <f>SUM(E74:E80)</f>
        <v>13306293</v>
      </c>
      <c r="F69" s="331">
        <f>SUM(F74:F80)</f>
        <v>13542505</v>
      </c>
      <c r="G69" s="331">
        <f>SUM(G74:G80)</f>
        <v>13681450</v>
      </c>
      <c r="H69" s="331">
        <f>SUM(H74:H80)</f>
        <v>13866451</v>
      </c>
      <c r="J69" s="331">
        <f>SUM(J74:J80)</f>
        <v>13291031</v>
      </c>
      <c r="K69" s="331">
        <f>SUM(K74:K80)</f>
        <v>13747522</v>
      </c>
      <c r="L69" s="331">
        <f>SUM(L74:L80)</f>
        <v>14333589</v>
      </c>
      <c r="M69" s="331">
        <f>SUM(M74:M80)</f>
        <v>14138212</v>
      </c>
      <c r="N69" s="331">
        <f>SUM(N74:N80)</f>
        <v>14283203</v>
      </c>
      <c r="P69" s="331">
        <f t="shared" ref="P69:U69" si="4">SUM(P74:P80)</f>
        <v>14134958</v>
      </c>
      <c r="Q69" s="331">
        <f t="shared" si="4"/>
        <v>14033125</v>
      </c>
      <c r="R69" s="331">
        <f t="shared" si="4"/>
        <v>14090713</v>
      </c>
      <c r="S69" s="331">
        <f t="shared" si="4"/>
        <v>14208975</v>
      </c>
      <c r="T69" s="331">
        <f t="shared" si="4"/>
        <v>15229898</v>
      </c>
      <c r="U69" s="331">
        <f t="shared" si="4"/>
        <v>15229898</v>
      </c>
      <c r="W69" s="331">
        <f>SUM(W74:W80)</f>
        <v>14942821</v>
      </c>
      <c r="X69" s="331">
        <f>SUM(X74:X80)</f>
        <v>15248447</v>
      </c>
      <c r="Y69" s="331">
        <f>SUM(Y74:Y80)</f>
        <v>15500361</v>
      </c>
      <c r="Z69" s="331">
        <f>SUM(Z74:Z80)</f>
        <v>15545143</v>
      </c>
      <c r="AB69" s="331">
        <f>SUM(AB74:AB80)</f>
        <v>15425553</v>
      </c>
      <c r="AC69" s="331">
        <f>SUM(AC74:AC80)</f>
        <v>15453214</v>
      </c>
      <c r="AD69" s="331">
        <f>SUM(AD74:AD80)</f>
        <v>15541536</v>
      </c>
      <c r="AE69" s="331">
        <f>SUM(AE74:AE80)</f>
        <v>15975935</v>
      </c>
      <c r="AF69" s="302"/>
      <c r="AG69" s="331">
        <f>SUM(AG74:AG80)</f>
        <v>15838299</v>
      </c>
      <c r="AH69" s="331">
        <f>SUM(AH74:AH80)</f>
        <v>15847486</v>
      </c>
      <c r="AI69" s="331">
        <f>SUM(AI74:AI80)</f>
        <v>16431732</v>
      </c>
      <c r="AJ69" s="331">
        <f>SUM(AJ74:AJ80)</f>
        <v>16172697</v>
      </c>
      <c r="AK69" s="302"/>
      <c r="AL69" s="331">
        <f>SUM(AL74:AL80)</f>
        <v>16508621</v>
      </c>
      <c r="AM69" s="331">
        <f>SUM(AM74:AM80)</f>
        <v>16142086</v>
      </c>
      <c r="AN69" s="331">
        <f>SUM(AN74:AN80)</f>
        <v>16413626</v>
      </c>
      <c r="AO69" s="331">
        <f>SUM(AO74:AO80)</f>
        <v>15792776</v>
      </c>
      <c r="AQ69" s="331">
        <f>SUM(AQ74:AQ80)</f>
        <v>15978484</v>
      </c>
      <c r="AR69" s="331">
        <f>SUM(AR74:AR80)</f>
        <v>16242354</v>
      </c>
      <c r="AS69" s="331">
        <f>SUM(AS74:AS80)</f>
        <v>16400325</v>
      </c>
      <c r="AT69" s="331">
        <f>SUM(AT74:AT80)</f>
        <v>17109631</v>
      </c>
      <c r="AU69" s="302"/>
      <c r="AV69" s="331">
        <f>SUM(AV74:AV80)</f>
        <v>17332623</v>
      </c>
    </row>
    <row r="70" spans="2:48" ht="20.25" customHeight="1">
      <c r="B70" s="332" t="s">
        <v>48</v>
      </c>
      <c r="C70" s="333">
        <v>6818.634233430038</v>
      </c>
      <c r="D70" s="334"/>
      <c r="E70" s="333">
        <v>6770.5477988317425</v>
      </c>
      <c r="F70" s="333">
        <v>7198.9033537282248</v>
      </c>
      <c r="G70" s="333">
        <v>6744.6807461744756</v>
      </c>
      <c r="H70" s="333">
        <v>5795.8966921077053</v>
      </c>
      <c r="J70" s="333">
        <v>5159.4615787737039</v>
      </c>
      <c r="K70" s="333">
        <v>5317.9640324783086</v>
      </c>
      <c r="L70" s="333">
        <v>4591.2442263464382</v>
      </c>
      <c r="M70" s="333">
        <v>4489.0765747887745</v>
      </c>
      <c r="N70" s="333">
        <v>4535.1132095241428</v>
      </c>
      <c r="P70" s="333">
        <v>4676.8104289708344</v>
      </c>
      <c r="Q70" s="333">
        <v>4812.2095914133361</v>
      </c>
      <c r="R70" s="333">
        <v>4892.6936231531799</v>
      </c>
      <c r="S70" s="333">
        <v>4934</v>
      </c>
      <c r="T70" s="333">
        <f>+T69/3000.71</f>
        <v>5075.4314812161119</v>
      </c>
      <c r="U70" s="333">
        <v>5075.4314812161119</v>
      </c>
      <c r="W70" s="333">
        <v>5188.0471766241708</v>
      </c>
      <c r="X70" s="333">
        <v>5019</v>
      </c>
      <c r="Y70" s="333">
        <v>5278</v>
      </c>
      <c r="Z70" s="333">
        <f>+Z69/2984</f>
        <v>5209.4983243967827</v>
      </c>
      <c r="AB70" s="333">
        <f>+AB69/2780.47</f>
        <v>5547.8221307908379</v>
      </c>
      <c r="AC70" s="333">
        <f>+AC69/2930.8</f>
        <v>5272.6948273508933</v>
      </c>
      <c r="AD70" s="333">
        <f>+AD69/2972.18</f>
        <v>5229.0022811539011</v>
      </c>
      <c r="AE70" s="333">
        <f>+AE69/3249.75</f>
        <v>4916.0504654204169</v>
      </c>
      <c r="AF70" s="302"/>
      <c r="AG70" s="333">
        <f>+AG69/3174.79</f>
        <v>4988.7705958504339</v>
      </c>
      <c r="AH70" s="333">
        <f>+AH69/3205.67</f>
        <v>4943.5799692419996</v>
      </c>
      <c r="AI70" s="333">
        <f>+AI69/3462.01</f>
        <v>4746.2982487052313</v>
      </c>
      <c r="AJ70" s="333">
        <f>+AJ69/3277.14</f>
        <v>4935.0033870997277</v>
      </c>
      <c r="AK70" s="302"/>
      <c r="AL70" s="333">
        <f>+AL69/4064.81</f>
        <v>4061.3512070674892</v>
      </c>
      <c r="AM70" s="333">
        <f>+AM69/3758.91</f>
        <v>4294.3528842137748</v>
      </c>
      <c r="AN70" s="333">
        <f>+AN69/3878.94</f>
        <v>4231.4720000824964</v>
      </c>
      <c r="AO70" s="333">
        <f>+AO69/3432.5</f>
        <v>4600.9544064093225</v>
      </c>
      <c r="AQ70" s="333">
        <f>+AQ69/3736.91</f>
        <v>4275.854649964811</v>
      </c>
      <c r="AR70" s="333">
        <f>+AR69/3756.67</f>
        <v>4323.6041494195661</v>
      </c>
      <c r="AS70" s="333">
        <f>+AS69/3834.68</f>
        <v>4276.8431785703115</v>
      </c>
      <c r="AT70" s="333">
        <f>+AT69/3981.16</f>
        <v>4297.6496799927663</v>
      </c>
      <c r="AU70" s="302"/>
      <c r="AV70" s="333">
        <f>+AV69/3748.15</f>
        <v>4624.3141283032965</v>
      </c>
    </row>
    <row r="71" spans="2:48">
      <c r="C71" s="301"/>
      <c r="E71" s="301"/>
      <c r="F71" s="301"/>
      <c r="G71" s="301"/>
      <c r="H71" s="301"/>
      <c r="J71" s="301"/>
      <c r="K71" s="301"/>
      <c r="L71" s="301"/>
      <c r="M71" s="301"/>
      <c r="N71" s="301"/>
      <c r="P71" s="301"/>
      <c r="Q71" s="301"/>
      <c r="R71" s="301"/>
      <c r="S71" s="301"/>
      <c r="T71" s="301"/>
      <c r="U71" s="301"/>
      <c r="W71" s="301"/>
      <c r="AB71" s="301"/>
      <c r="AF71" s="302"/>
      <c r="AG71" s="301"/>
      <c r="AK71" s="302"/>
      <c r="AL71" s="301"/>
      <c r="AM71" s="397"/>
      <c r="AN71" s="397"/>
      <c r="AO71" s="401"/>
      <c r="AQ71" s="301"/>
      <c r="AR71" s="419"/>
      <c r="AS71" s="419"/>
      <c r="AT71" s="419"/>
      <c r="AU71" s="302"/>
      <c r="AV71" s="419"/>
    </row>
    <row r="72" spans="2:48" ht="13">
      <c r="B72" s="328" t="s">
        <v>59</v>
      </c>
      <c r="C72" s="329">
        <f>+C66+C69</f>
        <v>14342821</v>
      </c>
      <c r="D72" s="328"/>
      <c r="E72" s="329">
        <f>+E66+E69</f>
        <v>14854507</v>
      </c>
      <c r="F72" s="329">
        <f>+F66+F69</f>
        <v>14874524</v>
      </c>
      <c r="G72" s="329">
        <f>+G66+G69</f>
        <v>15324587</v>
      </c>
      <c r="H72" s="329">
        <f>+H66+H69</f>
        <v>15212436</v>
      </c>
      <c r="I72" s="34"/>
      <c r="J72" s="329">
        <f>+J66+J69</f>
        <v>14952164</v>
      </c>
      <c r="K72" s="329">
        <f>+K66+K69</f>
        <v>15971524</v>
      </c>
      <c r="L72" s="329">
        <f>+L66+L69</f>
        <v>16466153</v>
      </c>
      <c r="M72" s="329">
        <f>+M66+M69</f>
        <v>16169425</v>
      </c>
      <c r="N72" s="329">
        <f>+N66+N69</f>
        <v>16327837</v>
      </c>
      <c r="P72" s="329">
        <f t="shared" ref="P72:U72" si="5">+P66+P69</f>
        <v>16210864</v>
      </c>
      <c r="Q72" s="329">
        <f t="shared" si="5"/>
        <v>16005705</v>
      </c>
      <c r="R72" s="329">
        <f t="shared" si="5"/>
        <v>15919947</v>
      </c>
      <c r="S72" s="329">
        <f t="shared" si="5"/>
        <v>16051630</v>
      </c>
      <c r="T72" s="329">
        <f t="shared" si="5"/>
        <v>16995199</v>
      </c>
      <c r="U72" s="329">
        <f t="shared" si="5"/>
        <v>17083471</v>
      </c>
      <c r="W72" s="329">
        <f>+W66+W69</f>
        <v>17289534</v>
      </c>
      <c r="X72" s="329">
        <f>+X66+X69</f>
        <v>17469084</v>
      </c>
      <c r="Y72" s="329">
        <f>+Y66+Y69</f>
        <v>17504261</v>
      </c>
      <c r="Z72" s="329">
        <f>+Z66+Z69</f>
        <v>17523550</v>
      </c>
      <c r="AB72" s="329">
        <f>+AB66+AB69</f>
        <v>17598033</v>
      </c>
      <c r="AC72" s="329">
        <f>+AC66+AC69</f>
        <v>17712442</v>
      </c>
      <c r="AD72" s="329">
        <f>+AD66+AD69</f>
        <v>17701476</v>
      </c>
      <c r="AE72" s="329">
        <f>+AE66+AE69</f>
        <v>17946404</v>
      </c>
      <c r="AF72" s="302"/>
      <c r="AG72" s="329">
        <f>+AG66+AG69</f>
        <v>17960990</v>
      </c>
      <c r="AH72" s="329">
        <f>+AH66+AH69</f>
        <v>17841047</v>
      </c>
      <c r="AI72" s="329">
        <f>+AI66+AI69</f>
        <v>18454416</v>
      </c>
      <c r="AJ72" s="329">
        <f>+AJ66+AJ69</f>
        <v>18160512</v>
      </c>
      <c r="AK72" s="302"/>
      <c r="AL72" s="329">
        <f>+AL66+AL69</f>
        <v>18898636</v>
      </c>
      <c r="AM72" s="329">
        <f>+AM66+AM69</f>
        <v>18483699</v>
      </c>
      <c r="AN72" s="329">
        <f>+AN66+AN69</f>
        <v>18650329</v>
      </c>
      <c r="AO72" s="329">
        <f>+AO66+AO69</f>
        <v>17791474</v>
      </c>
      <c r="AQ72" s="329">
        <f>+AQ66+AQ69</f>
        <v>18227370</v>
      </c>
      <c r="AR72" s="329">
        <f>+AR66+AR69</f>
        <v>18305094</v>
      </c>
      <c r="AS72" s="329">
        <f>+AS66+AS69</f>
        <v>18397007</v>
      </c>
      <c r="AT72" s="329">
        <f>+AT66+AT69</f>
        <v>18952092</v>
      </c>
      <c r="AU72" s="302"/>
      <c r="AV72" s="329">
        <f>+AV66+AV69</f>
        <v>19617186</v>
      </c>
    </row>
    <row r="73" spans="2:48">
      <c r="C73" s="301"/>
      <c r="E73" s="301"/>
      <c r="F73" s="301"/>
      <c r="G73" s="301"/>
      <c r="H73" s="301"/>
      <c r="J73" s="301"/>
      <c r="K73" s="301"/>
      <c r="L73" s="301"/>
      <c r="M73" s="301"/>
      <c r="N73" s="301"/>
      <c r="P73" s="301"/>
      <c r="Q73" s="301"/>
      <c r="R73" s="301"/>
      <c r="S73" s="301"/>
      <c r="T73" s="301"/>
      <c r="U73" s="301"/>
      <c r="W73" s="301"/>
      <c r="AB73" s="301"/>
      <c r="AF73" s="302"/>
      <c r="AG73" s="301"/>
      <c r="AK73" s="302"/>
      <c r="AL73" s="301"/>
      <c r="AM73" s="397"/>
      <c r="AN73" s="397"/>
      <c r="AO73" s="401"/>
      <c r="AQ73" s="301"/>
      <c r="AR73" s="419"/>
      <c r="AS73" s="419"/>
      <c r="AT73" s="419"/>
      <c r="AU73" s="302"/>
      <c r="AV73" s="419"/>
    </row>
    <row r="74" spans="2:48" s="299" customFormat="1" ht="16.5" customHeight="1">
      <c r="B74" s="303" t="s">
        <v>150</v>
      </c>
      <c r="C74" s="301">
        <v>51510</v>
      </c>
      <c r="D74" s="303"/>
      <c r="E74" s="301">
        <v>51481</v>
      </c>
      <c r="F74" s="301">
        <v>51481</v>
      </c>
      <c r="G74" s="301">
        <v>51481</v>
      </c>
      <c r="H74" s="301">
        <v>51510</v>
      </c>
      <c r="I74" s="367"/>
      <c r="J74" s="301">
        <v>51481</v>
      </c>
      <c r="K74" s="301">
        <v>50744</v>
      </c>
      <c r="L74" s="301">
        <v>50744</v>
      </c>
      <c r="M74" s="301">
        <v>51510</v>
      </c>
      <c r="N74" s="301">
        <v>51510</v>
      </c>
      <c r="P74" s="301">
        <v>51510</v>
      </c>
      <c r="Q74" s="301">
        <v>51510</v>
      </c>
      <c r="R74" s="301">
        <v>51510</v>
      </c>
      <c r="S74" s="301">
        <v>51510</v>
      </c>
      <c r="T74" s="301">
        <v>53933</v>
      </c>
      <c r="U74" s="301">
        <v>53933</v>
      </c>
      <c r="W74" s="301">
        <v>53933</v>
      </c>
      <c r="X74" s="215">
        <v>53933</v>
      </c>
      <c r="Y74" s="145">
        <v>53933</v>
      </c>
      <c r="Z74" s="147">
        <v>53933</v>
      </c>
      <c r="AA74" s="146"/>
      <c r="AB74" s="301">
        <v>53933</v>
      </c>
      <c r="AC74" s="215">
        <v>53933</v>
      </c>
      <c r="AD74" s="145">
        <v>53933</v>
      </c>
      <c r="AE74" s="147">
        <v>53933</v>
      </c>
      <c r="AF74" s="302"/>
      <c r="AG74" s="301">
        <v>53933</v>
      </c>
      <c r="AH74" s="215">
        <v>53933</v>
      </c>
      <c r="AI74" s="145">
        <v>53933</v>
      </c>
      <c r="AJ74" s="147">
        <v>53933</v>
      </c>
      <c r="AK74" s="302"/>
      <c r="AL74" s="301">
        <v>53933</v>
      </c>
      <c r="AM74" s="215">
        <v>53933</v>
      </c>
      <c r="AN74" s="145">
        <v>53933</v>
      </c>
      <c r="AO74" s="147">
        <v>53933</v>
      </c>
      <c r="AQ74" s="301">
        <v>53933</v>
      </c>
      <c r="AR74" s="215">
        <v>54697</v>
      </c>
      <c r="AS74" s="215">
        <v>54697</v>
      </c>
      <c r="AT74" s="215">
        <v>54697</v>
      </c>
      <c r="AU74" s="302"/>
      <c r="AV74" s="215">
        <v>54697</v>
      </c>
    </row>
    <row r="75" spans="2:48" s="299" customFormat="1" ht="16.5" customHeight="1">
      <c r="B75" s="303" t="s">
        <v>139</v>
      </c>
      <c r="C75" s="301">
        <v>667459</v>
      </c>
      <c r="D75" s="303"/>
      <c r="E75" s="301">
        <v>687062</v>
      </c>
      <c r="F75" s="301">
        <v>697292</v>
      </c>
      <c r="G75" s="301">
        <v>680690</v>
      </c>
      <c r="H75" s="301">
        <v>680051</v>
      </c>
      <c r="I75" s="367"/>
      <c r="J75" s="301">
        <v>689585</v>
      </c>
      <c r="K75" s="301">
        <v>681444</v>
      </c>
      <c r="L75" s="301">
        <v>680280</v>
      </c>
      <c r="M75" s="301">
        <v>680218</v>
      </c>
      <c r="N75" s="301">
        <v>680218</v>
      </c>
      <c r="P75" s="301">
        <v>680218</v>
      </c>
      <c r="Q75" s="301">
        <v>680218</v>
      </c>
      <c r="R75" s="301">
        <v>680218</v>
      </c>
      <c r="S75" s="301">
        <v>680218</v>
      </c>
      <c r="T75" s="301">
        <f>1354760-1</f>
        <v>1354759</v>
      </c>
      <c r="U75" s="301">
        <v>1354759</v>
      </c>
      <c r="W75" s="301">
        <f>1354760-1</f>
        <v>1354759</v>
      </c>
      <c r="X75" s="301">
        <f>1354760-1</f>
        <v>1354759</v>
      </c>
      <c r="Y75" s="301">
        <v>1354759</v>
      </c>
      <c r="Z75" s="147">
        <v>1354759</v>
      </c>
      <c r="AA75" s="146"/>
      <c r="AB75" s="301">
        <v>1354759</v>
      </c>
      <c r="AC75" s="301">
        <v>1354759</v>
      </c>
      <c r="AD75" s="301">
        <v>1354759</v>
      </c>
      <c r="AE75" s="147">
        <v>1354759</v>
      </c>
      <c r="AF75" s="302"/>
      <c r="AG75" s="301">
        <v>1354759</v>
      </c>
      <c r="AH75" s="301">
        <v>1354759</v>
      </c>
      <c r="AI75" s="301">
        <v>1354759</v>
      </c>
      <c r="AJ75" s="147">
        <v>1354759</v>
      </c>
      <c r="AK75" s="302"/>
      <c r="AL75" s="301">
        <v>1354759</v>
      </c>
      <c r="AM75" s="301">
        <v>1354759</v>
      </c>
      <c r="AN75" s="301">
        <v>1354759</v>
      </c>
      <c r="AO75" s="147">
        <v>1354759</v>
      </c>
      <c r="AQ75" s="301">
        <v>1354759</v>
      </c>
      <c r="AR75" s="301">
        <v>1503373</v>
      </c>
      <c r="AS75" s="301">
        <v>1503373</v>
      </c>
      <c r="AT75" s="301">
        <v>1503373</v>
      </c>
      <c r="AU75" s="302"/>
      <c r="AV75" s="301">
        <v>1503373</v>
      </c>
    </row>
    <row r="76" spans="2:48" s="299" customFormat="1" ht="16.5" customHeight="1">
      <c r="B76" s="303" t="s">
        <v>62</v>
      </c>
      <c r="C76" s="339">
        <v>1143369</v>
      </c>
      <c r="D76" s="303"/>
      <c r="E76" s="339">
        <v>1347062</v>
      </c>
      <c r="F76" s="339">
        <v>1310992</v>
      </c>
      <c r="G76" s="339">
        <v>1442348</v>
      </c>
      <c r="H76" s="339">
        <v>1854084</v>
      </c>
      <c r="I76" s="367"/>
      <c r="J76" s="339">
        <v>1160573</v>
      </c>
      <c r="K76" s="339">
        <f>1517189-1</f>
        <v>1517188</v>
      </c>
      <c r="L76" s="339">
        <f>1797145-1</f>
        <v>1797144</v>
      </c>
      <c r="M76" s="339">
        <v>1694121</v>
      </c>
      <c r="N76" s="339">
        <v>1714197</v>
      </c>
      <c r="P76" s="301">
        <v>1982831</v>
      </c>
      <c r="Q76" s="301">
        <v>1835682</v>
      </c>
      <c r="R76" s="301">
        <v>1700353</v>
      </c>
      <c r="S76" s="301">
        <v>1447059</v>
      </c>
      <c r="T76" s="301">
        <v>1559137</v>
      </c>
      <c r="U76" s="301">
        <v>1559137</v>
      </c>
      <c r="W76" s="301">
        <v>1288659</v>
      </c>
      <c r="X76" s="145">
        <v>1561959</v>
      </c>
      <c r="Y76" s="145">
        <v>1479092</v>
      </c>
      <c r="Z76" s="145">
        <v>1564175</v>
      </c>
      <c r="AA76" s="146"/>
      <c r="AB76" s="301">
        <v>1192509</v>
      </c>
      <c r="AC76" s="145">
        <v>1448037</v>
      </c>
      <c r="AD76" s="145">
        <v>1359357</v>
      </c>
      <c r="AE76" s="145">
        <v>1692653</v>
      </c>
      <c r="AF76" s="302"/>
      <c r="AG76" s="301">
        <v>1717615</v>
      </c>
      <c r="AH76" s="145">
        <v>1678096</v>
      </c>
      <c r="AI76" s="145">
        <v>2066962</v>
      </c>
      <c r="AJ76" s="145">
        <v>1765469</v>
      </c>
      <c r="AK76" s="302"/>
      <c r="AL76" s="301">
        <v>2315053</v>
      </c>
      <c r="AM76" s="145">
        <v>2001434</v>
      </c>
      <c r="AN76" s="145">
        <v>2299687</v>
      </c>
      <c r="AO76" s="145">
        <v>1792605</v>
      </c>
      <c r="AQ76" s="301">
        <v>2187416</v>
      </c>
      <c r="AR76" s="145">
        <v>2171185</v>
      </c>
      <c r="AS76" s="145">
        <v>2313730</v>
      </c>
      <c r="AT76" s="145">
        <v>3012156</v>
      </c>
      <c r="AU76" s="302"/>
      <c r="AV76" s="145">
        <v>3499288</v>
      </c>
    </row>
    <row r="77" spans="2:48" s="299" customFormat="1" ht="16.5" customHeight="1">
      <c r="B77" s="303" t="s">
        <v>35</v>
      </c>
      <c r="C77" s="301">
        <v>2331912</v>
      </c>
      <c r="D77" s="303"/>
      <c r="E77" s="301">
        <v>2430710</v>
      </c>
      <c r="F77" s="301">
        <v>2430707</v>
      </c>
      <c r="G77" s="301">
        <v>2431796</v>
      </c>
      <c r="H77" s="301">
        <v>2430615</v>
      </c>
      <c r="I77" s="367"/>
      <c r="J77" s="301">
        <v>2543398</v>
      </c>
      <c r="K77" s="301">
        <v>2547385</v>
      </c>
      <c r="L77" s="301">
        <v>2543987</v>
      </c>
      <c r="M77" s="301">
        <f>2452117+154742</f>
        <v>2606859</v>
      </c>
      <c r="N77" s="301">
        <v>2606859</v>
      </c>
      <c r="P77" s="301">
        <v>2743765</v>
      </c>
      <c r="Q77" s="301">
        <v>2743765</v>
      </c>
      <c r="R77" s="301">
        <v>2743764</v>
      </c>
      <c r="S77" s="301">
        <v>2743765</v>
      </c>
      <c r="T77" s="301">
        <v>2743764</v>
      </c>
      <c r="U77" s="301">
        <v>2743764</v>
      </c>
      <c r="W77" s="301">
        <v>2829844</v>
      </c>
      <c r="X77" s="145">
        <v>2829844</v>
      </c>
      <c r="Y77" s="145">
        <v>2829844</v>
      </c>
      <c r="Z77" s="147">
        <v>2829844</v>
      </c>
      <c r="AA77" s="146"/>
      <c r="AB77" s="301">
        <v>2829844</v>
      </c>
      <c r="AC77" s="145">
        <v>3001515</v>
      </c>
      <c r="AD77" s="145">
        <v>3001515</v>
      </c>
      <c r="AE77" s="147">
        <v>3001515</v>
      </c>
      <c r="AF77" s="302"/>
      <c r="AG77" s="301">
        <v>3513161</v>
      </c>
      <c r="AH77" s="145">
        <v>3513162</v>
      </c>
      <c r="AI77" s="145">
        <v>3513161</v>
      </c>
      <c r="AJ77" s="147">
        <v>3513161</v>
      </c>
      <c r="AK77" s="302"/>
      <c r="AL77" s="301">
        <v>3673583</v>
      </c>
      <c r="AM77" s="145">
        <v>3673583</v>
      </c>
      <c r="AN77" s="145">
        <v>3673584</v>
      </c>
      <c r="AO77" s="147">
        <v>3673583</v>
      </c>
      <c r="AQ77" s="301">
        <v>3339623</v>
      </c>
      <c r="AR77" s="145">
        <v>3339623</v>
      </c>
      <c r="AS77" s="145">
        <v>3339623</v>
      </c>
      <c r="AT77" s="145">
        <v>3339623</v>
      </c>
      <c r="AU77" s="302"/>
      <c r="AV77" s="145">
        <v>3241099</v>
      </c>
    </row>
    <row r="78" spans="2:48" s="299" customFormat="1" ht="16.5" customHeight="1">
      <c r="B78" s="303" t="s">
        <v>86</v>
      </c>
      <c r="C78" s="215">
        <v>0</v>
      </c>
      <c r="D78" s="303"/>
      <c r="E78" s="215">
        <v>0</v>
      </c>
      <c r="F78" s="215">
        <v>0</v>
      </c>
      <c r="G78" s="215">
        <v>0</v>
      </c>
      <c r="H78" s="215">
        <v>0</v>
      </c>
      <c r="I78" s="367"/>
      <c r="J78" s="215">
        <v>0</v>
      </c>
      <c r="K78" s="215">
        <v>0</v>
      </c>
      <c r="L78" s="215">
        <v>0</v>
      </c>
      <c r="M78" s="215">
        <v>130033</v>
      </c>
      <c r="N78" s="215">
        <f>127591+3739+37788</f>
        <v>169118</v>
      </c>
      <c r="P78" s="215">
        <v>0</v>
      </c>
      <c r="Q78" s="215">
        <v>0</v>
      </c>
      <c r="R78" s="215">
        <v>0</v>
      </c>
      <c r="S78" s="215">
        <v>248090</v>
      </c>
      <c r="T78" s="215">
        <f>428834+37788</f>
        <v>466622</v>
      </c>
      <c r="U78" s="215">
        <v>466622</v>
      </c>
      <c r="W78" s="215">
        <v>628793</v>
      </c>
      <c r="X78" s="215">
        <v>599700</v>
      </c>
      <c r="Y78" s="215">
        <v>601328</v>
      </c>
      <c r="Z78" s="147">
        <v>592604</v>
      </c>
      <c r="AA78" s="146"/>
      <c r="AB78" s="215">
        <v>366085</v>
      </c>
      <c r="AC78" s="215">
        <v>379442</v>
      </c>
      <c r="AD78" s="215">
        <v>367883</v>
      </c>
      <c r="AE78" s="145">
        <v>374968</v>
      </c>
      <c r="AF78" s="302"/>
      <c r="AG78" s="215">
        <v>340018</v>
      </c>
      <c r="AH78" s="215">
        <v>338899</v>
      </c>
      <c r="AI78" s="215">
        <v>335143</v>
      </c>
      <c r="AJ78" s="145">
        <v>301188</v>
      </c>
      <c r="AK78" s="302"/>
      <c r="AL78" s="215">
        <v>301095</v>
      </c>
      <c r="AM78" s="215">
        <v>303971</v>
      </c>
      <c r="AN78" s="215">
        <v>305926</v>
      </c>
      <c r="AO78" s="145">
        <v>301186</v>
      </c>
      <c r="AQ78" s="215">
        <v>301499</v>
      </c>
      <c r="AR78" s="215">
        <v>317308</v>
      </c>
      <c r="AS78" s="215">
        <v>281070</v>
      </c>
      <c r="AT78" s="215">
        <v>275290</v>
      </c>
      <c r="AU78" s="302"/>
      <c r="AV78" s="215">
        <v>274684</v>
      </c>
    </row>
    <row r="79" spans="2:48" ht="16.5" customHeight="1">
      <c r="B79" s="340" t="s">
        <v>140</v>
      </c>
      <c r="C79" s="301">
        <v>8649149</v>
      </c>
      <c r="D79" s="340"/>
      <c r="E79" s="301">
        <v>8811355</v>
      </c>
      <c r="F79" s="301">
        <v>8811355</v>
      </c>
      <c r="G79" s="301">
        <v>8811355</v>
      </c>
      <c r="H79" s="301">
        <v>8649149</v>
      </c>
      <c r="J79" s="301">
        <v>8811355</v>
      </c>
      <c r="K79" s="301">
        <f>8811355</f>
        <v>8811355</v>
      </c>
      <c r="L79" s="301">
        <f>8811355</f>
        <v>8811355</v>
      </c>
      <c r="M79" s="301">
        <v>8603670</v>
      </c>
      <c r="N79" s="301">
        <f>8703627-37788</f>
        <v>8665839</v>
      </c>
      <c r="P79" s="301">
        <v>8585838</v>
      </c>
      <c r="Q79" s="301">
        <v>8585838</v>
      </c>
      <c r="R79" s="301">
        <v>8752011</v>
      </c>
      <c r="S79" s="301">
        <v>8854990</v>
      </c>
      <c r="T79" s="301">
        <f>8737650+1-37788</f>
        <v>8699863</v>
      </c>
      <c r="U79" s="301">
        <v>8699863</v>
      </c>
      <c r="W79" s="301">
        <v>8699862</v>
      </c>
      <c r="X79" s="215">
        <v>8699863</v>
      </c>
      <c r="Y79" s="215">
        <v>8699863</v>
      </c>
      <c r="Z79" s="146">
        <v>8696987</v>
      </c>
      <c r="AB79" s="301">
        <v>9148034</v>
      </c>
      <c r="AC79" s="215">
        <v>8695192</v>
      </c>
      <c r="AD79" s="215">
        <v>8693237</v>
      </c>
      <c r="AE79" s="215">
        <v>8686431</v>
      </c>
      <c r="AF79" s="302"/>
      <c r="AG79" s="301">
        <v>8686625</v>
      </c>
      <c r="AH79" s="215">
        <v>8702920</v>
      </c>
      <c r="AI79" s="215">
        <v>8702956</v>
      </c>
      <c r="AJ79" s="215">
        <v>8701448</v>
      </c>
      <c r="AK79" s="302"/>
      <c r="AL79" s="301">
        <v>8710802</v>
      </c>
      <c r="AM79" s="215">
        <v>8710838</v>
      </c>
      <c r="AN79" s="215">
        <v>8710874</v>
      </c>
      <c r="AO79" s="215">
        <v>8675833</v>
      </c>
      <c r="AQ79" s="301">
        <v>8623072</v>
      </c>
      <c r="AR79" s="215">
        <v>8623109</v>
      </c>
      <c r="AS79" s="215">
        <v>8562511</v>
      </c>
      <c r="AT79" s="215">
        <v>8588287</v>
      </c>
      <c r="AU79" s="302"/>
      <c r="AV79" s="215">
        <v>8588356</v>
      </c>
    </row>
    <row r="80" spans="2:48" ht="16.5" customHeight="1">
      <c r="B80" s="303" t="s">
        <v>151</v>
      </c>
      <c r="C80" s="23">
        <v>294950</v>
      </c>
      <c r="D80" s="303"/>
      <c r="E80" s="266">
        <v>-21377</v>
      </c>
      <c r="F80" s="23">
        <v>240678</v>
      </c>
      <c r="G80" s="23">
        <v>263780</v>
      </c>
      <c r="H80" s="23">
        <v>201042</v>
      </c>
      <c r="J80" s="23">
        <v>34639</v>
      </c>
      <c r="K80" s="23">
        <v>139406</v>
      </c>
      <c r="L80" s="23">
        <v>450079</v>
      </c>
      <c r="M80" s="23">
        <v>371801</v>
      </c>
      <c r="N80" s="201">
        <v>395462</v>
      </c>
      <c r="P80" s="23">
        <v>90796</v>
      </c>
      <c r="Q80" s="23">
        <v>136112</v>
      </c>
      <c r="R80" s="23">
        <v>162857</v>
      </c>
      <c r="S80" s="23">
        <v>183343</v>
      </c>
      <c r="T80" s="23">
        <v>351820</v>
      </c>
      <c r="U80" s="23">
        <v>351820</v>
      </c>
      <c r="W80" s="23">
        <v>86971</v>
      </c>
      <c r="X80" s="146">
        <v>148389</v>
      </c>
      <c r="Y80" s="146">
        <v>481542</v>
      </c>
      <c r="Z80" s="146">
        <v>452841</v>
      </c>
      <c r="AB80" s="23">
        <v>480389</v>
      </c>
      <c r="AC80" s="146">
        <v>520336</v>
      </c>
      <c r="AD80" s="146">
        <v>710852</v>
      </c>
      <c r="AE80" s="146">
        <v>811676</v>
      </c>
      <c r="AF80" s="302"/>
      <c r="AG80" s="23">
        <v>172188</v>
      </c>
      <c r="AH80" s="146">
        <v>205717</v>
      </c>
      <c r="AI80" s="146">
        <v>404818</v>
      </c>
      <c r="AJ80" s="146">
        <v>482739</v>
      </c>
      <c r="AK80" s="302"/>
      <c r="AL80" s="201">
        <v>99396</v>
      </c>
      <c r="AM80" s="148">
        <v>43568</v>
      </c>
      <c r="AN80" s="146">
        <v>14863</v>
      </c>
      <c r="AO80" s="146">
        <v>-59123</v>
      </c>
      <c r="AQ80" s="201">
        <v>118182</v>
      </c>
      <c r="AR80" s="148">
        <v>233059</v>
      </c>
      <c r="AS80" s="148">
        <v>345321</v>
      </c>
      <c r="AT80" s="148">
        <v>336205</v>
      </c>
      <c r="AU80" s="302"/>
      <c r="AV80" s="148">
        <v>171126</v>
      </c>
    </row>
    <row r="81" spans="2:48" ht="7.5" customHeight="1">
      <c r="B81" s="303"/>
      <c r="C81" s="23"/>
      <c r="D81" s="303"/>
      <c r="E81" s="23"/>
      <c r="F81" s="23"/>
      <c r="G81" s="23"/>
      <c r="H81" s="23"/>
      <c r="J81" s="23"/>
      <c r="K81" s="23"/>
      <c r="L81" s="23"/>
      <c r="M81" s="23"/>
      <c r="N81" s="23"/>
      <c r="P81" s="23"/>
      <c r="Q81" s="23"/>
      <c r="R81" s="23"/>
      <c r="S81" s="23"/>
      <c r="T81" s="23"/>
      <c r="U81" s="23"/>
      <c r="W81" s="23"/>
      <c r="AB81" s="23"/>
      <c r="AF81" s="302"/>
      <c r="AG81" s="23"/>
      <c r="AK81" s="302"/>
      <c r="AL81" s="23"/>
      <c r="AM81" s="397"/>
      <c r="AN81" s="397"/>
      <c r="AO81" s="401"/>
      <c r="AQ81" s="23"/>
      <c r="AR81" s="419"/>
      <c r="AS81" s="419"/>
      <c r="AT81" s="419"/>
      <c r="AU81" s="302"/>
      <c r="AV81" s="419"/>
    </row>
    <row r="82" spans="2:48" ht="20.25" customHeight="1">
      <c r="B82" s="330" t="s">
        <v>52</v>
      </c>
      <c r="C82" s="331">
        <f>SUM(C74:C80)</f>
        <v>13138349</v>
      </c>
      <c r="D82" s="328"/>
      <c r="E82" s="331">
        <f>SUM(E74:E80)</f>
        <v>13306293</v>
      </c>
      <c r="F82" s="331">
        <f>SUM(F74:F80)</f>
        <v>13542505</v>
      </c>
      <c r="G82" s="331">
        <f>SUM(G74:G80)</f>
        <v>13681450</v>
      </c>
      <c r="H82" s="331">
        <f>SUM(H74:H80)</f>
        <v>13866451</v>
      </c>
      <c r="J82" s="331">
        <f>SUM(J74:J80)</f>
        <v>13291031</v>
      </c>
      <c r="K82" s="331">
        <f>SUM(K74:K80)</f>
        <v>13747522</v>
      </c>
      <c r="L82" s="331">
        <f>SUM(L74:L80)</f>
        <v>14333589</v>
      </c>
      <c r="M82" s="331">
        <f>SUM(M74:M80)</f>
        <v>14138212</v>
      </c>
      <c r="N82" s="331">
        <f>SUM(N74:N80)</f>
        <v>14283203</v>
      </c>
      <c r="P82" s="331">
        <f t="shared" ref="P82:U82" si="6">SUM(P74:P80)</f>
        <v>14134958</v>
      </c>
      <c r="Q82" s="331">
        <f t="shared" si="6"/>
        <v>14033125</v>
      </c>
      <c r="R82" s="331">
        <f t="shared" si="6"/>
        <v>14090713</v>
      </c>
      <c r="S82" s="331">
        <f t="shared" si="6"/>
        <v>14208975</v>
      </c>
      <c r="T82" s="331">
        <f t="shared" si="6"/>
        <v>15229898</v>
      </c>
      <c r="U82" s="331">
        <f t="shared" si="6"/>
        <v>15229898</v>
      </c>
      <c r="W82" s="331">
        <f>SUM(W74:W80)</f>
        <v>14942821</v>
      </c>
      <c r="X82" s="331">
        <f>SUM(X74:X80)</f>
        <v>15248447</v>
      </c>
      <c r="Y82" s="331">
        <f>SUM(Y74:Y80)</f>
        <v>15500361</v>
      </c>
      <c r="Z82" s="331">
        <f>SUM(Z74:Z80)</f>
        <v>15545143</v>
      </c>
      <c r="AB82" s="331">
        <f>SUM(AB74:AB80)</f>
        <v>15425553</v>
      </c>
      <c r="AC82" s="331">
        <f>SUM(AC74:AC80)</f>
        <v>15453214</v>
      </c>
      <c r="AD82" s="331">
        <f>SUM(AD74:AD80)</f>
        <v>15541536</v>
      </c>
      <c r="AE82" s="331">
        <f>SUM(AE74:AE80)</f>
        <v>15975935</v>
      </c>
      <c r="AF82" s="302"/>
      <c r="AG82" s="331">
        <f>SUM(AG74:AG80)</f>
        <v>15838299</v>
      </c>
      <c r="AH82" s="331">
        <f>SUM(AH74:AH80)</f>
        <v>15847486</v>
      </c>
      <c r="AI82" s="331">
        <f>SUM(AI74:AI80)</f>
        <v>16431732</v>
      </c>
      <c r="AJ82" s="331">
        <f>SUM(AJ74:AJ80)</f>
        <v>16172697</v>
      </c>
      <c r="AK82" s="302"/>
      <c r="AL82" s="331">
        <f>SUM(AL74:AL80)</f>
        <v>16508621</v>
      </c>
      <c r="AM82" s="331">
        <f>SUM(AM74:AM80)</f>
        <v>16142086</v>
      </c>
      <c r="AN82" s="331">
        <f>SUM(AN74:AN80)</f>
        <v>16413626</v>
      </c>
      <c r="AO82" s="331">
        <f>SUM(AO74:AO80)</f>
        <v>15792776</v>
      </c>
      <c r="AQ82" s="331">
        <f>SUM(AQ74:AQ80)</f>
        <v>15978484</v>
      </c>
      <c r="AR82" s="331">
        <f>SUM(AR74:AR80)</f>
        <v>16242354</v>
      </c>
      <c r="AS82" s="331">
        <f>SUM(AS74:AS80)</f>
        <v>16400325</v>
      </c>
      <c r="AT82" s="331">
        <f>SUM(AT74:AT80)</f>
        <v>17109631</v>
      </c>
      <c r="AU82" s="302"/>
      <c r="AV82" s="331">
        <f>SUM(AV74:AV80)</f>
        <v>17332623</v>
      </c>
    </row>
    <row r="83" spans="2:48" ht="11.25" customHeight="1">
      <c r="B83" s="303"/>
      <c r="C83" s="301"/>
      <c r="D83" s="303"/>
      <c r="E83" s="301"/>
      <c r="F83" s="301"/>
      <c r="G83" s="301"/>
      <c r="H83" s="301"/>
      <c r="J83" s="301"/>
      <c r="K83" s="301"/>
      <c r="L83" s="301"/>
      <c r="M83" s="301"/>
      <c r="N83" s="301"/>
      <c r="P83" s="301"/>
      <c r="Q83" s="301"/>
      <c r="R83" s="301"/>
      <c r="S83" s="301"/>
      <c r="AN83" s="377"/>
      <c r="AT83" s="417"/>
    </row>
    <row r="84" spans="2:48">
      <c r="C84" s="299"/>
      <c r="AN84" s="377"/>
      <c r="AT84" s="417"/>
    </row>
    <row r="85" spans="2:48" ht="16.5" customHeight="1">
      <c r="AN85" s="377"/>
      <c r="AT85" s="417"/>
    </row>
    <row r="86" spans="2:48" ht="16.5" customHeight="1">
      <c r="AM86" s="367">
        <v>0</v>
      </c>
      <c r="AN86" s="267">
        <v>0</v>
      </c>
      <c r="AT86" s="417"/>
    </row>
    <row r="87" spans="2:48" ht="14.25" customHeight="1">
      <c r="AM87" s="367">
        <v>0</v>
      </c>
      <c r="AN87" s="267">
        <v>0</v>
      </c>
      <c r="AT87" s="417"/>
    </row>
    <row r="88" spans="2:48" ht="16.5" customHeight="1">
      <c r="AT88" s="417"/>
    </row>
    <row r="89" spans="2:48" ht="3.75" customHeight="1">
      <c r="AT89" s="417"/>
    </row>
    <row r="90" spans="2:48" ht="16.5" customHeight="1">
      <c r="AT90" s="417"/>
    </row>
    <row r="91" spans="2:48">
      <c r="AT91" s="417"/>
    </row>
    <row r="92" spans="2:48" ht="14.25" customHeight="1">
      <c r="B92" s="435"/>
      <c r="C92" s="435"/>
      <c r="D92" s="435"/>
      <c r="E92" s="435"/>
      <c r="F92" s="435"/>
      <c r="G92" s="367"/>
      <c r="H92" s="367"/>
      <c r="AT92" s="417"/>
    </row>
    <row r="93" spans="2:48">
      <c r="AT93" s="417"/>
    </row>
    <row r="94" spans="2:48">
      <c r="AT94" s="417"/>
    </row>
    <row r="95" spans="2:48">
      <c r="AT95" s="417"/>
    </row>
    <row r="96" spans="2:48" ht="14.5">
      <c r="B96" s="304"/>
      <c r="C96" s="304"/>
      <c r="D96" s="304"/>
      <c r="E96" s="42"/>
      <c r="F96" s="42"/>
      <c r="G96" s="42"/>
      <c r="H96" s="42"/>
      <c r="AT96" s="417"/>
    </row>
    <row r="97" spans="2:46" ht="14.5">
      <c r="B97" s="305"/>
      <c r="C97" s="305"/>
      <c r="D97" s="305"/>
      <c r="E97" s="44"/>
      <c r="F97" s="45"/>
      <c r="G97" s="45"/>
      <c r="H97" s="45"/>
      <c r="AT97" s="417"/>
    </row>
    <row r="98" spans="2:46" ht="14.5">
      <c r="B98" s="305"/>
      <c r="C98" s="305"/>
      <c r="D98" s="305"/>
      <c r="E98" s="42"/>
      <c r="F98" s="28"/>
      <c r="G98" s="28"/>
      <c r="H98" s="28"/>
      <c r="AT98" s="417"/>
    </row>
    <row r="99" spans="2:46" ht="14.5">
      <c r="B99" s="305"/>
      <c r="C99" s="305"/>
      <c r="D99" s="305"/>
      <c r="E99" s="42"/>
      <c r="F99" s="28"/>
      <c r="G99" s="28"/>
      <c r="H99" s="28"/>
      <c r="AT99" s="417"/>
    </row>
    <row r="100" spans="2:46" ht="14.5">
      <c r="B100" s="305"/>
      <c r="C100" s="305"/>
      <c r="D100" s="305"/>
      <c r="E100" s="42"/>
      <c r="F100" s="28"/>
      <c r="G100" s="28"/>
      <c r="H100" s="28"/>
      <c r="AT100" s="417"/>
    </row>
    <row r="101" spans="2:46" ht="14.5">
      <c r="B101" s="305"/>
      <c r="C101" s="305"/>
      <c r="D101" s="305"/>
      <c r="E101" s="42"/>
      <c r="F101" s="28"/>
      <c r="G101" s="28"/>
      <c r="H101" s="28"/>
      <c r="AT101" s="417"/>
    </row>
    <row r="102" spans="2:46" ht="14.5">
      <c r="B102" s="305"/>
      <c r="C102" s="305"/>
      <c r="D102" s="305"/>
      <c r="E102" s="42"/>
      <c r="F102" s="28"/>
      <c r="G102" s="28"/>
      <c r="H102" s="28"/>
      <c r="AT102" s="417"/>
    </row>
    <row r="103" spans="2:46" ht="14.5">
      <c r="B103" s="305"/>
      <c r="C103" s="305"/>
      <c r="D103" s="305"/>
      <c r="E103" s="42"/>
      <c r="F103" s="28"/>
      <c r="G103" s="28"/>
      <c r="H103" s="28"/>
      <c r="AT103" s="417"/>
    </row>
    <row r="104" spans="2:46" ht="14.5">
      <c r="B104" s="305"/>
      <c r="C104" s="305"/>
      <c r="D104" s="305"/>
      <c r="E104" s="42"/>
      <c r="F104" s="28"/>
      <c r="G104" s="28"/>
      <c r="H104" s="28"/>
      <c r="AT104" s="417"/>
    </row>
    <row r="105" spans="2:46" ht="14.5">
      <c r="B105" s="305"/>
      <c r="C105" s="305"/>
      <c r="D105" s="305"/>
      <c r="E105" s="42"/>
      <c r="F105" s="28"/>
      <c r="G105" s="28"/>
      <c r="H105" s="28"/>
    </row>
    <row r="106" spans="2:46" ht="14.5">
      <c r="B106" s="304"/>
      <c r="C106" s="304"/>
      <c r="D106" s="304"/>
      <c r="E106" s="46"/>
      <c r="F106" s="46"/>
      <c r="G106" s="46"/>
      <c r="H106" s="46"/>
    </row>
  </sheetData>
  <mergeCells count="9">
    <mergeCell ref="AQ6:AT6"/>
    <mergeCell ref="AL6:AO6"/>
    <mergeCell ref="B92:F92"/>
    <mergeCell ref="P6:U6"/>
    <mergeCell ref="E6:H6"/>
    <mergeCell ref="J6:N6"/>
    <mergeCell ref="W6:Z6"/>
    <mergeCell ref="AB6:AE6"/>
    <mergeCell ref="AG6:AJ6"/>
  </mergeCells>
  <printOptions horizontalCentered="1"/>
  <pageMargins left="0.27" right="0.22" top="0.63" bottom="0.34" header="0" footer="0"/>
  <pageSetup scale="38" orientation="landscape" r:id="rId1"/>
  <headerFooter alignWithMargins="0"/>
  <customProperties>
    <customPr name="EpmWorksheetKeyString_GUID" r:id="rId2"/>
  </customPropertie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D3CD2-11CD-403E-AADE-04530906B9A7}">
  <dimension ref="B1:AY77"/>
  <sheetViews>
    <sheetView showGridLines="0" topLeftCell="B1" zoomScaleNormal="100" workbookViewId="0">
      <pane xSplit="1" ySplit="9" topLeftCell="AQ26" activePane="bottomRight" state="frozen"/>
      <selection activeCell="D38" sqref="D38"/>
      <selection pane="topRight" activeCell="D38" sqref="D38"/>
      <selection pane="bottomLeft" activeCell="D38" sqref="D38"/>
      <selection pane="bottomRight" activeCell="AT3" sqref="AT3"/>
    </sheetView>
  </sheetViews>
  <sheetFormatPr baseColWidth="10" defaultColWidth="13" defaultRowHeight="16.5" customHeight="1"/>
  <cols>
    <col min="1" max="1" width="2.26953125" style="1" customWidth="1"/>
    <col min="2" max="2" width="46.1796875" style="1" bestFit="1" customWidth="1"/>
    <col min="3" max="3" width="9.54296875" style="1" bestFit="1" customWidth="1"/>
    <col min="4" max="4" width="8.7265625" style="1" bestFit="1" customWidth="1"/>
    <col min="5" max="6" width="8.54296875" style="1" bestFit="1" customWidth="1"/>
    <col min="7" max="7" width="1.26953125" style="1" customWidth="1"/>
    <col min="8" max="11" width="8.54296875" style="1" bestFit="1" customWidth="1"/>
    <col min="12" max="12" width="11.7265625" style="1" bestFit="1" customWidth="1"/>
    <col min="13" max="13" width="1.26953125" style="1" customWidth="1"/>
    <col min="14" max="14" width="8.54296875" style="1" bestFit="1" customWidth="1"/>
    <col min="15" max="15" width="12.453125" style="1" bestFit="1" customWidth="1"/>
    <col min="16" max="16" width="8.54296875" style="1" bestFit="1" customWidth="1"/>
    <col min="17" max="17" width="12.26953125" style="1" bestFit="1" customWidth="1"/>
    <col min="18" max="18" width="8.54296875" style="1" bestFit="1" customWidth="1"/>
    <col min="19" max="19" width="12.453125" style="1" bestFit="1" customWidth="1"/>
    <col min="20" max="20" width="8.54296875" style="1" bestFit="1" customWidth="1"/>
    <col min="21" max="21" width="13" style="1" customWidth="1"/>
    <col min="22" max="22" width="1.54296875" style="1" customWidth="1"/>
    <col min="23" max="23" width="8.54296875" style="1" bestFit="1" customWidth="1"/>
    <col min="24" max="24" width="8.54296875" style="1" customWidth="1"/>
    <col min="25" max="25" width="8.7265625" style="1" bestFit="1" customWidth="1"/>
    <col min="26" max="26" width="8.7265625" style="1" customWidth="1"/>
    <col min="27" max="27" width="8.54296875" style="373" bestFit="1" customWidth="1"/>
    <col min="28" max="28" width="8.54296875" style="373" customWidth="1"/>
    <col min="29" max="29" width="8.54296875" style="1" bestFit="1" customWidth="1"/>
    <col min="30" max="30" width="4.81640625" style="1" customWidth="1"/>
    <col min="31" max="31" width="8.54296875" style="1" bestFit="1" customWidth="1"/>
    <col min="32" max="32" width="8.7265625" style="1" bestFit="1" customWidth="1"/>
    <col min="33" max="33" width="8.54296875" style="373" bestFit="1" customWidth="1"/>
    <col min="34" max="34" width="8.54296875" style="1" bestFit="1" customWidth="1"/>
    <col min="35" max="35" width="4.453125" style="1" customWidth="1"/>
    <col min="36" max="36" width="8.54296875" style="1" bestFit="1" customWidth="1"/>
    <col min="37" max="37" width="8.7265625" style="1" bestFit="1" customWidth="1"/>
    <col min="38" max="38" width="8.54296875" style="373" bestFit="1" customWidth="1"/>
    <col min="39" max="39" width="8.54296875" style="1" bestFit="1" customWidth="1"/>
    <col min="40" max="40" width="4.453125" style="1" customWidth="1"/>
    <col min="41" max="41" width="8.54296875" style="1" bestFit="1" customWidth="1"/>
    <col min="42" max="42" width="8.7265625" style="1" bestFit="1" customWidth="1"/>
    <col min="43" max="43" width="8.54296875" style="373" customWidth="1"/>
    <col min="44" max="44" width="9.7265625" style="1" bestFit="1" customWidth="1"/>
    <col min="45" max="45" width="4.453125" style="1" customWidth="1"/>
    <col min="46" max="49" width="13" style="1"/>
    <col min="50" max="50" width="4.453125" style="1" customWidth="1"/>
    <col min="51" max="16384" width="13" style="1"/>
  </cols>
  <sheetData>
    <row r="1" spans="2:51" ht="22.5">
      <c r="B1" s="406" t="s">
        <v>0</v>
      </c>
      <c r="C1" s="2"/>
      <c r="D1" s="2"/>
      <c r="E1" s="2"/>
      <c r="F1" s="2"/>
      <c r="G1" s="2"/>
      <c r="H1" s="2"/>
      <c r="I1" s="2"/>
    </row>
    <row r="2" spans="2:51" ht="19">
      <c r="B2" s="408" t="s">
        <v>50</v>
      </c>
      <c r="C2" s="2"/>
      <c r="D2" s="2"/>
      <c r="E2" s="2"/>
      <c r="F2" s="2"/>
      <c r="G2" s="2"/>
      <c r="H2" s="2"/>
      <c r="I2" s="2"/>
    </row>
    <row r="3" spans="2:51" ht="14.5">
      <c r="B3" s="405" t="s">
        <v>40</v>
      </c>
      <c r="AT3" s="454"/>
    </row>
    <row r="4" spans="2:51" ht="12.75" customHeight="1">
      <c r="B4" s="369"/>
      <c r="C4" s="369"/>
      <c r="D4" s="369"/>
      <c r="E4" s="369"/>
      <c r="F4" s="369"/>
      <c r="AR4" s="156"/>
      <c r="AV4" s="156"/>
    </row>
    <row r="5" spans="2:51" ht="12.75" customHeight="1" thickBot="1">
      <c r="B5" s="369"/>
      <c r="C5" s="369"/>
      <c r="D5" s="369"/>
      <c r="E5" s="369"/>
      <c r="F5" s="369"/>
      <c r="Z5" s="373"/>
      <c r="AF5" s="373"/>
      <c r="AK5" s="373"/>
      <c r="AP5" s="373"/>
    </row>
    <row r="6" spans="2:51" ht="23.25" customHeight="1" thickTop="1" thickBot="1">
      <c r="B6" s="369"/>
      <c r="C6" s="449" t="s">
        <v>101</v>
      </c>
      <c r="D6" s="450"/>
      <c r="E6" s="450"/>
      <c r="F6" s="451"/>
      <c r="G6" s="367"/>
      <c r="H6" s="449" t="s">
        <v>102</v>
      </c>
      <c r="I6" s="450"/>
      <c r="J6" s="450"/>
      <c r="K6" s="450"/>
      <c r="L6" s="451"/>
      <c r="N6" s="446" t="s">
        <v>179</v>
      </c>
      <c r="O6" s="447"/>
      <c r="P6" s="447"/>
      <c r="Q6" s="447"/>
      <c r="R6" s="447"/>
      <c r="S6" s="447"/>
      <c r="T6" s="447"/>
      <c r="U6" s="448"/>
      <c r="W6" s="432" t="s">
        <v>196</v>
      </c>
      <c r="X6" s="433"/>
      <c r="Y6" s="433"/>
      <c r="Z6" s="433"/>
      <c r="AA6" s="433"/>
      <c r="AB6" s="433"/>
      <c r="AC6" s="434"/>
      <c r="AE6" s="432" t="s">
        <v>233</v>
      </c>
      <c r="AF6" s="433"/>
      <c r="AG6" s="433"/>
      <c r="AH6" s="434"/>
      <c r="AJ6" s="432" t="s">
        <v>255</v>
      </c>
      <c r="AK6" s="433"/>
      <c r="AL6" s="433"/>
      <c r="AM6" s="434"/>
      <c r="AO6" s="432" t="s">
        <v>291</v>
      </c>
      <c r="AP6" s="433"/>
      <c r="AQ6" s="433"/>
      <c r="AR6" s="434"/>
      <c r="AT6" s="432" t="s">
        <v>303</v>
      </c>
      <c r="AU6" s="433"/>
      <c r="AV6" s="433"/>
      <c r="AW6" s="434"/>
      <c r="AY6" s="274" t="s">
        <v>350</v>
      </c>
    </row>
    <row r="7" spans="2:51" ht="5.25" customHeight="1" thickTop="1" thickBot="1">
      <c r="B7" s="21"/>
      <c r="C7" s="167"/>
      <c r="D7" s="167"/>
      <c r="E7" s="167"/>
      <c r="F7" s="167"/>
      <c r="G7" s="167"/>
      <c r="H7" s="167"/>
      <c r="I7" s="167"/>
      <c r="N7" s="167"/>
      <c r="O7" s="167"/>
      <c r="AV7" s="421"/>
    </row>
    <row r="8" spans="2:51" ht="36.75" customHeight="1" thickTop="1" thickBot="1">
      <c r="C8" s="371" t="s">
        <v>99</v>
      </c>
      <c r="D8" s="371" t="s">
        <v>82</v>
      </c>
      <c r="E8" s="371" t="s">
        <v>128</v>
      </c>
      <c r="F8" s="371" t="s">
        <v>152</v>
      </c>
      <c r="H8" s="371" t="s">
        <v>98</v>
      </c>
      <c r="I8" s="371" t="s">
        <v>78</v>
      </c>
      <c r="J8" s="371" t="s">
        <v>129</v>
      </c>
      <c r="K8" s="371" t="s">
        <v>153</v>
      </c>
      <c r="L8" s="371" t="s">
        <v>188</v>
      </c>
      <c r="N8" s="371" t="s">
        <v>180</v>
      </c>
      <c r="O8" s="371" t="s">
        <v>198</v>
      </c>
      <c r="P8" s="371" t="s">
        <v>181</v>
      </c>
      <c r="Q8" s="371" t="s">
        <v>211</v>
      </c>
      <c r="R8" s="371" t="s">
        <v>185</v>
      </c>
      <c r="S8" s="371" t="s">
        <v>214</v>
      </c>
      <c r="T8" s="151" t="s">
        <v>189</v>
      </c>
      <c r="U8" s="151" t="s">
        <v>230</v>
      </c>
      <c r="W8" s="371" t="s">
        <v>197</v>
      </c>
      <c r="X8" s="371" t="s">
        <v>237</v>
      </c>
      <c r="Y8" s="151" t="s">
        <v>212</v>
      </c>
      <c r="Z8" s="151" t="s">
        <v>253</v>
      </c>
      <c r="AA8" s="151" t="s">
        <v>215</v>
      </c>
      <c r="AB8" s="151" t="s">
        <v>254</v>
      </c>
      <c r="AC8" s="151" t="s">
        <v>224</v>
      </c>
      <c r="AE8" s="371" t="s">
        <v>234</v>
      </c>
      <c r="AF8" s="151" t="s">
        <v>238</v>
      </c>
      <c r="AG8" s="151" t="s">
        <v>239</v>
      </c>
      <c r="AH8" s="151" t="s">
        <v>240</v>
      </c>
      <c r="AJ8" s="371" t="s">
        <v>258</v>
      </c>
      <c r="AK8" s="151" t="s">
        <v>260</v>
      </c>
      <c r="AL8" s="151" t="s">
        <v>261</v>
      </c>
      <c r="AM8" s="151" t="s">
        <v>262</v>
      </c>
      <c r="AO8" s="398" t="s">
        <v>292</v>
      </c>
      <c r="AP8" s="151" t="s">
        <v>294</v>
      </c>
      <c r="AQ8" s="151" t="s">
        <v>295</v>
      </c>
      <c r="AR8" s="151" t="s">
        <v>296</v>
      </c>
      <c r="AT8" s="420" t="s">
        <v>305</v>
      </c>
      <c r="AU8" s="151" t="s">
        <v>313</v>
      </c>
      <c r="AV8" s="151" t="s">
        <v>319</v>
      </c>
      <c r="AW8" s="151" t="s">
        <v>324</v>
      </c>
      <c r="AY8" s="420" t="s">
        <v>351</v>
      </c>
    </row>
    <row r="9" spans="2:51" ht="9.75" customHeight="1" thickTop="1">
      <c r="AQ9" s="399"/>
    </row>
    <row r="10" spans="2:51" ht="16.5" customHeight="1">
      <c r="B10" s="2" t="s">
        <v>141</v>
      </c>
      <c r="C10" s="341">
        <f>SUM(C12:C14)</f>
        <v>235101</v>
      </c>
      <c r="D10" s="341">
        <f>SUM(D12:D14)</f>
        <v>209590</v>
      </c>
      <c r="E10" s="341">
        <f>SUM(E12:E14)</f>
        <v>117690</v>
      </c>
      <c r="F10" s="341">
        <f>SUM(F12:F14)</f>
        <v>73531</v>
      </c>
      <c r="G10" s="342"/>
      <c r="H10" s="341">
        <f>SUM(H12:H14)</f>
        <v>125842</v>
      </c>
      <c r="I10" s="341">
        <f>SUM(I12:I14)</f>
        <v>170893</v>
      </c>
      <c r="J10" s="341">
        <f>SUM(J12:J14)</f>
        <v>695413</v>
      </c>
      <c r="K10" s="341">
        <f>SUM(K12:K14)</f>
        <v>104633</v>
      </c>
      <c r="L10" s="341">
        <f>SUM(L12:L14)</f>
        <v>152209</v>
      </c>
      <c r="N10" s="341">
        <f t="shared" ref="N10:U10" si="0">SUM(N12:N14)</f>
        <v>167794</v>
      </c>
      <c r="O10" s="341">
        <f t="shared" si="0"/>
        <v>161658</v>
      </c>
      <c r="P10" s="341">
        <f t="shared" si="0"/>
        <v>114531</v>
      </c>
      <c r="Q10" s="341">
        <f t="shared" si="0"/>
        <v>120347</v>
      </c>
      <c r="R10" s="341">
        <f t="shared" si="0"/>
        <v>192922</v>
      </c>
      <c r="S10" s="341">
        <f t="shared" si="0"/>
        <v>213722</v>
      </c>
      <c r="T10" s="341">
        <f t="shared" si="0"/>
        <v>622176</v>
      </c>
      <c r="U10" s="341">
        <f t="shared" si="0"/>
        <v>615759</v>
      </c>
      <c r="W10" s="341">
        <f t="shared" ref="W10:AC10" si="1">SUM(W12:W14)</f>
        <v>175924</v>
      </c>
      <c r="X10" s="341">
        <f t="shared" si="1"/>
        <v>178603</v>
      </c>
      <c r="Y10" s="341">
        <f t="shared" si="1"/>
        <v>211148</v>
      </c>
      <c r="Z10" s="341">
        <f t="shared" si="1"/>
        <v>212572</v>
      </c>
      <c r="AA10" s="341">
        <f t="shared" si="1"/>
        <v>754550</v>
      </c>
      <c r="AB10" s="341">
        <f t="shared" si="1"/>
        <v>754879</v>
      </c>
      <c r="AC10" s="341">
        <f t="shared" si="1"/>
        <v>48575</v>
      </c>
      <c r="AD10" s="156"/>
      <c r="AE10" s="341">
        <f t="shared" ref="AE10:AH10" si="2">SUM(AE12:AE14)</f>
        <v>851032</v>
      </c>
      <c r="AF10" s="341">
        <f t="shared" si="2"/>
        <v>98531</v>
      </c>
      <c r="AG10" s="341">
        <f t="shared" si="2"/>
        <v>246268</v>
      </c>
      <c r="AH10" s="341">
        <f t="shared" si="2"/>
        <v>183871</v>
      </c>
      <c r="AI10" s="156"/>
      <c r="AJ10" s="341">
        <f t="shared" ref="AJ10:AM10" si="3">SUM(AJ12:AJ14)</f>
        <v>307663</v>
      </c>
      <c r="AK10" s="341">
        <f t="shared" si="3"/>
        <v>96284</v>
      </c>
      <c r="AL10" s="341">
        <f t="shared" si="3"/>
        <v>256360</v>
      </c>
      <c r="AM10" s="341">
        <f t="shared" si="3"/>
        <v>185303</v>
      </c>
      <c r="AN10" s="156"/>
      <c r="AO10" s="341">
        <f t="shared" ref="AO10:AQ10" si="4">SUM(AO12:AO14)</f>
        <v>200250</v>
      </c>
      <c r="AP10" s="341">
        <f t="shared" si="4"/>
        <v>28378</v>
      </c>
      <c r="AQ10" s="341">
        <f t="shared" si="4"/>
        <v>24164</v>
      </c>
      <c r="AR10" s="341">
        <f t="shared" ref="AR10" si="5">SUM(AR12:AR14)</f>
        <v>3515</v>
      </c>
      <c r="AS10" s="297"/>
      <c r="AT10" s="341">
        <f t="shared" ref="AT10:AV10" si="6">SUM(AT12:AT14)</f>
        <v>189150</v>
      </c>
      <c r="AU10" s="341">
        <f t="shared" si="6"/>
        <v>219482</v>
      </c>
      <c r="AV10" s="341">
        <f t="shared" si="6"/>
        <v>170941</v>
      </c>
      <c r="AW10" s="341">
        <f>SUM(AW12:AW14)</f>
        <v>73187</v>
      </c>
      <c r="AX10" s="297"/>
      <c r="AY10" s="341">
        <f t="shared" ref="AY10" si="7">SUM(AY12:AY14)</f>
        <v>284711</v>
      </c>
    </row>
    <row r="11" spans="2:51" s="346" customFormat="1" ht="15.75" hidden="1" customHeight="1">
      <c r="B11" s="343" t="s">
        <v>48</v>
      </c>
      <c r="C11" s="344">
        <v>116</v>
      </c>
      <c r="D11" s="344">
        <v>113.54</v>
      </c>
      <c r="E11" s="344">
        <v>61.74</v>
      </c>
      <c r="F11" s="344">
        <v>32.630000000000003</v>
      </c>
      <c r="G11" s="345"/>
      <c r="H11" s="344">
        <v>47.65</v>
      </c>
      <c r="I11" s="344">
        <v>68.72</v>
      </c>
      <c r="J11" s="344">
        <v>230.82</v>
      </c>
      <c r="K11" s="344">
        <f>36.15-(3726/3244.51)</f>
        <v>35.001598546467726</v>
      </c>
      <c r="L11" s="344">
        <v>-347.18999999999994</v>
      </c>
      <c r="N11" s="344">
        <v>47.65</v>
      </c>
      <c r="O11" s="344">
        <v>47.65</v>
      </c>
      <c r="P11" s="344">
        <v>47.65</v>
      </c>
      <c r="Q11" s="344"/>
      <c r="R11" s="344">
        <v>47.65</v>
      </c>
      <c r="S11" s="344"/>
      <c r="T11" s="344">
        <v>47.65</v>
      </c>
      <c r="U11" s="344">
        <v>47.65</v>
      </c>
      <c r="W11" s="344">
        <v>47.65</v>
      </c>
      <c r="X11" s="344">
        <v>47.65</v>
      </c>
      <c r="AD11" s="156"/>
      <c r="AE11" s="344">
        <v>47.65</v>
      </c>
      <c r="AJ11" s="344">
        <v>47.65</v>
      </c>
      <c r="AO11" s="344">
        <v>47.65</v>
      </c>
      <c r="AT11" s="344">
        <v>47.65</v>
      </c>
      <c r="AY11" s="344">
        <v>47.65</v>
      </c>
    </row>
    <row r="12" spans="2:51" ht="16.5" customHeight="1">
      <c r="B12" s="347" t="s">
        <v>49</v>
      </c>
      <c r="C12" s="156">
        <v>129401</v>
      </c>
      <c r="D12" s="156">
        <v>100450</v>
      </c>
      <c r="E12" s="156">
        <v>80766</v>
      </c>
      <c r="F12" s="156">
        <f>31086-61+1</f>
        <v>31026</v>
      </c>
      <c r="H12" s="156">
        <v>106670</v>
      </c>
      <c r="I12" s="156">
        <v>88091</v>
      </c>
      <c r="J12" s="156">
        <v>602770</v>
      </c>
      <c r="K12" s="156">
        <v>536</v>
      </c>
      <c r="L12" s="156">
        <v>536</v>
      </c>
      <c r="N12" s="156">
        <v>88813</v>
      </c>
      <c r="O12" s="156">
        <v>88813</v>
      </c>
      <c r="P12" s="156">
        <v>77</v>
      </c>
      <c r="Q12" s="156">
        <v>77</v>
      </c>
      <c r="R12" s="156">
        <v>85637</v>
      </c>
      <c r="S12" s="156">
        <v>85637</v>
      </c>
      <c r="T12" s="156">
        <v>369974</v>
      </c>
      <c r="U12" s="156">
        <v>369974</v>
      </c>
      <c r="W12" s="156">
        <v>87695</v>
      </c>
      <c r="X12" s="156">
        <v>87695</v>
      </c>
      <c r="Y12" s="153">
        <v>66801</v>
      </c>
      <c r="Z12" s="153">
        <v>66802</v>
      </c>
      <c r="AA12" s="156">
        <v>505036</v>
      </c>
      <c r="AB12" s="156">
        <f>505036-1</f>
        <v>505035</v>
      </c>
      <c r="AC12" s="153">
        <v>0</v>
      </c>
      <c r="AD12" s="156"/>
      <c r="AE12" s="156">
        <v>748656</v>
      </c>
      <c r="AF12" s="153">
        <v>0</v>
      </c>
      <c r="AG12" s="153">
        <v>0</v>
      </c>
      <c r="AH12" s="153">
        <v>2807</v>
      </c>
      <c r="AI12" s="156"/>
      <c r="AJ12" s="156">
        <v>222023</v>
      </c>
      <c r="AK12" s="153">
        <v>0</v>
      </c>
      <c r="AL12" s="153">
        <v>0</v>
      </c>
      <c r="AM12" s="153">
        <v>0</v>
      </c>
      <c r="AN12" s="156"/>
      <c r="AO12" s="156">
        <v>148038</v>
      </c>
      <c r="AP12" s="153">
        <v>49</v>
      </c>
      <c r="AQ12" s="153">
        <v>835</v>
      </c>
      <c r="AR12" s="153">
        <v>-835</v>
      </c>
      <c r="AS12" s="155"/>
      <c r="AT12" s="156">
        <v>110035</v>
      </c>
      <c r="AU12" s="153">
        <v>1194</v>
      </c>
      <c r="AV12" s="153">
        <v>0</v>
      </c>
      <c r="AW12" s="153">
        <v>10</v>
      </c>
      <c r="AX12" s="155"/>
      <c r="AY12" s="156">
        <v>142382</v>
      </c>
    </row>
    <row r="13" spans="2:51" ht="16.5" customHeight="1">
      <c r="B13" s="347" t="s">
        <v>27</v>
      </c>
      <c r="C13" s="156">
        <v>28577</v>
      </c>
      <c r="D13" s="156">
        <v>15304</v>
      </c>
      <c r="E13" s="156">
        <v>7054</v>
      </c>
      <c r="F13" s="156">
        <v>18409</v>
      </c>
      <c r="G13" s="2"/>
      <c r="H13" s="156">
        <f>12337+1</f>
        <v>12338</v>
      </c>
      <c r="I13" s="156">
        <f>17460-1</f>
        <v>17459</v>
      </c>
      <c r="J13" s="156">
        <v>46930</v>
      </c>
      <c r="K13" s="156">
        <v>53873</v>
      </c>
      <c r="L13" s="156">
        <v>98620</v>
      </c>
      <c r="N13" s="156">
        <v>38513</v>
      </c>
      <c r="O13" s="156">
        <v>38513</v>
      </c>
      <c r="P13" s="156">
        <v>8075</v>
      </c>
      <c r="Q13" s="156">
        <v>8075</v>
      </c>
      <c r="R13" s="156">
        <v>29910</v>
      </c>
      <c r="S13" s="156">
        <v>29910</v>
      </c>
      <c r="T13" s="156">
        <v>123584</v>
      </c>
      <c r="U13" s="156">
        <f>123584+7228</f>
        <v>130812</v>
      </c>
      <c r="W13" s="156">
        <v>2628</v>
      </c>
      <c r="X13" s="156">
        <v>2680</v>
      </c>
      <c r="Y13" s="153">
        <v>43623</v>
      </c>
      <c r="Z13" s="153">
        <f>43623+528</f>
        <v>44151</v>
      </c>
      <c r="AA13" s="156">
        <v>174327</v>
      </c>
      <c r="AB13" s="156">
        <f>174327+5135</f>
        <v>179462</v>
      </c>
      <c r="AC13" s="156">
        <v>39876</v>
      </c>
      <c r="AD13" s="156"/>
      <c r="AE13" s="156">
        <v>26678</v>
      </c>
      <c r="AF13" s="153">
        <v>29779</v>
      </c>
      <c r="AG13" s="153">
        <v>30591</v>
      </c>
      <c r="AH13" s="153">
        <v>105122</v>
      </c>
      <c r="AI13" s="156"/>
      <c r="AJ13" s="156">
        <v>29099</v>
      </c>
      <c r="AK13" s="153">
        <v>30889</v>
      </c>
      <c r="AL13" s="153">
        <v>43447</v>
      </c>
      <c r="AM13" s="153">
        <v>86250</v>
      </c>
      <c r="AN13" s="156"/>
      <c r="AO13" s="156">
        <v>38335</v>
      </c>
      <c r="AP13" s="153">
        <v>46479</v>
      </c>
      <c r="AQ13" s="153">
        <v>13191</v>
      </c>
      <c r="AR13" s="153">
        <v>44139</v>
      </c>
      <c r="AS13" s="155"/>
      <c r="AT13" s="156">
        <v>29032</v>
      </c>
      <c r="AU13" s="153">
        <v>111698</v>
      </c>
      <c r="AV13" s="153">
        <v>42829</v>
      </c>
      <c r="AW13" s="153">
        <v>54925</v>
      </c>
      <c r="AX13" s="155"/>
      <c r="AY13" s="156">
        <v>75266</v>
      </c>
    </row>
    <row r="14" spans="2:51" ht="12.5">
      <c r="B14" s="347" t="s">
        <v>158</v>
      </c>
      <c r="C14" s="156">
        <v>77123</v>
      </c>
      <c r="D14" s="156">
        <v>93836</v>
      </c>
      <c r="E14" s="156">
        <v>29870</v>
      </c>
      <c r="F14" s="156">
        <v>24096</v>
      </c>
      <c r="H14" s="156">
        <f>6835-1</f>
        <v>6834</v>
      </c>
      <c r="I14" s="156">
        <f>65342+1</f>
        <v>65343</v>
      </c>
      <c r="J14" s="156">
        <v>45713</v>
      </c>
      <c r="K14" s="156">
        <f>53950-3726</f>
        <v>50224</v>
      </c>
      <c r="L14" s="156">
        <v>53053</v>
      </c>
      <c r="N14" s="156">
        <v>40468</v>
      </c>
      <c r="O14" s="156">
        <v>34332</v>
      </c>
      <c r="P14" s="156">
        <v>106379</v>
      </c>
      <c r="Q14" s="156">
        <v>112195</v>
      </c>
      <c r="R14" s="156">
        <v>77375</v>
      </c>
      <c r="S14" s="156">
        <v>98175</v>
      </c>
      <c r="T14" s="156">
        <v>128618</v>
      </c>
      <c r="U14" s="156">
        <f>108138-1229-4483+12547</f>
        <v>114973</v>
      </c>
      <c r="W14" s="156">
        <v>85601</v>
      </c>
      <c r="X14" s="156">
        <v>88228</v>
      </c>
      <c r="Y14" s="153">
        <v>100724</v>
      </c>
      <c r="Z14" s="153">
        <f>100724+895</f>
        <v>101619</v>
      </c>
      <c r="AA14" s="156">
        <v>75187</v>
      </c>
      <c r="AB14" s="156">
        <f>75187-4805</f>
        <v>70382</v>
      </c>
      <c r="AC14" s="156">
        <v>8699</v>
      </c>
      <c r="AD14" s="156"/>
      <c r="AE14" s="156">
        <v>75698</v>
      </c>
      <c r="AF14" s="153">
        <v>68752</v>
      </c>
      <c r="AG14" s="153">
        <f>198108+17569</f>
        <v>215677</v>
      </c>
      <c r="AH14" s="153">
        <v>75942</v>
      </c>
      <c r="AI14" s="156"/>
      <c r="AJ14" s="156">
        <v>56541</v>
      </c>
      <c r="AK14" s="153">
        <v>65395</v>
      </c>
      <c r="AL14" s="153">
        <v>212913</v>
      </c>
      <c r="AM14" s="153">
        <v>99053</v>
      </c>
      <c r="AN14" s="156"/>
      <c r="AO14" s="156">
        <v>13877</v>
      </c>
      <c r="AP14" s="153">
        <v>-18150</v>
      </c>
      <c r="AQ14" s="153">
        <v>10138</v>
      </c>
      <c r="AR14" s="155">
        <f>-48101+555+4929+2827+1</f>
        <v>-39789</v>
      </c>
      <c r="AS14" s="155"/>
      <c r="AT14" s="156">
        <v>50083</v>
      </c>
      <c r="AU14" s="155">
        <v>106590</v>
      </c>
      <c r="AV14" s="155">
        <v>128112</v>
      </c>
      <c r="AW14" s="155">
        <v>18252</v>
      </c>
      <c r="AX14" s="155"/>
      <c r="AY14" s="156">
        <v>67063</v>
      </c>
    </row>
    <row r="15" spans="2:51" ht="8.25" customHeight="1">
      <c r="C15" s="271"/>
      <c r="D15" s="271"/>
      <c r="E15" s="271"/>
      <c r="F15" s="271"/>
      <c r="H15" s="271"/>
      <c r="I15" s="271"/>
      <c r="J15" s="271"/>
      <c r="K15" s="271"/>
      <c r="L15" s="271"/>
      <c r="N15" s="271"/>
      <c r="O15" s="271"/>
      <c r="P15" s="271"/>
      <c r="Q15" s="271"/>
      <c r="R15" s="271"/>
      <c r="S15" s="271"/>
      <c r="T15" s="271"/>
      <c r="U15" s="271"/>
      <c r="W15" s="271"/>
      <c r="X15" s="271"/>
      <c r="AC15" s="153"/>
      <c r="AD15" s="156"/>
      <c r="AE15" s="271"/>
      <c r="AF15" s="153"/>
      <c r="AG15" s="153"/>
      <c r="AH15" s="153"/>
      <c r="AI15" s="156"/>
      <c r="AJ15" s="271"/>
      <c r="AK15" s="153"/>
      <c r="AL15" s="153"/>
      <c r="AM15" s="153"/>
      <c r="AN15" s="156"/>
      <c r="AO15" s="271"/>
      <c r="AP15" s="153"/>
      <c r="AQ15" s="153"/>
      <c r="AR15" s="153"/>
      <c r="AS15" s="155"/>
      <c r="AT15" s="271"/>
      <c r="AU15" s="153"/>
      <c r="AV15" s="153"/>
      <c r="AW15" s="153"/>
      <c r="AX15" s="155"/>
      <c r="AY15" s="271"/>
    </row>
    <row r="16" spans="2:51" ht="16.5" customHeight="1">
      <c r="B16" s="2" t="s">
        <v>26</v>
      </c>
      <c r="C16" s="297">
        <f>SUM(C17:C18)</f>
        <v>43387</v>
      </c>
      <c r="D16" s="297">
        <f>SUM(D17:D18)</f>
        <v>118045</v>
      </c>
      <c r="E16" s="297">
        <f>SUM(E17:E18)</f>
        <v>66308</v>
      </c>
      <c r="F16" s="297">
        <f>SUM(F17:F18)</f>
        <v>55712</v>
      </c>
      <c r="H16" s="297">
        <f>SUM(H17:H18)</f>
        <v>883</v>
      </c>
      <c r="I16" s="297">
        <f>SUM(I17:I18)</f>
        <v>45227</v>
      </c>
      <c r="J16" s="297">
        <f>SUM(J17:J18)</f>
        <v>331494</v>
      </c>
      <c r="K16" s="297">
        <f>SUM(K17:K18)</f>
        <v>92559</v>
      </c>
      <c r="L16" s="297">
        <f t="shared" ref="L16:U16" si="8">SUM(L17:L18)</f>
        <v>94234</v>
      </c>
      <c r="M16" s="297">
        <f t="shared" si="8"/>
        <v>0</v>
      </c>
      <c r="N16" s="297">
        <f t="shared" si="8"/>
        <v>2687</v>
      </c>
      <c r="O16" s="297">
        <f t="shared" si="8"/>
        <v>2687</v>
      </c>
      <c r="P16" s="297">
        <f t="shared" si="8"/>
        <v>67</v>
      </c>
      <c r="Q16" s="297">
        <f t="shared" si="8"/>
        <v>67</v>
      </c>
      <c r="R16" s="297">
        <f t="shared" si="8"/>
        <v>77774</v>
      </c>
      <c r="S16" s="297">
        <f t="shared" si="8"/>
        <v>77774</v>
      </c>
      <c r="T16" s="297">
        <f t="shared" si="8"/>
        <v>378153</v>
      </c>
      <c r="U16" s="297">
        <f t="shared" si="8"/>
        <v>378153</v>
      </c>
      <c r="W16" s="297">
        <f t="shared" ref="W16:AC16" si="9">SUM(W17:W18)</f>
        <v>492</v>
      </c>
      <c r="X16" s="297">
        <f t="shared" si="9"/>
        <v>492</v>
      </c>
      <c r="Y16" s="297">
        <f t="shared" si="9"/>
        <v>94127</v>
      </c>
      <c r="Z16" s="297">
        <f t="shared" si="9"/>
        <v>94127</v>
      </c>
      <c r="AA16" s="297">
        <f t="shared" si="9"/>
        <v>296662</v>
      </c>
      <c r="AB16" s="297">
        <f t="shared" si="9"/>
        <v>296662</v>
      </c>
      <c r="AC16" s="297">
        <f t="shared" si="9"/>
        <v>6252</v>
      </c>
      <c r="AD16" s="156"/>
      <c r="AE16" s="297">
        <f t="shared" ref="AE16:AH16" si="10">SUM(AE17:AE18)</f>
        <v>295651</v>
      </c>
      <c r="AF16" s="297">
        <f t="shared" si="10"/>
        <v>937</v>
      </c>
      <c r="AG16" s="297">
        <f t="shared" si="10"/>
        <v>811</v>
      </c>
      <c r="AH16" s="297">
        <f t="shared" si="10"/>
        <v>10997</v>
      </c>
      <c r="AI16" s="156"/>
      <c r="AJ16" s="297">
        <f t="shared" ref="AJ16:AM16" si="11">SUM(AJ17:AJ18)</f>
        <v>59008</v>
      </c>
      <c r="AK16" s="297">
        <f t="shared" si="11"/>
        <v>1000</v>
      </c>
      <c r="AL16" s="297">
        <f t="shared" si="11"/>
        <v>1652</v>
      </c>
      <c r="AM16" s="297">
        <f t="shared" si="11"/>
        <v>37821</v>
      </c>
      <c r="AN16" s="156"/>
      <c r="AO16" s="297">
        <f t="shared" ref="AO16:AQ16" si="12">SUM(AO17:AO18)</f>
        <v>23386</v>
      </c>
      <c r="AP16" s="297">
        <f t="shared" si="12"/>
        <v>10243</v>
      </c>
      <c r="AQ16" s="297">
        <f t="shared" si="12"/>
        <v>1856</v>
      </c>
      <c r="AR16" s="297">
        <f t="shared" ref="AR16" si="13">SUM(AR17:AR18)</f>
        <v>19618</v>
      </c>
      <c r="AS16" s="297"/>
      <c r="AT16" s="297">
        <f t="shared" ref="AT16:AW16" si="14">SUM(AT17:AT18)</f>
        <v>1999</v>
      </c>
      <c r="AU16" s="297">
        <f t="shared" si="14"/>
        <v>60307</v>
      </c>
      <c r="AV16" s="297">
        <f t="shared" si="14"/>
        <v>15452</v>
      </c>
      <c r="AW16" s="297">
        <f t="shared" si="14"/>
        <v>25738</v>
      </c>
      <c r="AX16" s="297"/>
      <c r="AY16" s="297">
        <f t="shared" ref="AY16" si="15">SUM(AY17:AY18)</f>
        <v>22530</v>
      </c>
    </row>
    <row r="17" spans="2:51" ht="16.5" customHeight="1">
      <c r="B17" s="347" t="s">
        <v>144</v>
      </c>
      <c r="C17" s="271">
        <v>32888</v>
      </c>
      <c r="D17" s="271">
        <v>116153</v>
      </c>
      <c r="E17" s="271">
        <v>65351</v>
      </c>
      <c r="F17" s="271">
        <v>41882</v>
      </c>
      <c r="H17" s="271"/>
      <c r="I17" s="271">
        <v>42075</v>
      </c>
      <c r="J17" s="271">
        <v>313850</v>
      </c>
      <c r="K17" s="271">
        <v>57364</v>
      </c>
      <c r="L17" s="271">
        <v>57365</v>
      </c>
      <c r="N17" s="168">
        <v>0</v>
      </c>
      <c r="O17" s="168">
        <v>0</v>
      </c>
      <c r="P17" s="271">
        <v>67</v>
      </c>
      <c r="Q17" s="271">
        <v>67</v>
      </c>
      <c r="R17" s="271">
        <v>77774</v>
      </c>
      <c r="S17" s="271">
        <v>77774</v>
      </c>
      <c r="T17" s="271">
        <v>357713</v>
      </c>
      <c r="U17" s="156">
        <v>357713</v>
      </c>
      <c r="W17" s="168">
        <v>0</v>
      </c>
      <c r="X17" s="168">
        <v>0</v>
      </c>
      <c r="Y17" s="153">
        <v>66801</v>
      </c>
      <c r="Z17" s="153">
        <v>66801</v>
      </c>
      <c r="AA17" s="156">
        <v>284261</v>
      </c>
      <c r="AB17" s="156">
        <v>284261</v>
      </c>
      <c r="AC17" s="170">
        <v>0</v>
      </c>
      <c r="AD17" s="156"/>
      <c r="AE17" s="168">
        <v>294773</v>
      </c>
      <c r="AF17" s="153">
        <v>0</v>
      </c>
      <c r="AG17" s="153">
        <v>0</v>
      </c>
      <c r="AH17" s="153">
        <v>382</v>
      </c>
      <c r="AI17" s="156"/>
      <c r="AJ17" s="168">
        <v>58454</v>
      </c>
      <c r="AK17" s="153">
        <v>0</v>
      </c>
      <c r="AL17" s="153">
        <v>0</v>
      </c>
      <c r="AM17" s="153">
        <v>0</v>
      </c>
      <c r="AN17" s="156"/>
      <c r="AO17" s="168">
        <v>22954</v>
      </c>
      <c r="AP17" s="153">
        <v>1</v>
      </c>
      <c r="AQ17" s="153">
        <v>835</v>
      </c>
      <c r="AR17" s="155">
        <f>-836+1</f>
        <v>-835</v>
      </c>
      <c r="AS17" s="155"/>
      <c r="AT17" s="168">
        <v>0</v>
      </c>
      <c r="AU17" s="153">
        <v>1148</v>
      </c>
      <c r="AV17" s="153"/>
      <c r="AW17" s="155">
        <v>0</v>
      </c>
      <c r="AX17" s="155"/>
      <c r="AY17" s="168">
        <v>0</v>
      </c>
    </row>
    <row r="18" spans="2:51" ht="16.5" customHeight="1">
      <c r="B18" s="347" t="s">
        <v>145</v>
      </c>
      <c r="C18" s="271">
        <v>10499</v>
      </c>
      <c r="D18" s="271">
        <v>1892</v>
      </c>
      <c r="E18" s="271">
        <v>957</v>
      </c>
      <c r="F18" s="271">
        <v>13830</v>
      </c>
      <c r="H18" s="271">
        <v>883</v>
      </c>
      <c r="I18" s="271">
        <v>3152</v>
      </c>
      <c r="J18" s="271">
        <v>17644</v>
      </c>
      <c r="K18" s="271">
        <v>35195</v>
      </c>
      <c r="L18" s="271">
        <v>36869</v>
      </c>
      <c r="N18" s="271">
        <v>2687</v>
      </c>
      <c r="O18" s="271">
        <v>2687</v>
      </c>
      <c r="P18" s="168">
        <v>0</v>
      </c>
      <c r="Q18" s="168">
        <v>0</v>
      </c>
      <c r="R18" s="168">
        <v>0</v>
      </c>
      <c r="S18" s="168">
        <v>0</v>
      </c>
      <c r="T18" s="168">
        <v>20440</v>
      </c>
      <c r="U18" s="156">
        <v>20440</v>
      </c>
      <c r="W18" s="271">
        <v>492</v>
      </c>
      <c r="X18" s="271">
        <v>492</v>
      </c>
      <c r="Y18" s="153">
        <v>27326</v>
      </c>
      <c r="Z18" s="153">
        <v>27326</v>
      </c>
      <c r="AA18" s="156">
        <v>12401</v>
      </c>
      <c r="AB18" s="156">
        <v>12401</v>
      </c>
      <c r="AC18" s="153">
        <v>6252</v>
      </c>
      <c r="AD18" s="156"/>
      <c r="AE18" s="271">
        <v>878</v>
      </c>
      <c r="AF18" s="153">
        <v>937</v>
      </c>
      <c r="AG18" s="153">
        <v>811</v>
      </c>
      <c r="AH18" s="153">
        <v>10615</v>
      </c>
      <c r="AI18" s="156"/>
      <c r="AJ18" s="271">
        <v>554</v>
      </c>
      <c r="AK18" s="153">
        <v>1000</v>
      </c>
      <c r="AL18" s="153">
        <v>1652</v>
      </c>
      <c r="AM18" s="153">
        <v>37821</v>
      </c>
      <c r="AN18" s="156"/>
      <c r="AO18" s="271">
        <v>432</v>
      </c>
      <c r="AP18" s="153">
        <v>10242</v>
      </c>
      <c r="AQ18" s="153">
        <v>1021</v>
      </c>
      <c r="AR18" s="153">
        <v>20453</v>
      </c>
      <c r="AS18" s="155"/>
      <c r="AT18" s="271">
        <v>1999</v>
      </c>
      <c r="AU18" s="153">
        <v>59159</v>
      </c>
      <c r="AV18" s="153">
        <v>15452</v>
      </c>
      <c r="AW18" s="153">
        <v>25738</v>
      </c>
      <c r="AX18" s="155"/>
      <c r="AY18" s="271">
        <v>22530</v>
      </c>
    </row>
    <row r="19" spans="2:51" ht="3.75" customHeight="1">
      <c r="C19" s="271"/>
      <c r="D19" s="271"/>
      <c r="E19" s="271"/>
      <c r="F19" s="271"/>
      <c r="H19" s="271"/>
      <c r="I19" s="271"/>
      <c r="J19" s="271"/>
      <c r="K19" s="271"/>
      <c r="L19" s="271"/>
      <c r="N19" s="271"/>
      <c r="O19" s="271"/>
      <c r="P19" s="271"/>
      <c r="Q19" s="271"/>
      <c r="R19" s="271"/>
      <c r="S19" s="271"/>
      <c r="T19" s="271"/>
      <c r="U19" s="271"/>
      <c r="W19" s="271"/>
      <c r="X19" s="271"/>
      <c r="AD19" s="156"/>
      <c r="AE19" s="271"/>
      <c r="AI19" s="156"/>
      <c r="AJ19" s="271"/>
      <c r="AN19" s="156"/>
      <c r="AO19" s="271"/>
      <c r="AQ19" s="399"/>
      <c r="AT19" s="271"/>
      <c r="AV19"/>
      <c r="AY19" s="271"/>
    </row>
    <row r="20" spans="2:51" s="2" customFormat="1" ht="16.5" customHeight="1">
      <c r="B20" s="2" t="s">
        <v>2</v>
      </c>
      <c r="C20" s="297">
        <f>+C10-C16</f>
        <v>191714</v>
      </c>
      <c r="D20" s="297">
        <f>+D10-D16</f>
        <v>91545</v>
      </c>
      <c r="E20" s="297">
        <f>+E10-E16</f>
        <v>51382</v>
      </c>
      <c r="F20" s="297">
        <f>+F10-F16</f>
        <v>17819</v>
      </c>
      <c r="H20" s="297">
        <f>+H10-H16</f>
        <v>124959</v>
      </c>
      <c r="I20" s="297">
        <f>+I10-I16</f>
        <v>125666</v>
      </c>
      <c r="J20" s="297">
        <f>+J10-J16</f>
        <v>363919</v>
      </c>
      <c r="K20" s="297">
        <f>+K10-K16</f>
        <v>12074</v>
      </c>
      <c r="L20" s="297">
        <f>+L10-L16</f>
        <v>57975</v>
      </c>
      <c r="N20" s="297">
        <f t="shared" ref="N20:U20" si="16">+N10-N16</f>
        <v>165107</v>
      </c>
      <c r="O20" s="297">
        <f t="shared" si="16"/>
        <v>158971</v>
      </c>
      <c r="P20" s="297">
        <f t="shared" si="16"/>
        <v>114464</v>
      </c>
      <c r="Q20" s="297">
        <f t="shared" si="16"/>
        <v>120280</v>
      </c>
      <c r="R20" s="297">
        <f t="shared" si="16"/>
        <v>115148</v>
      </c>
      <c r="S20" s="297">
        <f t="shared" si="16"/>
        <v>135948</v>
      </c>
      <c r="T20" s="297">
        <f t="shared" si="16"/>
        <v>244023</v>
      </c>
      <c r="U20" s="297">
        <f t="shared" si="16"/>
        <v>237606</v>
      </c>
      <c r="W20" s="297">
        <f t="shared" ref="W20:AC20" si="17">+W10-W16</f>
        <v>175432</v>
      </c>
      <c r="X20" s="297">
        <f t="shared" si="17"/>
        <v>178111</v>
      </c>
      <c r="Y20" s="297">
        <f t="shared" si="17"/>
        <v>117021</v>
      </c>
      <c r="Z20" s="297">
        <f t="shared" si="17"/>
        <v>118445</v>
      </c>
      <c r="AA20" s="297">
        <f t="shared" si="17"/>
        <v>457888</v>
      </c>
      <c r="AB20" s="297">
        <f t="shared" si="17"/>
        <v>458217</v>
      </c>
      <c r="AC20" s="297">
        <f t="shared" si="17"/>
        <v>42323</v>
      </c>
      <c r="AD20" s="156"/>
      <c r="AE20" s="297">
        <f t="shared" ref="AE20:AH20" si="18">+AE10-AE16</f>
        <v>555381</v>
      </c>
      <c r="AF20" s="297">
        <f t="shared" si="18"/>
        <v>97594</v>
      </c>
      <c r="AG20" s="297">
        <f t="shared" si="18"/>
        <v>245457</v>
      </c>
      <c r="AH20" s="297">
        <f t="shared" si="18"/>
        <v>172874</v>
      </c>
      <c r="AI20" s="156"/>
      <c r="AJ20" s="297">
        <f t="shared" ref="AJ20:AM20" si="19">+AJ10-AJ16</f>
        <v>248655</v>
      </c>
      <c r="AK20" s="297">
        <f t="shared" si="19"/>
        <v>95284</v>
      </c>
      <c r="AL20" s="297">
        <f t="shared" si="19"/>
        <v>254708</v>
      </c>
      <c r="AM20" s="297">
        <f t="shared" si="19"/>
        <v>147482</v>
      </c>
      <c r="AN20" s="156"/>
      <c r="AO20" s="297">
        <f t="shared" ref="AO20:AR20" si="20">+AO10-AO16</f>
        <v>176864</v>
      </c>
      <c r="AP20" s="297">
        <f t="shared" si="20"/>
        <v>18135</v>
      </c>
      <c r="AQ20" s="297">
        <f t="shared" si="20"/>
        <v>22308</v>
      </c>
      <c r="AR20" s="297">
        <f t="shared" si="20"/>
        <v>-16103</v>
      </c>
      <c r="AS20" s="297"/>
      <c r="AT20" s="297">
        <f t="shared" ref="AT20:AW20" si="21">+AT10-AT16</f>
        <v>187151</v>
      </c>
      <c r="AU20" s="297">
        <f t="shared" si="21"/>
        <v>159175</v>
      </c>
      <c r="AV20" s="297">
        <f t="shared" si="21"/>
        <v>155489</v>
      </c>
      <c r="AW20" s="297">
        <f t="shared" si="21"/>
        <v>47449</v>
      </c>
      <c r="AX20" s="297"/>
      <c r="AY20" s="297">
        <f t="shared" ref="AY20" si="22">+AY10-AY16</f>
        <v>262181</v>
      </c>
    </row>
    <row r="21" spans="2:51" ht="16.5" customHeight="1">
      <c r="B21" s="169" t="s">
        <v>3</v>
      </c>
      <c r="C21" s="61">
        <f>+C20/C$10</f>
        <v>0.81545378369296595</v>
      </c>
      <c r="D21" s="61">
        <f>+D20/D$10</f>
        <v>0.43678133498735627</v>
      </c>
      <c r="E21" s="61">
        <f>+E20/E$10</f>
        <v>0.43658764550938906</v>
      </c>
      <c r="F21" s="61">
        <f>+F20/F$10</f>
        <v>0.24233316560362297</v>
      </c>
      <c r="H21" s="61">
        <f>+H20/H$10</f>
        <v>0.99298326472878684</v>
      </c>
      <c r="I21" s="61">
        <f>+I20/I$10</f>
        <v>0.73534901956194809</v>
      </c>
      <c r="J21" s="61">
        <f>+J20/J$10</f>
        <v>0.52331348421729251</v>
      </c>
      <c r="K21" s="61">
        <f t="shared" ref="K21:L21" si="23">+K20/K$10</f>
        <v>0.1153938050137146</v>
      </c>
      <c r="L21" s="61">
        <f t="shared" si="23"/>
        <v>0.38089074890446689</v>
      </c>
      <c r="N21" s="61">
        <f t="shared" ref="N21:U21" si="24">+N20/N$10</f>
        <v>0.98398631655482316</v>
      </c>
      <c r="O21" s="61">
        <f t="shared" si="24"/>
        <v>0.98337849039329939</v>
      </c>
      <c r="P21" s="61">
        <f t="shared" si="24"/>
        <v>0.99941500554435048</v>
      </c>
      <c r="Q21" s="61">
        <f t="shared" si="24"/>
        <v>0.99944327652538079</v>
      </c>
      <c r="R21" s="61">
        <f t="shared" si="24"/>
        <v>0.59686298089383272</v>
      </c>
      <c r="S21" s="61">
        <f t="shared" si="24"/>
        <v>0.63609736012202767</v>
      </c>
      <c r="T21" s="61">
        <f t="shared" si="24"/>
        <v>0.39220895695108782</v>
      </c>
      <c r="U21" s="61">
        <f t="shared" si="24"/>
        <v>0.38587499330095054</v>
      </c>
      <c r="W21" s="61">
        <f t="shared" ref="W21:AC21" si="25">+W20/W$10</f>
        <v>0.99720333780496129</v>
      </c>
      <c r="X21" s="61">
        <f t="shared" si="25"/>
        <v>0.99724528703325255</v>
      </c>
      <c r="Y21" s="61">
        <f t="shared" si="25"/>
        <v>0.55421315854282305</v>
      </c>
      <c r="Z21" s="61">
        <f t="shared" si="25"/>
        <v>0.55719944301225</v>
      </c>
      <c r="AA21" s="61">
        <f t="shared" si="25"/>
        <v>0.60683586243456367</v>
      </c>
      <c r="AB21" s="61">
        <f t="shared" si="25"/>
        <v>0.60700721572596406</v>
      </c>
      <c r="AC21" s="61">
        <f t="shared" si="25"/>
        <v>0.87129181677817813</v>
      </c>
      <c r="AD21" s="156"/>
      <c r="AE21" s="61">
        <f t="shared" ref="AE21:AH21" si="26">+AE20/AE$10</f>
        <v>0.65259708213087164</v>
      </c>
      <c r="AF21" s="61">
        <f t="shared" si="26"/>
        <v>0.99049030254437687</v>
      </c>
      <c r="AG21" s="61">
        <f t="shared" si="26"/>
        <v>0.99670683970308771</v>
      </c>
      <c r="AH21" s="61">
        <f t="shared" si="26"/>
        <v>0.94019176487863776</v>
      </c>
      <c r="AI21" s="156"/>
      <c r="AJ21" s="61">
        <f t="shared" ref="AJ21:AM21" si="27">+AJ20/AJ$10</f>
        <v>0.80820573159593456</v>
      </c>
      <c r="AK21" s="61">
        <f t="shared" si="27"/>
        <v>0.98961405841053551</v>
      </c>
      <c r="AL21" s="61">
        <f t="shared" si="27"/>
        <v>0.99355593696364486</v>
      </c>
      <c r="AM21" s="61">
        <f t="shared" si="27"/>
        <v>0.79589645067807857</v>
      </c>
      <c r="AN21" s="156"/>
      <c r="AO21" s="61">
        <f t="shared" ref="AO21:AR21" si="28">+AO20/AO$10</f>
        <v>0.88321598002496882</v>
      </c>
      <c r="AP21" s="61">
        <f t="shared" si="28"/>
        <v>0.6390513778278949</v>
      </c>
      <c r="AQ21" s="61">
        <f t="shared" si="28"/>
        <v>0.9231915245820228</v>
      </c>
      <c r="AR21" s="61">
        <f t="shared" si="28"/>
        <v>-4.5812233285917499</v>
      </c>
      <c r="AS21" s="61"/>
      <c r="AT21" s="61">
        <f t="shared" ref="AT21:AW21" si="29">+AT20/AT$10</f>
        <v>0.98943166798836901</v>
      </c>
      <c r="AU21" s="61">
        <f t="shared" si="29"/>
        <v>0.72523031501444313</v>
      </c>
      <c r="AV21" s="61">
        <f t="shared" si="29"/>
        <v>0.90960623840974375</v>
      </c>
      <c r="AW21" s="61">
        <f t="shared" si="29"/>
        <v>0.64832552229221041</v>
      </c>
      <c r="AX21" s="61"/>
      <c r="AY21" s="61">
        <f t="shared" ref="AY21" si="30">+AY20/AY$10</f>
        <v>0.92086712490911837</v>
      </c>
    </row>
    <row r="22" spans="2:51" ht="4.5" customHeight="1">
      <c r="C22" s="271"/>
      <c r="D22" s="271"/>
      <c r="E22" s="271"/>
      <c r="F22" s="271"/>
      <c r="H22" s="271"/>
      <c r="I22" s="271"/>
      <c r="J22" s="271"/>
      <c r="K22" s="271"/>
      <c r="L22" s="271"/>
      <c r="N22" s="271"/>
      <c r="O22" s="271"/>
      <c r="P22" s="271"/>
      <c r="Q22" s="271"/>
      <c r="R22" s="271"/>
      <c r="S22" s="271"/>
      <c r="T22" s="271"/>
      <c r="U22" s="271"/>
      <c r="W22" s="271"/>
      <c r="X22" s="271"/>
      <c r="AD22" s="156"/>
      <c r="AE22" s="271"/>
      <c r="AI22" s="156"/>
      <c r="AJ22" s="271"/>
      <c r="AN22" s="156"/>
      <c r="AO22" s="271"/>
      <c r="AQ22" s="399"/>
      <c r="AT22" s="271"/>
      <c r="AV22"/>
      <c r="AY22" s="271"/>
    </row>
    <row r="23" spans="2:51" ht="15" customHeight="1">
      <c r="B23" s="2" t="s">
        <v>146</v>
      </c>
      <c r="C23" s="297">
        <f>SUM(C24:C27)</f>
        <v>23088</v>
      </c>
      <c r="D23" s="297">
        <f>SUM(D24:D27)</f>
        <v>18094</v>
      </c>
      <c r="E23" s="297">
        <f>SUM(E24:E27)</f>
        <v>19160</v>
      </c>
      <c r="F23" s="297">
        <f>SUM(F24:F27)</f>
        <v>78138</v>
      </c>
      <c r="H23" s="297">
        <f>SUM(H24:H27)</f>
        <v>34292</v>
      </c>
      <c r="I23" s="297">
        <f>SUM(I24:I27)</f>
        <v>21254</v>
      </c>
      <c r="J23" s="297">
        <f>SUM(J24:J27)</f>
        <v>18619</v>
      </c>
      <c r="K23" s="297">
        <f>SUM(K24:K27)</f>
        <v>44058</v>
      </c>
      <c r="L23" s="297">
        <f>SUM(L24:L27)</f>
        <v>43755</v>
      </c>
      <c r="N23" s="297">
        <f t="shared" ref="N23:U23" si="31">SUM(N24:N27)</f>
        <v>47851</v>
      </c>
      <c r="O23" s="297">
        <f t="shared" si="31"/>
        <v>47851</v>
      </c>
      <c r="P23" s="297">
        <f t="shared" si="31"/>
        <v>18821</v>
      </c>
      <c r="Q23" s="297">
        <f t="shared" si="31"/>
        <v>18821</v>
      </c>
      <c r="R23" s="297">
        <f t="shared" si="31"/>
        <v>23564</v>
      </c>
      <c r="S23" s="297">
        <f t="shared" si="31"/>
        <v>23558</v>
      </c>
      <c r="T23" s="297">
        <f t="shared" si="31"/>
        <v>38991</v>
      </c>
      <c r="U23" s="297">
        <f t="shared" si="31"/>
        <v>43613</v>
      </c>
      <c r="W23" s="297">
        <f t="shared" ref="W23:AC23" si="32">SUM(W24:W27)</f>
        <v>47563</v>
      </c>
      <c r="X23" s="297">
        <f t="shared" si="32"/>
        <v>49395</v>
      </c>
      <c r="Y23" s="297">
        <f t="shared" si="32"/>
        <v>22303</v>
      </c>
      <c r="Z23" s="297">
        <f t="shared" si="32"/>
        <v>22674</v>
      </c>
      <c r="AA23" s="297">
        <f t="shared" si="32"/>
        <v>45457</v>
      </c>
      <c r="AB23" s="297">
        <f t="shared" si="32"/>
        <v>45604</v>
      </c>
      <c r="AC23" s="297">
        <f t="shared" si="32"/>
        <v>49794</v>
      </c>
      <c r="AD23" s="156"/>
      <c r="AE23" s="297">
        <f t="shared" ref="AE23:AH23" si="33">SUM(AE24:AE27)</f>
        <v>45456</v>
      </c>
      <c r="AF23" s="297">
        <f t="shared" si="33"/>
        <v>27219</v>
      </c>
      <c r="AG23" s="297">
        <f t="shared" si="33"/>
        <v>19719</v>
      </c>
      <c r="AH23" s="297">
        <f t="shared" si="33"/>
        <v>48937</v>
      </c>
      <c r="AI23" s="156"/>
      <c r="AJ23" s="297">
        <f t="shared" ref="AJ23:AM23" si="34">SUM(AJ24:AJ27)</f>
        <v>51547</v>
      </c>
      <c r="AK23" s="297">
        <f t="shared" si="34"/>
        <v>27075</v>
      </c>
      <c r="AL23" s="297">
        <f t="shared" si="34"/>
        <v>24394</v>
      </c>
      <c r="AM23" s="297">
        <f t="shared" si="34"/>
        <v>39979</v>
      </c>
      <c r="AN23" s="156"/>
      <c r="AO23" s="297">
        <f t="shared" ref="AO23:AQ23" si="35">SUM(AO24:AO27)</f>
        <v>47477</v>
      </c>
      <c r="AP23" s="297">
        <f t="shared" si="35"/>
        <v>23540</v>
      </c>
      <c r="AQ23" s="297">
        <f t="shared" si="35"/>
        <v>27382</v>
      </c>
      <c r="AR23" s="297">
        <f t="shared" ref="AR23" si="36">SUM(AR24:AR27)</f>
        <v>30223</v>
      </c>
      <c r="AS23" s="297"/>
      <c r="AT23" s="297">
        <f t="shared" ref="AT23:AW23" si="37">SUM(AT24:AT27)</f>
        <v>49349</v>
      </c>
      <c r="AU23" s="297">
        <f t="shared" si="37"/>
        <v>28021</v>
      </c>
      <c r="AV23" s="297">
        <f t="shared" si="37"/>
        <v>23816</v>
      </c>
      <c r="AW23" s="297">
        <f t="shared" si="37"/>
        <v>35005</v>
      </c>
      <c r="AX23" s="297"/>
      <c r="AY23" s="297">
        <f t="shared" ref="AY23" si="38">SUM(AY24:AY27)</f>
        <v>65029</v>
      </c>
    </row>
    <row r="24" spans="2:51" ht="16.5" customHeight="1">
      <c r="B24" s="347" t="s">
        <v>4</v>
      </c>
      <c r="C24" s="271">
        <v>20350</v>
      </c>
      <c r="D24" s="271">
        <v>19225</v>
      </c>
      <c r="E24" s="271">
        <v>18455</v>
      </c>
      <c r="F24" s="271">
        <f>77024+1</f>
        <v>77025</v>
      </c>
      <c r="H24" s="271">
        <v>33611</v>
      </c>
      <c r="I24" s="271">
        <f>20155-1</f>
        <v>20154</v>
      </c>
      <c r="J24" s="271">
        <v>17000</v>
      </c>
      <c r="K24" s="271">
        <v>40674</v>
      </c>
      <c r="L24" s="271">
        <v>40674</v>
      </c>
      <c r="N24" s="271">
        <v>46839</v>
      </c>
      <c r="O24" s="271">
        <v>46839</v>
      </c>
      <c r="P24" s="271">
        <v>17259</v>
      </c>
      <c r="Q24" s="271">
        <v>17259</v>
      </c>
      <c r="R24" s="271">
        <v>22068</v>
      </c>
      <c r="S24" s="271">
        <v>22068</v>
      </c>
      <c r="T24" s="271">
        <v>37606</v>
      </c>
      <c r="U24" s="156">
        <f>37606+4442</f>
        <v>42048</v>
      </c>
      <c r="W24" s="271">
        <v>46472</v>
      </c>
      <c r="X24" s="271">
        <v>48282</v>
      </c>
      <c r="Y24" s="271">
        <v>21224</v>
      </c>
      <c r="Z24" s="271">
        <f>21224+350</f>
        <v>21574</v>
      </c>
      <c r="AA24" s="271">
        <v>28780</v>
      </c>
      <c r="AB24" s="271">
        <f>28780+126</f>
        <v>28906</v>
      </c>
      <c r="AC24" s="271">
        <v>47878</v>
      </c>
      <c r="AD24" s="156"/>
      <c r="AE24" s="271">
        <v>44399</v>
      </c>
      <c r="AF24" s="271">
        <f>25935+215</f>
        <v>26150</v>
      </c>
      <c r="AG24" s="271">
        <f>18658-30</f>
        <v>18628</v>
      </c>
      <c r="AH24" s="271">
        <v>28471</v>
      </c>
      <c r="AI24" s="156"/>
      <c r="AJ24" s="271">
        <v>47238</v>
      </c>
      <c r="AK24" s="271">
        <v>22925</v>
      </c>
      <c r="AL24" s="271">
        <v>20214</v>
      </c>
      <c r="AM24" s="271">
        <v>34994</v>
      </c>
      <c r="AN24" s="156"/>
      <c r="AO24" s="271">
        <v>43364</v>
      </c>
      <c r="AP24" s="271">
        <v>18939</v>
      </c>
      <c r="AQ24" s="271">
        <v>21509</v>
      </c>
      <c r="AR24" s="271">
        <v>25288</v>
      </c>
      <c r="AS24" s="271"/>
      <c r="AT24" s="271">
        <v>44772</v>
      </c>
      <c r="AU24" s="271">
        <v>23139</v>
      </c>
      <c r="AV24" s="271">
        <v>19316</v>
      </c>
      <c r="AW24" s="271">
        <v>29808</v>
      </c>
      <c r="AX24" s="271"/>
      <c r="AY24" s="271">
        <v>60366</v>
      </c>
    </row>
    <row r="25" spans="2:51" ht="12.5">
      <c r="B25" s="347" t="s">
        <v>88</v>
      </c>
      <c r="C25" s="271">
        <v>28</v>
      </c>
      <c r="D25" s="271">
        <v>28</v>
      </c>
      <c r="E25" s="271">
        <v>95</v>
      </c>
      <c r="F25" s="271">
        <v>2308</v>
      </c>
      <c r="H25" s="271">
        <v>681</v>
      </c>
      <c r="I25" s="271">
        <v>681</v>
      </c>
      <c r="J25" s="271">
        <v>795</v>
      </c>
      <c r="K25" s="271">
        <v>739</v>
      </c>
      <c r="L25" s="271">
        <v>436</v>
      </c>
      <c r="N25" s="271">
        <v>874</v>
      </c>
      <c r="O25" s="271">
        <v>874</v>
      </c>
      <c r="P25" s="271">
        <v>866</v>
      </c>
      <c r="Q25" s="271">
        <v>866</v>
      </c>
      <c r="R25" s="271">
        <v>866</v>
      </c>
      <c r="S25" s="271">
        <v>860</v>
      </c>
      <c r="T25" s="271">
        <v>806</v>
      </c>
      <c r="U25" s="156">
        <f>812+87</f>
        <v>899</v>
      </c>
      <c r="W25" s="271">
        <v>674</v>
      </c>
      <c r="X25" s="271">
        <v>695</v>
      </c>
      <c r="Y25" s="1">
        <v>672</v>
      </c>
      <c r="Z25" s="1">
        <f>672+21</f>
        <v>693</v>
      </c>
      <c r="AA25" s="271">
        <v>16171</v>
      </c>
      <c r="AB25" s="271">
        <f>16171+22</f>
        <v>16193</v>
      </c>
      <c r="AC25" s="153">
        <v>933</v>
      </c>
      <c r="AD25" s="156"/>
      <c r="AE25" s="271">
        <v>888</v>
      </c>
      <c r="AF25" s="271">
        <v>890</v>
      </c>
      <c r="AG25" s="271">
        <v>889</v>
      </c>
      <c r="AH25" s="271">
        <v>19436</v>
      </c>
      <c r="AI25" s="156"/>
      <c r="AJ25" s="271">
        <v>4088</v>
      </c>
      <c r="AK25" s="271">
        <v>3973</v>
      </c>
      <c r="AL25" s="271">
        <v>3999</v>
      </c>
      <c r="AM25" s="271">
        <v>4330</v>
      </c>
      <c r="AN25" s="156"/>
      <c r="AO25" s="271">
        <v>3760</v>
      </c>
      <c r="AP25" s="271">
        <v>4352</v>
      </c>
      <c r="AQ25" s="271">
        <v>5711</v>
      </c>
      <c r="AR25" s="271">
        <v>4555</v>
      </c>
      <c r="AS25" s="271"/>
      <c r="AT25" s="271">
        <v>4400</v>
      </c>
      <c r="AU25" s="271">
        <v>4364</v>
      </c>
      <c r="AV25" s="271">
        <v>4350</v>
      </c>
      <c r="AW25" s="271">
        <v>4372</v>
      </c>
      <c r="AX25" s="271"/>
      <c r="AY25" s="271">
        <v>4412</v>
      </c>
    </row>
    <row r="26" spans="2:51" ht="14.25" customHeight="1">
      <c r="B26" s="347" t="s">
        <v>12</v>
      </c>
      <c r="C26" s="271">
        <v>2710</v>
      </c>
      <c r="D26" s="271">
        <v>-1159</v>
      </c>
      <c r="E26" s="271">
        <v>610</v>
      </c>
      <c r="F26" s="271">
        <v>-1195</v>
      </c>
      <c r="H26" s="66">
        <v>0</v>
      </c>
      <c r="I26" s="271">
        <v>419</v>
      </c>
      <c r="J26" s="271">
        <v>824</v>
      </c>
      <c r="K26" s="271">
        <v>2645</v>
      </c>
      <c r="L26" s="271">
        <v>2645</v>
      </c>
      <c r="N26" s="271">
        <v>138</v>
      </c>
      <c r="O26" s="271">
        <v>138</v>
      </c>
      <c r="P26" s="271">
        <v>696</v>
      </c>
      <c r="Q26" s="271">
        <v>696</v>
      </c>
      <c r="R26" s="271">
        <v>630</v>
      </c>
      <c r="S26" s="271">
        <v>630</v>
      </c>
      <c r="T26" s="271">
        <v>579</v>
      </c>
      <c r="U26" s="156">
        <f>579+87</f>
        <v>666</v>
      </c>
      <c r="W26" s="271">
        <v>417</v>
      </c>
      <c r="X26" s="271">
        <v>418</v>
      </c>
      <c r="Y26" s="1">
        <v>407</v>
      </c>
      <c r="Z26" s="1">
        <v>407</v>
      </c>
      <c r="AA26" s="271">
        <v>506</v>
      </c>
      <c r="AB26" s="271">
        <f>506-1</f>
        <v>505</v>
      </c>
      <c r="AC26" s="153">
        <v>983</v>
      </c>
      <c r="AD26" s="156"/>
      <c r="AE26" s="271">
        <v>169</v>
      </c>
      <c r="AF26" s="271">
        <v>179</v>
      </c>
      <c r="AG26" s="271">
        <v>202</v>
      </c>
      <c r="AH26" s="271">
        <v>1030</v>
      </c>
      <c r="AI26" s="156"/>
      <c r="AJ26" s="271">
        <v>221</v>
      </c>
      <c r="AK26" s="271">
        <v>177</v>
      </c>
      <c r="AL26" s="271">
        <v>181</v>
      </c>
      <c r="AM26" s="271">
        <v>655</v>
      </c>
      <c r="AN26" s="156"/>
      <c r="AO26" s="271">
        <v>353</v>
      </c>
      <c r="AP26" s="271">
        <v>249</v>
      </c>
      <c r="AQ26" s="271">
        <v>162</v>
      </c>
      <c r="AR26" s="271">
        <v>380</v>
      </c>
      <c r="AS26" s="271"/>
      <c r="AT26" s="271">
        <v>177</v>
      </c>
      <c r="AU26" s="271">
        <v>518</v>
      </c>
      <c r="AV26" s="271">
        <v>150</v>
      </c>
      <c r="AW26" s="271">
        <v>825</v>
      </c>
      <c r="AX26" s="271"/>
      <c r="AY26" s="271">
        <v>251</v>
      </c>
    </row>
    <row r="27" spans="2:51" ht="11.25" hidden="1" customHeight="1">
      <c r="B27" s="347" t="s">
        <v>89</v>
      </c>
      <c r="C27" s="271"/>
      <c r="D27" s="271"/>
      <c r="E27" s="271"/>
      <c r="F27" s="271"/>
      <c r="H27" s="271">
        <v>0</v>
      </c>
      <c r="I27" s="271"/>
      <c r="J27" s="271"/>
      <c r="K27" s="271"/>
      <c r="L27" s="271">
        <v>0</v>
      </c>
      <c r="N27" s="271">
        <v>0</v>
      </c>
      <c r="O27" s="271">
        <v>0</v>
      </c>
      <c r="P27" s="271">
        <v>0</v>
      </c>
      <c r="Q27" s="271"/>
      <c r="R27" s="271">
        <v>0</v>
      </c>
      <c r="S27" s="271"/>
      <c r="T27" s="271">
        <v>0</v>
      </c>
      <c r="U27" s="271">
        <v>0</v>
      </c>
      <c r="W27" s="271">
        <v>0</v>
      </c>
      <c r="X27" s="271">
        <v>0</v>
      </c>
      <c r="AD27" s="156"/>
      <c r="AE27" s="271">
        <v>0</v>
      </c>
      <c r="AI27" s="156"/>
      <c r="AJ27" s="271">
        <v>0</v>
      </c>
      <c r="AN27" s="156"/>
      <c r="AO27" s="271">
        <v>0</v>
      </c>
      <c r="AQ27" s="399"/>
      <c r="AT27" s="271">
        <v>0</v>
      </c>
      <c r="AV27"/>
      <c r="AY27" s="271">
        <v>0</v>
      </c>
    </row>
    <row r="28" spans="2:51" ht="6" customHeight="1">
      <c r="C28" s="271"/>
      <c r="D28" s="271"/>
      <c r="E28" s="271"/>
      <c r="F28" s="271"/>
      <c r="H28" s="271"/>
      <c r="I28" s="271"/>
      <c r="J28" s="271"/>
      <c r="K28" s="271"/>
      <c r="L28" s="271"/>
      <c r="N28" s="271"/>
      <c r="O28" s="271"/>
      <c r="P28" s="271"/>
      <c r="Q28" s="271"/>
      <c r="R28" s="271"/>
      <c r="S28" s="271"/>
      <c r="T28" s="271"/>
      <c r="U28" s="271"/>
      <c r="W28" s="271"/>
      <c r="X28" s="271"/>
      <c r="AD28" s="156"/>
      <c r="AE28" s="271"/>
      <c r="AI28" s="156"/>
      <c r="AJ28" s="271"/>
      <c r="AN28" s="156"/>
      <c r="AO28" s="271"/>
      <c r="AQ28" s="399"/>
      <c r="AT28" s="271"/>
      <c r="AV28"/>
      <c r="AY28" s="271"/>
    </row>
    <row r="29" spans="2:51" ht="15" customHeight="1">
      <c r="B29" s="2" t="s">
        <v>14</v>
      </c>
      <c r="C29" s="152">
        <f>+C30-C31-C32</f>
        <v>-11300</v>
      </c>
      <c r="D29" s="152">
        <f>+D30-D31-D32</f>
        <v>-4277</v>
      </c>
      <c r="E29" s="152">
        <f>+E30-E31-E32</f>
        <v>-211</v>
      </c>
      <c r="F29" s="152">
        <f>+F30-F31-F32</f>
        <v>23907</v>
      </c>
      <c r="H29" s="152">
        <f>+H30-H31-H32</f>
        <v>-13615</v>
      </c>
      <c r="I29" s="152">
        <f>+I30-I31-I32</f>
        <v>8228</v>
      </c>
      <c r="J29" s="152">
        <f>+J30-J31-J32</f>
        <v>-13502</v>
      </c>
      <c r="K29" s="152">
        <f>+K30-K31-K32</f>
        <v>15800</v>
      </c>
      <c r="L29" s="152">
        <f>+L30-L31-L32</f>
        <v>-4429</v>
      </c>
      <c r="N29" s="152">
        <f t="shared" ref="N29:U29" si="39">+N30-N31-N32</f>
        <v>-12460</v>
      </c>
      <c r="O29" s="152">
        <f t="shared" si="39"/>
        <v>7476</v>
      </c>
      <c r="P29" s="152">
        <f t="shared" si="39"/>
        <v>1158</v>
      </c>
      <c r="Q29" s="152">
        <f t="shared" si="39"/>
        <v>1158</v>
      </c>
      <c r="R29" s="152">
        <f t="shared" si="39"/>
        <v>-2137</v>
      </c>
      <c r="S29" s="152">
        <f t="shared" si="39"/>
        <v>-2137</v>
      </c>
      <c r="T29" s="152">
        <f t="shared" si="39"/>
        <v>8879</v>
      </c>
      <c r="U29" s="152">
        <f t="shared" si="39"/>
        <v>9621</v>
      </c>
      <c r="V29" s="152"/>
      <c r="W29" s="152">
        <f t="shared" ref="W29:AC29" si="40">+W30-W31-W32</f>
        <v>-7807</v>
      </c>
      <c r="X29" s="152">
        <f t="shared" si="40"/>
        <v>-7813</v>
      </c>
      <c r="Y29" s="152">
        <f t="shared" si="40"/>
        <v>-129</v>
      </c>
      <c r="Z29" s="152">
        <f t="shared" si="40"/>
        <v>-116</v>
      </c>
      <c r="AA29" s="152">
        <f t="shared" si="40"/>
        <v>-8214</v>
      </c>
      <c r="AB29" s="152">
        <f t="shared" si="40"/>
        <v>-8269</v>
      </c>
      <c r="AC29" s="152">
        <f t="shared" si="40"/>
        <v>-3683</v>
      </c>
      <c r="AD29" s="156"/>
      <c r="AE29" s="152">
        <f>+AE30-AE31-AE32</f>
        <v>2756</v>
      </c>
      <c r="AF29" s="152">
        <f>+AF30-AF31-AF32</f>
        <v>-545</v>
      </c>
      <c r="AG29" s="152">
        <f>+AG30-AG31-AG32</f>
        <v>-4024</v>
      </c>
      <c r="AH29" s="152">
        <f>+AH30-AH31-AH32</f>
        <v>29563</v>
      </c>
      <c r="AI29" s="156"/>
      <c r="AJ29" s="152">
        <f>+AJ30-AJ31-AJ32</f>
        <v>-1269</v>
      </c>
      <c r="AK29" s="152">
        <f>+AK30-AK31-AK32</f>
        <v>-5827</v>
      </c>
      <c r="AL29" s="152">
        <f>+AL30-AL31-AL32</f>
        <v>4012</v>
      </c>
      <c r="AM29" s="152">
        <f>+AM30-AM31-AM32</f>
        <v>-1397</v>
      </c>
      <c r="AN29" s="156"/>
      <c r="AO29" s="152">
        <f>+AO30-AO31-AO32</f>
        <v>-930</v>
      </c>
      <c r="AP29" s="152">
        <f t="shared" ref="AP29:AR29" si="41">+AP30-AP31-AP32</f>
        <v>-6152</v>
      </c>
      <c r="AQ29" s="152">
        <f t="shared" si="41"/>
        <v>-644</v>
      </c>
      <c r="AR29" s="152">
        <f t="shared" si="41"/>
        <v>-151</v>
      </c>
      <c r="AS29" s="152"/>
      <c r="AT29" s="152">
        <f>+AT30-AT31-AT32</f>
        <v>-559</v>
      </c>
      <c r="AU29" s="152">
        <f t="shared" ref="AU29:AW29" si="42">+AU30-AU31-AU32</f>
        <v>-2081</v>
      </c>
      <c r="AV29" s="152">
        <f t="shared" si="42"/>
        <v>-35</v>
      </c>
      <c r="AW29" s="152">
        <f t="shared" si="42"/>
        <v>-8025</v>
      </c>
      <c r="AX29" s="152"/>
      <c r="AY29" s="152">
        <f>+AY30-AY31-AY32</f>
        <v>-2798</v>
      </c>
    </row>
    <row r="30" spans="2:51" ht="15" customHeight="1">
      <c r="B30" s="348" t="s">
        <v>10</v>
      </c>
      <c r="C30" s="271">
        <v>25</v>
      </c>
      <c r="D30" s="271">
        <v>170</v>
      </c>
      <c r="E30" s="271">
        <v>4873</v>
      </c>
      <c r="F30" s="271">
        <v>22881</v>
      </c>
      <c r="H30" s="271">
        <f>374+1</f>
        <v>375</v>
      </c>
      <c r="I30" s="271">
        <f>11002-2</f>
        <v>11000</v>
      </c>
      <c r="J30" s="271">
        <v>572</v>
      </c>
      <c r="K30" s="271">
        <v>19451</v>
      </c>
      <c r="L30" s="271">
        <v>19491</v>
      </c>
      <c r="N30" s="271">
        <v>495</v>
      </c>
      <c r="O30" s="271">
        <v>495</v>
      </c>
      <c r="P30" s="271">
        <v>3909</v>
      </c>
      <c r="Q30" s="271">
        <v>3909</v>
      </c>
      <c r="R30" s="271">
        <v>255</v>
      </c>
      <c r="S30" s="271">
        <v>255</v>
      </c>
      <c r="T30" s="271">
        <v>19179</v>
      </c>
      <c r="U30" s="156">
        <f>19179+939</f>
        <v>20118</v>
      </c>
      <c r="W30" s="271">
        <v>168</v>
      </c>
      <c r="X30" s="271">
        <v>175</v>
      </c>
      <c r="Y30" s="153">
        <v>7236</v>
      </c>
      <c r="Z30" s="153">
        <f>7236+14</f>
        <v>7250</v>
      </c>
      <c r="AA30" s="271">
        <v>131</v>
      </c>
      <c r="AB30" s="271">
        <f>131+97</f>
        <v>228</v>
      </c>
      <c r="AC30" s="153">
        <v>3706</v>
      </c>
      <c r="AD30" s="156"/>
      <c r="AE30" s="271">
        <v>7414</v>
      </c>
      <c r="AF30" s="153">
        <v>1826</v>
      </c>
      <c r="AG30" s="153">
        <v>2789</v>
      </c>
      <c r="AH30" s="153">
        <v>31561</v>
      </c>
      <c r="AI30" s="156"/>
      <c r="AJ30" s="271">
        <v>200</v>
      </c>
      <c r="AK30" s="153">
        <v>464</v>
      </c>
      <c r="AL30" s="153">
        <v>5315</v>
      </c>
      <c r="AM30" s="153">
        <v>1043</v>
      </c>
      <c r="AN30" s="156"/>
      <c r="AO30" s="271">
        <v>593</v>
      </c>
      <c r="AP30" s="153">
        <v>64</v>
      </c>
      <c r="AQ30" s="153">
        <v>212</v>
      </c>
      <c r="AR30" s="153">
        <v>2269</v>
      </c>
      <c r="AS30" s="155"/>
      <c r="AT30" s="271">
        <v>241</v>
      </c>
      <c r="AU30" s="153">
        <v>5433</v>
      </c>
      <c r="AV30" s="153">
        <v>399</v>
      </c>
      <c r="AW30" s="153">
        <v>1944</v>
      </c>
      <c r="AX30" s="155"/>
      <c r="AY30" s="271">
        <v>128</v>
      </c>
    </row>
    <row r="31" spans="2:51" s="375" customFormat="1" ht="15" customHeight="1">
      <c r="B31" s="348" t="s">
        <v>11</v>
      </c>
      <c r="C31" s="374">
        <v>11325</v>
      </c>
      <c r="D31" s="374">
        <v>4447</v>
      </c>
      <c r="E31" s="374">
        <v>5084</v>
      </c>
      <c r="F31" s="374">
        <v>-1026</v>
      </c>
      <c r="G31" s="374"/>
      <c r="H31" s="374">
        <v>3874</v>
      </c>
      <c r="I31" s="374">
        <f>3221-1</f>
        <v>3220</v>
      </c>
      <c r="J31" s="374">
        <v>14074</v>
      </c>
      <c r="K31" s="374">
        <v>3651</v>
      </c>
      <c r="L31" s="374">
        <v>23920</v>
      </c>
      <c r="M31" s="374"/>
      <c r="N31" s="374">
        <v>2987</v>
      </c>
      <c r="O31" s="374">
        <v>2987</v>
      </c>
      <c r="P31" s="374">
        <v>2751</v>
      </c>
      <c r="Q31" s="374">
        <v>2751</v>
      </c>
      <c r="R31" s="374">
        <v>2392</v>
      </c>
      <c r="S31" s="374">
        <v>2392</v>
      </c>
      <c r="T31" s="374">
        <v>10300</v>
      </c>
      <c r="U31" s="374">
        <f>10300+197</f>
        <v>10497</v>
      </c>
      <c r="W31" s="374">
        <v>4640</v>
      </c>
      <c r="X31" s="374">
        <v>4653</v>
      </c>
      <c r="Y31" s="376">
        <v>7291</v>
      </c>
      <c r="Z31" s="376">
        <v>7291</v>
      </c>
      <c r="AA31" s="376">
        <v>8344</v>
      </c>
      <c r="AB31" s="376">
        <f>8344+153</f>
        <v>8497</v>
      </c>
      <c r="AC31" s="376">
        <v>7389</v>
      </c>
      <c r="AD31" s="307"/>
      <c r="AE31" s="374">
        <v>4658</v>
      </c>
      <c r="AF31" s="376">
        <v>2371</v>
      </c>
      <c r="AG31" s="376">
        <v>6813</v>
      </c>
      <c r="AH31" s="376">
        <v>1998</v>
      </c>
      <c r="AI31" s="307"/>
      <c r="AJ31" s="374">
        <v>1469</v>
      </c>
      <c r="AK31" s="376">
        <v>6291</v>
      </c>
      <c r="AL31" s="376">
        <v>1303</v>
      </c>
      <c r="AM31" s="376">
        <v>2440</v>
      </c>
      <c r="AN31" s="307"/>
      <c r="AO31" s="374">
        <v>1523</v>
      </c>
      <c r="AP31" s="376">
        <v>6216</v>
      </c>
      <c r="AQ31" s="376">
        <v>856</v>
      </c>
      <c r="AR31" s="376">
        <v>2420</v>
      </c>
      <c r="AS31" s="376"/>
      <c r="AT31" s="374">
        <v>800</v>
      </c>
      <c r="AU31" s="376">
        <v>7514</v>
      </c>
      <c r="AV31" s="376">
        <v>434</v>
      </c>
      <c r="AW31" s="376">
        <v>9969</v>
      </c>
      <c r="AX31" s="376"/>
      <c r="AY31" s="374">
        <v>2926</v>
      </c>
    </row>
    <row r="32" spans="2:51" ht="12.5">
      <c r="B32" s="347" t="s">
        <v>20</v>
      </c>
      <c r="C32" s="66">
        <v>0</v>
      </c>
      <c r="D32" s="66">
        <v>0</v>
      </c>
      <c r="E32" s="66">
        <v>0</v>
      </c>
      <c r="F32" s="66">
        <v>0</v>
      </c>
      <c r="G32" s="177"/>
      <c r="H32" s="154">
        <v>10116</v>
      </c>
      <c r="I32" s="154">
        <v>-448</v>
      </c>
      <c r="J32" s="66">
        <v>0</v>
      </c>
      <c r="K32" s="66">
        <v>0</v>
      </c>
      <c r="L32" s="66">
        <v>0</v>
      </c>
      <c r="N32" s="154">
        <v>9968</v>
      </c>
      <c r="O32" s="154">
        <v>-9968</v>
      </c>
      <c r="P32" s="154">
        <v>0</v>
      </c>
      <c r="Q32" s="154">
        <v>0</v>
      </c>
      <c r="R32" s="154">
        <v>0</v>
      </c>
      <c r="S32" s="154">
        <v>0</v>
      </c>
      <c r="T32" s="154"/>
      <c r="U32" s="154"/>
      <c r="W32" s="154">
        <v>3335</v>
      </c>
      <c r="X32" s="154">
        <v>3335</v>
      </c>
      <c r="Y32" s="153">
        <v>74</v>
      </c>
      <c r="Z32" s="153">
        <v>75</v>
      </c>
      <c r="AA32" s="153">
        <v>1</v>
      </c>
      <c r="AB32" s="153">
        <f>-1+1</f>
        <v>0</v>
      </c>
      <c r="AC32" s="170">
        <v>0</v>
      </c>
      <c r="AD32" s="156"/>
      <c r="AE32" s="154">
        <v>0</v>
      </c>
      <c r="AF32" s="153">
        <v>0</v>
      </c>
      <c r="AG32" s="153">
        <v>0</v>
      </c>
      <c r="AH32" s="153">
        <v>0</v>
      </c>
      <c r="AI32" s="156"/>
      <c r="AJ32" s="154">
        <v>0</v>
      </c>
      <c r="AK32" s="153">
        <v>0</v>
      </c>
      <c r="AL32" s="153">
        <v>0</v>
      </c>
      <c r="AM32" s="153">
        <v>0</v>
      </c>
      <c r="AN32" s="156"/>
      <c r="AO32" s="154">
        <v>0</v>
      </c>
      <c r="AP32" s="153"/>
      <c r="AQ32" s="153"/>
      <c r="AR32" s="154">
        <v>0</v>
      </c>
      <c r="AS32" s="155"/>
      <c r="AT32" s="154">
        <v>0</v>
      </c>
      <c r="AU32" s="153"/>
      <c r="AV32" s="153"/>
      <c r="AW32" s="153"/>
      <c r="AX32" s="155"/>
      <c r="AY32" s="154">
        <v>0</v>
      </c>
    </row>
    <row r="33" spans="2:51" ht="1.5" customHeight="1">
      <c r="C33" s="271"/>
      <c r="D33" s="271"/>
      <c r="E33" s="271"/>
      <c r="F33" s="271"/>
      <c r="H33" s="271"/>
      <c r="I33" s="271"/>
      <c r="J33" s="271"/>
      <c r="K33" s="271"/>
      <c r="L33" s="271"/>
      <c r="N33" s="271"/>
      <c r="O33" s="271"/>
      <c r="P33" s="271"/>
      <c r="Q33" s="271"/>
      <c r="R33" s="271"/>
      <c r="S33" s="271"/>
      <c r="T33" s="271"/>
      <c r="U33" s="271"/>
      <c r="W33" s="271"/>
      <c r="X33" s="271"/>
      <c r="AD33" s="156"/>
      <c r="AE33" s="271"/>
      <c r="AI33" s="156"/>
      <c r="AJ33" s="271"/>
      <c r="AN33" s="156"/>
      <c r="AO33" s="271"/>
      <c r="AQ33" s="399"/>
      <c r="AT33" s="271"/>
      <c r="AV33"/>
      <c r="AY33" s="271"/>
    </row>
    <row r="34" spans="2:51" ht="1.5" customHeight="1">
      <c r="C34" s="271"/>
      <c r="D34" s="271"/>
      <c r="E34" s="271"/>
      <c r="F34" s="271"/>
      <c r="H34" s="271"/>
      <c r="I34" s="271"/>
      <c r="J34" s="271"/>
      <c r="K34" s="271"/>
      <c r="L34" s="271">
        <v>0</v>
      </c>
      <c r="N34" s="271"/>
      <c r="O34" s="271"/>
      <c r="P34" s="271"/>
      <c r="Q34" s="271"/>
      <c r="R34" s="271"/>
      <c r="S34" s="271"/>
      <c r="T34" s="271"/>
      <c r="U34" s="271"/>
      <c r="W34" s="271"/>
      <c r="X34" s="271"/>
      <c r="AD34" s="156"/>
      <c r="AE34" s="271"/>
      <c r="AI34" s="156"/>
      <c r="AJ34" s="271"/>
      <c r="AN34" s="156"/>
      <c r="AO34" s="271"/>
      <c r="AQ34" s="399"/>
      <c r="AT34" s="271"/>
      <c r="AV34"/>
      <c r="AY34" s="271"/>
    </row>
    <row r="35" spans="2:51" s="2" customFormat="1" ht="16.5" customHeight="1">
      <c r="B35" s="2" t="s">
        <v>13</v>
      </c>
      <c r="C35" s="297">
        <f>+C20-C23+C29</f>
        <v>157326</v>
      </c>
      <c r="D35" s="297">
        <f>+D20-D23+D29</f>
        <v>69174</v>
      </c>
      <c r="E35" s="297">
        <f>+E20-E23+E29</f>
        <v>32011</v>
      </c>
      <c r="F35" s="152">
        <f>+F20-F23+F29</f>
        <v>-36412</v>
      </c>
      <c r="H35" s="297">
        <f>+H20-H23+H29</f>
        <v>77052</v>
      </c>
      <c r="I35" s="297">
        <f>+I20-I23+I29</f>
        <v>112640</v>
      </c>
      <c r="J35" s="297">
        <f>+J20-J23+J29</f>
        <v>331798</v>
      </c>
      <c r="K35" s="152">
        <f>+K20-K23+K29</f>
        <v>-16184</v>
      </c>
      <c r="L35" s="152">
        <f>+L20-L23+L29</f>
        <v>9791</v>
      </c>
      <c r="N35" s="297">
        <f t="shared" ref="N35:U35" si="43">+N20-N23+N29</f>
        <v>104796</v>
      </c>
      <c r="O35" s="297">
        <f t="shared" si="43"/>
        <v>118596</v>
      </c>
      <c r="P35" s="297">
        <f t="shared" si="43"/>
        <v>96801</v>
      </c>
      <c r="Q35" s="297">
        <f t="shared" si="43"/>
        <v>102617</v>
      </c>
      <c r="R35" s="297">
        <f t="shared" si="43"/>
        <v>89447</v>
      </c>
      <c r="S35" s="297">
        <f t="shared" si="43"/>
        <v>110253</v>
      </c>
      <c r="T35" s="297">
        <f t="shared" si="43"/>
        <v>213911</v>
      </c>
      <c r="U35" s="297">
        <f t="shared" si="43"/>
        <v>203614</v>
      </c>
      <c r="W35" s="297">
        <f t="shared" ref="W35:AC35" si="44">+W20-W23+W29</f>
        <v>120062</v>
      </c>
      <c r="X35" s="297">
        <f t="shared" si="44"/>
        <v>120903</v>
      </c>
      <c r="Y35" s="297">
        <f t="shared" si="44"/>
        <v>94589</v>
      </c>
      <c r="Z35" s="297">
        <f t="shared" si="44"/>
        <v>95655</v>
      </c>
      <c r="AA35" s="297">
        <f t="shared" si="44"/>
        <v>404217</v>
      </c>
      <c r="AB35" s="297">
        <f t="shared" si="44"/>
        <v>404344</v>
      </c>
      <c r="AC35" s="152">
        <f t="shared" si="44"/>
        <v>-11154</v>
      </c>
      <c r="AD35" s="156"/>
      <c r="AE35" s="297">
        <f t="shared" ref="AE35:AH35" si="45">+AE20-AE23+AE29</f>
        <v>512681</v>
      </c>
      <c r="AF35" s="297">
        <f t="shared" si="45"/>
        <v>69830</v>
      </c>
      <c r="AG35" s="297">
        <f t="shared" si="45"/>
        <v>221714</v>
      </c>
      <c r="AH35" s="152">
        <f t="shared" si="45"/>
        <v>153500</v>
      </c>
      <c r="AI35" s="156"/>
      <c r="AJ35" s="297">
        <f t="shared" ref="AJ35:AM35" si="46">+AJ20-AJ23+AJ29</f>
        <v>195839</v>
      </c>
      <c r="AK35" s="297">
        <f t="shared" si="46"/>
        <v>62382</v>
      </c>
      <c r="AL35" s="297">
        <f t="shared" si="46"/>
        <v>234326</v>
      </c>
      <c r="AM35" s="152">
        <f t="shared" si="46"/>
        <v>106106</v>
      </c>
      <c r="AN35" s="156"/>
      <c r="AO35" s="297">
        <f>+AO20-AO23+AO29</f>
        <v>128457</v>
      </c>
      <c r="AP35" s="297">
        <f t="shared" ref="AP35:AR35" si="47">+AP20-AP23+AP29</f>
        <v>-11557</v>
      </c>
      <c r="AQ35" s="297">
        <f t="shared" si="47"/>
        <v>-5718</v>
      </c>
      <c r="AR35" s="152">
        <f t="shared" si="47"/>
        <v>-46477</v>
      </c>
      <c r="AS35" s="152"/>
      <c r="AT35" s="297">
        <f>+AT20-AT23+AT29</f>
        <v>137243</v>
      </c>
      <c r="AU35" s="297">
        <f t="shared" ref="AU35:AW35" si="48">+AU20-AU23+AU29</f>
        <v>129073</v>
      </c>
      <c r="AV35" s="297">
        <f t="shared" si="48"/>
        <v>131638</v>
      </c>
      <c r="AW35" s="152">
        <f t="shared" si="48"/>
        <v>4419</v>
      </c>
      <c r="AX35" s="152"/>
      <c r="AY35" s="297">
        <f>+AY20-AY23+AY29</f>
        <v>194354</v>
      </c>
    </row>
    <row r="36" spans="2:51" s="350" customFormat="1" ht="17.25" hidden="1" customHeight="1">
      <c r="B36" s="349" t="s">
        <v>48</v>
      </c>
      <c r="C36" s="308">
        <v>77.680000000000007</v>
      </c>
      <c r="D36" s="308">
        <v>38.21</v>
      </c>
      <c r="E36" s="308">
        <v>16.28</v>
      </c>
      <c r="F36" s="308">
        <v>-14.13</v>
      </c>
      <c r="H36" s="308">
        <v>31.93</v>
      </c>
      <c r="I36" s="308">
        <v>45.33</v>
      </c>
      <c r="J36" s="308">
        <v>110.33</v>
      </c>
      <c r="K36" s="308">
        <f>-2.52-(3726/3244.51)</f>
        <v>-3.6684014535322742</v>
      </c>
      <c r="L36" s="308">
        <v>-187.59</v>
      </c>
      <c r="N36" s="308">
        <v>31.93</v>
      </c>
      <c r="O36" s="308">
        <v>31.93</v>
      </c>
      <c r="P36" s="308">
        <v>31.93</v>
      </c>
      <c r="Q36" s="308"/>
      <c r="R36" s="308">
        <v>31.93</v>
      </c>
      <c r="S36" s="308"/>
      <c r="T36" s="308">
        <v>32.93</v>
      </c>
      <c r="U36" s="308">
        <v>32.93</v>
      </c>
      <c r="W36" s="308">
        <v>31.93</v>
      </c>
      <c r="X36" s="308">
        <v>31.93</v>
      </c>
      <c r="AD36" s="156"/>
      <c r="AE36" s="308">
        <v>31.93</v>
      </c>
      <c r="AI36" s="156"/>
      <c r="AJ36" s="308">
        <v>31.93</v>
      </c>
      <c r="AN36" s="156"/>
      <c r="AO36" s="308">
        <v>31.93</v>
      </c>
      <c r="AT36" s="308">
        <v>31.93</v>
      </c>
      <c r="AY36" s="308">
        <v>31.93</v>
      </c>
    </row>
    <row r="37" spans="2:51" ht="15.75" customHeight="1">
      <c r="B37" s="169" t="s">
        <v>47</v>
      </c>
      <c r="C37" s="61">
        <f>+C35/C$10</f>
        <v>0.66918473336991335</v>
      </c>
      <c r="D37" s="61">
        <f>+D35/D$10</f>
        <v>0.33004437234600886</v>
      </c>
      <c r="E37" s="61">
        <f>+E35/E$10</f>
        <v>0.27199422210893026</v>
      </c>
      <c r="F37" s="61">
        <f>+F35/F$10</f>
        <v>-0.49519250384191704</v>
      </c>
      <c r="H37" s="61">
        <f>+H35/H$10</f>
        <v>0.61229160375709224</v>
      </c>
      <c r="I37" s="61">
        <f>+I35/I$10</f>
        <v>0.65912588578818321</v>
      </c>
      <c r="J37" s="61">
        <f>+J35/J$10</f>
        <v>0.47712366608044426</v>
      </c>
      <c r="K37" s="61">
        <f t="shared" ref="K37:L37" si="49">+K35/K$10</f>
        <v>-0.15467395563541139</v>
      </c>
      <c r="L37" s="61">
        <f t="shared" si="49"/>
        <v>6.4326025399286502E-2</v>
      </c>
      <c r="N37" s="61">
        <f t="shared" ref="N37:U37" si="50">+N35/N$10</f>
        <v>0.62455153342789371</v>
      </c>
      <c r="O37" s="61">
        <f t="shared" si="50"/>
        <v>0.73362283338900647</v>
      </c>
      <c r="P37" s="61">
        <f t="shared" si="50"/>
        <v>0.84519475076616812</v>
      </c>
      <c r="Q37" s="61">
        <f t="shared" si="50"/>
        <v>0.85267601186568842</v>
      </c>
      <c r="R37" s="61">
        <f t="shared" si="50"/>
        <v>0.46364333772198091</v>
      </c>
      <c r="S37" s="61">
        <f t="shared" si="50"/>
        <v>0.51587108486725741</v>
      </c>
      <c r="T37" s="61">
        <f t="shared" si="50"/>
        <v>0.34381107596564314</v>
      </c>
      <c r="U37" s="61">
        <f t="shared" si="50"/>
        <v>0.33067157767892957</v>
      </c>
      <c r="W37" s="61">
        <f t="shared" ref="W37:AC37" si="51">+W35/W$10</f>
        <v>0.68246515540801711</v>
      </c>
      <c r="X37" s="61">
        <f t="shared" si="51"/>
        <v>0.67693711751762287</v>
      </c>
      <c r="Y37" s="61">
        <f t="shared" si="51"/>
        <v>0.44797488017883191</v>
      </c>
      <c r="Z37" s="61">
        <f t="shared" si="51"/>
        <v>0.44998870970776961</v>
      </c>
      <c r="AA37" s="61">
        <f t="shared" si="51"/>
        <v>0.53570604996355442</v>
      </c>
      <c r="AB37" s="61">
        <f t="shared" si="51"/>
        <v>0.53564081130883223</v>
      </c>
      <c r="AC37" s="61">
        <f t="shared" si="51"/>
        <v>-0.22962429233144621</v>
      </c>
      <c r="AD37" s="156"/>
      <c r="AE37" s="61">
        <f t="shared" ref="AE37:AH37" si="52">+AE35/AE$10</f>
        <v>0.60242270560918976</v>
      </c>
      <c r="AF37" s="61">
        <f t="shared" si="52"/>
        <v>0.70871096406207179</v>
      </c>
      <c r="AG37" s="61">
        <f t="shared" si="52"/>
        <v>0.90029561290951321</v>
      </c>
      <c r="AH37" s="61">
        <f t="shared" si="52"/>
        <v>0.83482441494308512</v>
      </c>
      <c r="AI37" s="156"/>
      <c r="AJ37" s="61">
        <f t="shared" ref="AJ37:AM37" si="53">+AJ35/AJ$10</f>
        <v>0.63653738018546269</v>
      </c>
      <c r="AK37" s="61">
        <f t="shared" si="53"/>
        <v>0.64789580823397452</v>
      </c>
      <c r="AL37" s="61">
        <f t="shared" si="53"/>
        <v>0.91405055390856604</v>
      </c>
      <c r="AM37" s="61">
        <f t="shared" si="53"/>
        <v>0.57260810672250317</v>
      </c>
      <c r="AN37" s="156"/>
      <c r="AO37" s="61">
        <f t="shared" ref="AO37:AR37" si="54">+AO35/AO$10</f>
        <v>0.64148314606741574</v>
      </c>
      <c r="AP37" s="61">
        <f t="shared" si="54"/>
        <v>-0.40725209669462259</v>
      </c>
      <c r="AQ37" s="61">
        <f t="shared" si="54"/>
        <v>-0.23663300778016885</v>
      </c>
      <c r="AR37" s="61">
        <f t="shared" si="54"/>
        <v>-13.222475106685634</v>
      </c>
      <c r="AS37" s="61"/>
      <c r="AT37" s="61">
        <f t="shared" ref="AT37:AW37" si="55">+AT35/AT$10</f>
        <v>0.72557758392809935</v>
      </c>
      <c r="AU37" s="61">
        <f t="shared" si="55"/>
        <v>0.58808011590927733</v>
      </c>
      <c r="AV37" s="61">
        <f t="shared" si="55"/>
        <v>0.77007856511895922</v>
      </c>
      <c r="AW37" s="61">
        <f t="shared" si="55"/>
        <v>6.0379575607689889E-2</v>
      </c>
      <c r="AX37" s="61"/>
      <c r="AY37" s="61">
        <f t="shared" ref="AY37" si="56">+AY35/AY$10</f>
        <v>0.68263607658292091</v>
      </c>
    </row>
    <row r="38" spans="2:51" ht="3.75" customHeight="1">
      <c r="B38" s="347"/>
      <c r="C38" s="271"/>
      <c r="D38" s="271"/>
      <c r="E38" s="271"/>
      <c r="F38" s="271"/>
      <c r="H38" s="271"/>
      <c r="I38" s="271"/>
      <c r="J38" s="271"/>
      <c r="K38" s="271"/>
      <c r="L38" s="271"/>
      <c r="N38" s="271"/>
      <c r="O38" s="271"/>
      <c r="P38" s="271"/>
      <c r="Q38" s="271"/>
      <c r="R38" s="271"/>
      <c r="S38" s="271"/>
      <c r="T38" s="271"/>
      <c r="U38" s="271"/>
      <c r="W38" s="271"/>
      <c r="X38" s="271"/>
      <c r="AD38" s="156"/>
      <c r="AE38" s="271"/>
      <c r="AI38" s="156"/>
      <c r="AJ38" s="271"/>
      <c r="AN38" s="156"/>
      <c r="AO38" s="271"/>
      <c r="AQ38" s="399"/>
      <c r="AT38" s="271"/>
      <c r="AV38"/>
      <c r="AY38" s="271"/>
    </row>
    <row r="39" spans="2:51" s="2" customFormat="1" ht="16.5" customHeight="1">
      <c r="B39" s="351" t="s">
        <v>5</v>
      </c>
      <c r="C39" s="341">
        <f>+C35+C25+C27-C32</f>
        <v>157354</v>
      </c>
      <c r="D39" s="341">
        <f>+D35+D25+D27-D32</f>
        <v>69202</v>
      </c>
      <c r="E39" s="341">
        <f>+E35+E25+E27-E32</f>
        <v>32106</v>
      </c>
      <c r="F39" s="341">
        <f>+F35+F25+F27-F32</f>
        <v>-34104</v>
      </c>
      <c r="G39" s="205"/>
      <c r="H39" s="341">
        <f>+H35+H25+H27-H32</f>
        <v>67617</v>
      </c>
      <c r="I39" s="341">
        <f>+I35+I25+I27-I32</f>
        <v>113769</v>
      </c>
      <c r="J39" s="341">
        <f>+J35+J25+J27-J32</f>
        <v>332593</v>
      </c>
      <c r="K39" s="341">
        <f>+K35+K25+K27-K32</f>
        <v>-15445</v>
      </c>
      <c r="L39" s="341">
        <f>+L35+L25+L27-L32</f>
        <v>10227</v>
      </c>
      <c r="N39" s="341">
        <f t="shared" ref="N39:U39" si="57">+N35+N25+N27-N32</f>
        <v>95702</v>
      </c>
      <c r="O39" s="341">
        <f t="shared" si="57"/>
        <v>129438</v>
      </c>
      <c r="P39" s="341">
        <f t="shared" si="57"/>
        <v>97667</v>
      </c>
      <c r="Q39" s="341">
        <f t="shared" si="57"/>
        <v>103483</v>
      </c>
      <c r="R39" s="341">
        <f t="shared" si="57"/>
        <v>90313</v>
      </c>
      <c r="S39" s="341">
        <f t="shared" si="57"/>
        <v>111113</v>
      </c>
      <c r="T39" s="341">
        <f t="shared" si="57"/>
        <v>214717</v>
      </c>
      <c r="U39" s="341">
        <f t="shared" si="57"/>
        <v>204513</v>
      </c>
      <c r="W39" s="341">
        <f t="shared" ref="W39:AC39" si="58">+W35+W25+W27-W32</f>
        <v>117401</v>
      </c>
      <c r="X39" s="341">
        <f t="shared" si="58"/>
        <v>118263</v>
      </c>
      <c r="Y39" s="341">
        <f t="shared" si="58"/>
        <v>95187</v>
      </c>
      <c r="Z39" s="341">
        <f t="shared" si="58"/>
        <v>96273</v>
      </c>
      <c r="AA39" s="341">
        <f t="shared" si="58"/>
        <v>420387</v>
      </c>
      <c r="AB39" s="341">
        <f t="shared" si="58"/>
        <v>420537</v>
      </c>
      <c r="AC39" s="268">
        <f t="shared" si="58"/>
        <v>-10221</v>
      </c>
      <c r="AD39" s="156"/>
      <c r="AE39" s="341">
        <f t="shared" ref="AE39:AH39" si="59">+AE35+AE25+AE27-AE32</f>
        <v>513569</v>
      </c>
      <c r="AF39" s="341">
        <f t="shared" si="59"/>
        <v>70720</v>
      </c>
      <c r="AG39" s="341">
        <f t="shared" si="59"/>
        <v>222603</v>
      </c>
      <c r="AH39" s="268">
        <f t="shared" si="59"/>
        <v>172936</v>
      </c>
      <c r="AI39" s="156"/>
      <c r="AJ39" s="341">
        <f t="shared" ref="AJ39:AM39" si="60">+AJ35+AJ25+AJ27-AJ32</f>
        <v>199927</v>
      </c>
      <c r="AK39" s="341">
        <f t="shared" si="60"/>
        <v>66355</v>
      </c>
      <c r="AL39" s="341">
        <f t="shared" si="60"/>
        <v>238325</v>
      </c>
      <c r="AM39" s="268">
        <f t="shared" si="60"/>
        <v>110436</v>
      </c>
      <c r="AN39" s="156"/>
      <c r="AO39" s="341">
        <f t="shared" ref="AO39:AP39" si="61">+AO35+AO25+AO27-AO32</f>
        <v>132217</v>
      </c>
      <c r="AP39" s="341">
        <f t="shared" si="61"/>
        <v>-7205</v>
      </c>
      <c r="AQ39" s="341">
        <f>+AQ35+AQ25+AQ27-AQ32</f>
        <v>-7</v>
      </c>
      <c r="AR39" s="268">
        <f t="shared" ref="AR39" si="62">+AR35+AR25+AR27-AR32</f>
        <v>-41922</v>
      </c>
      <c r="AS39" s="152"/>
      <c r="AT39" s="341">
        <f t="shared" ref="AT39:AU39" si="63">+AT35+AT25+AT27-AT32</f>
        <v>141643</v>
      </c>
      <c r="AU39" s="341">
        <f t="shared" si="63"/>
        <v>133437</v>
      </c>
      <c r="AV39" s="341">
        <f>+AV35+AV25+AV27-AV32</f>
        <v>135988</v>
      </c>
      <c r="AW39" s="268">
        <f t="shared" ref="AW39" si="64">+AW35+AW25+AW27-AW32</f>
        <v>8791</v>
      </c>
      <c r="AX39" s="152"/>
      <c r="AY39" s="341">
        <f t="shared" ref="AY39" si="65">+AY35+AY25+AY27-AY32</f>
        <v>198766</v>
      </c>
    </row>
    <row r="40" spans="2:51" s="350" customFormat="1" ht="17.25" hidden="1" customHeight="1">
      <c r="B40" s="352" t="s">
        <v>48</v>
      </c>
      <c r="C40" s="344">
        <v>77.69</v>
      </c>
      <c r="D40" s="344">
        <v>38.22</v>
      </c>
      <c r="E40" s="344">
        <v>16.329999999999998</v>
      </c>
      <c r="F40" s="344">
        <v>-13.14</v>
      </c>
      <c r="G40" s="353"/>
      <c r="H40" s="344">
        <v>32.21</v>
      </c>
      <c r="I40" s="344">
        <v>45.6</v>
      </c>
      <c r="J40" s="344">
        <v>110.6</v>
      </c>
      <c r="K40" s="344">
        <f>-2.28-(3726/3244.51)</f>
        <v>-3.428401453532274</v>
      </c>
      <c r="L40" s="344">
        <v>-188.41</v>
      </c>
      <c r="N40" s="344">
        <v>32.21</v>
      </c>
      <c r="O40" s="344">
        <v>32.21</v>
      </c>
      <c r="P40" s="344">
        <v>32.21</v>
      </c>
      <c r="Q40" s="344"/>
      <c r="R40" s="344">
        <v>32.21</v>
      </c>
      <c r="S40" s="344"/>
      <c r="T40" s="344">
        <v>33.21</v>
      </c>
      <c r="U40" s="344">
        <v>33.21</v>
      </c>
      <c r="W40" s="344">
        <v>32.21</v>
      </c>
      <c r="X40" s="344">
        <v>32.21</v>
      </c>
      <c r="AD40" s="156"/>
      <c r="AE40" s="344">
        <v>32.21</v>
      </c>
      <c r="AI40" s="156"/>
      <c r="AJ40" s="344">
        <v>32.21</v>
      </c>
      <c r="AN40" s="156"/>
      <c r="AO40" s="344">
        <v>32.21</v>
      </c>
      <c r="AT40" s="344">
        <v>32.21</v>
      </c>
      <c r="AY40" s="344">
        <v>32.21</v>
      </c>
    </row>
    <row r="41" spans="2:51" s="2" customFormat="1" ht="13">
      <c r="B41" s="354" t="s">
        <v>6</v>
      </c>
      <c r="C41" s="68">
        <f>+C39/C$10</f>
        <v>0.66930383111939129</v>
      </c>
      <c r="D41" s="68">
        <f>+D39/D$10</f>
        <v>0.33017796650603559</v>
      </c>
      <c r="E41" s="68">
        <f>+E39/E$10</f>
        <v>0.27280142747897018</v>
      </c>
      <c r="F41" s="68">
        <f>+F39/F$10</f>
        <v>-0.46380438182535255</v>
      </c>
      <c r="G41" s="205"/>
      <c r="H41" s="68">
        <f>+H39/H$10</f>
        <v>0.53731663514565886</v>
      </c>
      <c r="I41" s="68">
        <f>+I39/I$10</f>
        <v>0.66573235884442317</v>
      </c>
      <c r="J41" s="68">
        <f>+J39/J$10</f>
        <v>0.47826687162880188</v>
      </c>
      <c r="K41" s="68">
        <f t="shared" ref="K41:L41" si="66">+K39/K$10</f>
        <v>-0.14761117429491652</v>
      </c>
      <c r="L41" s="68">
        <f t="shared" si="66"/>
        <v>6.7190507788632739E-2</v>
      </c>
      <c r="N41" s="68">
        <f t="shared" ref="N41:U41" si="67">+N39/N$10</f>
        <v>0.5703541247005256</v>
      </c>
      <c r="O41" s="68">
        <f t="shared" si="67"/>
        <v>0.80069034628660507</v>
      </c>
      <c r="P41" s="68">
        <f t="shared" si="67"/>
        <v>0.85275602238695203</v>
      </c>
      <c r="Q41" s="68">
        <f t="shared" si="67"/>
        <v>0.85987187050778169</v>
      </c>
      <c r="R41" s="68">
        <f t="shared" si="67"/>
        <v>0.4681321985050953</v>
      </c>
      <c r="S41" s="68">
        <f t="shared" si="67"/>
        <v>0.51989500378997011</v>
      </c>
      <c r="T41" s="68">
        <f t="shared" si="67"/>
        <v>0.34510652934217972</v>
      </c>
      <c r="U41" s="68">
        <f t="shared" si="67"/>
        <v>0.33213156445947195</v>
      </c>
      <c r="W41" s="68">
        <f t="shared" ref="W41:AC41" si="68">+W39/W$10</f>
        <v>0.66733930560924037</v>
      </c>
      <c r="X41" s="68">
        <f t="shared" si="68"/>
        <v>0.6621557308667827</v>
      </c>
      <c r="Y41" s="68">
        <f t="shared" si="68"/>
        <v>0.45080701687915586</v>
      </c>
      <c r="Z41" s="68">
        <f t="shared" si="68"/>
        <v>0.45289595995709692</v>
      </c>
      <c r="AA41" s="68">
        <f t="shared" si="68"/>
        <v>0.55713604134914851</v>
      </c>
      <c r="AB41" s="68">
        <f t="shared" si="68"/>
        <v>0.5570919312896504</v>
      </c>
      <c r="AC41" s="68">
        <f t="shared" si="68"/>
        <v>-0.21041688111168297</v>
      </c>
      <c r="AD41" s="156"/>
      <c r="AE41" s="68">
        <f t="shared" ref="AE41:AH41" si="69">+AE39/AE$10</f>
        <v>0.60346614463380932</v>
      </c>
      <c r="AF41" s="68">
        <f t="shared" si="69"/>
        <v>0.71774365428139364</v>
      </c>
      <c r="AG41" s="68">
        <f t="shared" si="69"/>
        <v>0.90390550132376113</v>
      </c>
      <c r="AH41" s="68">
        <f t="shared" si="69"/>
        <v>0.94052895780193724</v>
      </c>
      <c r="AI41" s="156"/>
      <c r="AJ41" s="68">
        <f t="shared" ref="AJ41:AM41" si="70">+AJ39/AJ$10</f>
        <v>0.6498246457975122</v>
      </c>
      <c r="AK41" s="68">
        <f t="shared" si="70"/>
        <v>0.68915915416891693</v>
      </c>
      <c r="AL41" s="68">
        <f t="shared" si="70"/>
        <v>0.92964971134342334</v>
      </c>
      <c r="AM41" s="68">
        <f t="shared" si="70"/>
        <v>0.59597524055196083</v>
      </c>
      <c r="AN41" s="156"/>
      <c r="AO41" s="68">
        <f t="shared" ref="AO41:AR41" si="71">+AO39/AO$10</f>
        <v>0.66025967540574282</v>
      </c>
      <c r="AP41" s="68">
        <f t="shared" si="71"/>
        <v>-0.25389386144196208</v>
      </c>
      <c r="AQ41" s="68">
        <f t="shared" si="71"/>
        <v>-2.8968713789107763E-4</v>
      </c>
      <c r="AR41" s="68">
        <f t="shared" si="71"/>
        <v>-11.926600284495022</v>
      </c>
      <c r="AS41" s="61"/>
      <c r="AT41" s="68">
        <f t="shared" ref="AT41:AW41" si="72">+AT39/AT$10</f>
        <v>0.74883954533439068</v>
      </c>
      <c r="AU41" s="68">
        <f t="shared" si="72"/>
        <v>0.60796329539552219</v>
      </c>
      <c r="AV41" s="68">
        <f t="shared" si="72"/>
        <v>0.79552594169918278</v>
      </c>
      <c r="AW41" s="68">
        <f t="shared" si="72"/>
        <v>0.12011696066241272</v>
      </c>
      <c r="AX41" s="61"/>
      <c r="AY41" s="68">
        <f t="shared" ref="AY41" si="73">+AY39/AY$10</f>
        <v>0.69813249224652363</v>
      </c>
    </row>
    <row r="42" spans="2:51" s="188" customFormat="1" ht="12.5">
      <c r="AD42" s="156"/>
      <c r="AI42" s="156"/>
      <c r="AN42" s="156"/>
    </row>
    <row r="43" spans="2:51" ht="16.5" customHeight="1">
      <c r="B43" s="2" t="s">
        <v>16</v>
      </c>
      <c r="C43" s="152">
        <f>SUM(C44:C48)</f>
        <v>-195038</v>
      </c>
      <c r="D43" s="152">
        <f>SUM(D44:D48)</f>
        <v>187985</v>
      </c>
      <c r="E43" s="152">
        <f>SUM(E44:E48)</f>
        <v>-1712</v>
      </c>
      <c r="F43" s="152">
        <f>SUM(F44:F48)</f>
        <v>-13105</v>
      </c>
      <c r="H43" s="152">
        <f>SUM(H44:H48)</f>
        <v>-32621</v>
      </c>
      <c r="I43" s="152">
        <f>SUM(I44:I48)</f>
        <v>-18479</v>
      </c>
      <c r="J43" s="152">
        <f>SUM(J44:J48)</f>
        <v>-26865</v>
      </c>
      <c r="K43" s="152">
        <f>SUM(K44:K48)</f>
        <v>-29254</v>
      </c>
      <c r="L43" s="152">
        <f>SUM(L44:L48)</f>
        <v>-29254</v>
      </c>
      <c r="N43" s="152">
        <f t="shared" ref="N43:U43" si="74">SUM(N44:N48)</f>
        <v>-16546</v>
      </c>
      <c r="O43" s="152">
        <f t="shared" si="74"/>
        <v>-16546</v>
      </c>
      <c r="P43" s="152">
        <f t="shared" si="74"/>
        <v>-36752</v>
      </c>
      <c r="Q43" s="152">
        <f t="shared" si="74"/>
        <v>-36752</v>
      </c>
      <c r="R43" s="152">
        <f t="shared" si="74"/>
        <v>-45263</v>
      </c>
      <c r="S43" s="152">
        <f t="shared" si="74"/>
        <v>-45263</v>
      </c>
      <c r="T43" s="152">
        <f t="shared" si="74"/>
        <v>-33135</v>
      </c>
      <c r="U43" s="152">
        <f t="shared" si="74"/>
        <v>-36774</v>
      </c>
      <c r="W43" s="152">
        <f t="shared" ref="W43:AC43" si="75">SUM(W44:W48)</f>
        <v>-31999</v>
      </c>
      <c r="X43" s="152">
        <f t="shared" si="75"/>
        <v>-32824</v>
      </c>
      <c r="Y43" s="152">
        <f t="shared" si="75"/>
        <v>-29905</v>
      </c>
      <c r="Z43" s="152">
        <f t="shared" si="75"/>
        <v>-30664</v>
      </c>
      <c r="AA43" s="152">
        <f t="shared" si="75"/>
        <v>-27288</v>
      </c>
      <c r="AB43" s="152">
        <f t="shared" si="75"/>
        <v>-27968</v>
      </c>
      <c r="AC43" s="152">
        <f t="shared" si="75"/>
        <v>-27156</v>
      </c>
      <c r="AD43" s="156"/>
      <c r="AE43" s="152">
        <f t="shared" ref="AE43:AH43" si="76">SUM(AE44:AE48)</f>
        <v>-26447</v>
      </c>
      <c r="AF43" s="152">
        <f t="shared" si="76"/>
        <v>-29085</v>
      </c>
      <c r="AG43" s="152">
        <f t="shared" si="76"/>
        <v>-27827</v>
      </c>
      <c r="AH43" s="152">
        <f t="shared" si="76"/>
        <v>-27691</v>
      </c>
      <c r="AI43" s="156"/>
      <c r="AJ43" s="152">
        <f t="shared" ref="AJ43:AM43" si="77">SUM(AJ44:AJ48)</f>
        <v>-25842</v>
      </c>
      <c r="AK43" s="152">
        <f t="shared" si="77"/>
        <v>-23446</v>
      </c>
      <c r="AL43" s="152">
        <f t="shared" si="77"/>
        <v>-24753</v>
      </c>
      <c r="AM43" s="152">
        <f t="shared" si="77"/>
        <v>-28612</v>
      </c>
      <c r="AN43" s="156"/>
      <c r="AO43" s="152">
        <f t="shared" ref="AO43:AQ43" si="78">SUM(AO44:AO48)</f>
        <v>-24999</v>
      </c>
      <c r="AP43" s="152">
        <f t="shared" si="78"/>
        <v>-38883</v>
      </c>
      <c r="AQ43" s="152">
        <f t="shared" si="78"/>
        <v>-17657</v>
      </c>
      <c r="AR43" s="152">
        <f t="shared" ref="AR43" si="79">SUM(AR44:AR48)</f>
        <v>-21231</v>
      </c>
      <c r="AS43" s="152"/>
      <c r="AT43" s="152">
        <f t="shared" ref="AT43:AW43" si="80">SUM(AT44:AT48)</f>
        <v>-17300</v>
      </c>
      <c r="AU43" s="152">
        <f t="shared" si="80"/>
        <v>-26681</v>
      </c>
      <c r="AV43" s="152">
        <f t="shared" si="80"/>
        <v>-21799</v>
      </c>
      <c r="AW43" s="152">
        <f t="shared" si="80"/>
        <v>-26684</v>
      </c>
      <c r="AX43" s="152"/>
      <c r="AY43" s="152">
        <f t="shared" ref="AY43" si="81">SUM(AY44:AY48)</f>
        <v>-22451</v>
      </c>
    </row>
    <row r="44" spans="2:51" ht="16.5" customHeight="1">
      <c r="B44" s="355" t="s">
        <v>15</v>
      </c>
      <c r="C44" s="154">
        <v>-189633</v>
      </c>
      <c r="D44" s="154">
        <v>169794</v>
      </c>
      <c r="E44" s="154">
        <f>17123+1</f>
        <v>17124</v>
      </c>
      <c r="F44" s="154">
        <v>-11163</v>
      </c>
      <c r="H44" s="154">
        <v>-32641</v>
      </c>
      <c r="I44" s="154">
        <f>-18546+1</f>
        <v>-18545</v>
      </c>
      <c r="J44" s="154">
        <f>-26642</f>
        <v>-26642</v>
      </c>
      <c r="K44" s="154">
        <v>-29446</v>
      </c>
      <c r="L44" s="154">
        <v>-29446</v>
      </c>
      <c r="N44" s="154">
        <v>-22738</v>
      </c>
      <c r="O44" s="154">
        <v>-22738</v>
      </c>
      <c r="P44" s="154">
        <v>-36720</v>
      </c>
      <c r="Q44" s="154">
        <v>-36720</v>
      </c>
      <c r="R44" s="154">
        <v>-45240</v>
      </c>
      <c r="S44" s="154">
        <v>-45240</v>
      </c>
      <c r="T44" s="154">
        <v>-33178</v>
      </c>
      <c r="U44" s="154">
        <f>-33178-3643</f>
        <v>-36821</v>
      </c>
      <c r="W44" s="154">
        <v>-31738</v>
      </c>
      <c r="X44" s="154">
        <v>-32563</v>
      </c>
      <c r="Y44" s="153">
        <v>-29574</v>
      </c>
      <c r="Z44" s="153">
        <f>-29574-759</f>
        <v>-30333</v>
      </c>
      <c r="AA44" s="153">
        <v>-31994</v>
      </c>
      <c r="AB44" s="153">
        <f>-31994-680</f>
        <v>-32674</v>
      </c>
      <c r="AC44" s="155">
        <v>-27121</v>
      </c>
      <c r="AD44" s="156"/>
      <c r="AE44" s="154">
        <v>-26333</v>
      </c>
      <c r="AF44" s="153">
        <v>-29011</v>
      </c>
      <c r="AG44" s="153">
        <v>-27117</v>
      </c>
      <c r="AH44" s="153">
        <v>-29029</v>
      </c>
      <c r="AI44" s="156"/>
      <c r="AJ44" s="154">
        <v>-25855</v>
      </c>
      <c r="AK44" s="153">
        <v>-23446</v>
      </c>
      <c r="AL44" s="153">
        <v>-22318</v>
      </c>
      <c r="AM44" s="153">
        <v>-28566</v>
      </c>
      <c r="AN44" s="156"/>
      <c r="AO44" s="154">
        <v>-25602</v>
      </c>
      <c r="AP44" s="155">
        <f>-40505+1966</f>
        <v>-38539</v>
      </c>
      <c r="AQ44" s="153">
        <v>-17687</v>
      </c>
      <c r="AR44" s="153">
        <v>-20850</v>
      </c>
      <c r="AS44" s="155"/>
      <c r="AT44" s="154">
        <v>-17314</v>
      </c>
      <c r="AU44" s="155">
        <v>-26158</v>
      </c>
      <c r="AV44" s="153">
        <v>-22256</v>
      </c>
      <c r="AW44" s="153">
        <v>-25430</v>
      </c>
      <c r="AX44" s="155"/>
      <c r="AY44" s="154">
        <v>-22074</v>
      </c>
    </row>
    <row r="45" spans="2:51" ht="16.5" hidden="1" customHeight="1">
      <c r="B45" s="355" t="s">
        <v>17</v>
      </c>
      <c r="C45" s="271">
        <v>0</v>
      </c>
      <c r="D45" s="271">
        <v>0</v>
      </c>
      <c r="E45" s="271">
        <v>0</v>
      </c>
      <c r="F45" s="271"/>
      <c r="H45" s="271">
        <v>0</v>
      </c>
      <c r="I45" s="271">
        <v>0</v>
      </c>
      <c r="J45" s="271">
        <v>0</v>
      </c>
      <c r="K45" s="271">
        <v>0</v>
      </c>
      <c r="L45" s="271">
        <v>0</v>
      </c>
      <c r="N45" s="271">
        <v>0</v>
      </c>
      <c r="O45" s="271">
        <v>0</v>
      </c>
      <c r="P45" s="271">
        <v>0</v>
      </c>
      <c r="Q45" s="271"/>
      <c r="R45" s="271">
        <v>0</v>
      </c>
      <c r="S45" s="271"/>
      <c r="T45" s="271"/>
      <c r="U45" s="271"/>
      <c r="W45" s="271">
        <v>0</v>
      </c>
      <c r="X45" s="271"/>
      <c r="Y45" s="153"/>
      <c r="Z45" s="153"/>
      <c r="AD45" s="156"/>
      <c r="AE45" s="271"/>
      <c r="AF45" s="153">
        <v>0</v>
      </c>
      <c r="AG45" s="153">
        <v>0</v>
      </c>
      <c r="AH45" s="153">
        <v>0</v>
      </c>
      <c r="AI45" s="156"/>
      <c r="AJ45" s="271"/>
      <c r="AK45" s="153"/>
      <c r="AL45" s="153"/>
      <c r="AM45" s="153"/>
      <c r="AN45" s="156"/>
      <c r="AO45" s="271"/>
      <c r="AP45" s="153"/>
      <c r="AQ45" s="153"/>
      <c r="AR45" s="153"/>
      <c r="AS45" s="155"/>
      <c r="AT45" s="271"/>
      <c r="AU45" s="153"/>
      <c r="AV45" s="153"/>
      <c r="AW45" s="153"/>
      <c r="AX45" s="155"/>
      <c r="AY45" s="271"/>
    </row>
    <row r="46" spans="2:51" ht="12.75" customHeight="1">
      <c r="B46" s="355" t="s">
        <v>18</v>
      </c>
      <c r="C46" s="154">
        <v>-5405</v>
      </c>
      <c r="D46" s="156">
        <v>18191</v>
      </c>
      <c r="E46" s="154">
        <v>-18836</v>
      </c>
      <c r="F46" s="154">
        <v>-1942</v>
      </c>
      <c r="H46" s="156">
        <f>21-1</f>
        <v>20</v>
      </c>
      <c r="I46" s="156">
        <v>66</v>
      </c>
      <c r="J46" s="154">
        <v>-223</v>
      </c>
      <c r="K46" s="156">
        <v>192</v>
      </c>
      <c r="L46" s="156">
        <v>192</v>
      </c>
      <c r="N46" s="156">
        <v>6192</v>
      </c>
      <c r="O46" s="156">
        <v>6192</v>
      </c>
      <c r="P46" s="154">
        <v>-32</v>
      </c>
      <c r="Q46" s="154">
        <v>-32</v>
      </c>
      <c r="R46" s="154">
        <v>-23</v>
      </c>
      <c r="S46" s="154">
        <v>-23</v>
      </c>
      <c r="T46" s="154">
        <v>43</v>
      </c>
      <c r="U46" s="156">
        <f>43+4</f>
        <v>47</v>
      </c>
      <c r="W46" s="154">
        <v>-261</v>
      </c>
      <c r="X46" s="154">
        <v>-261</v>
      </c>
      <c r="Y46" s="153">
        <v>-331</v>
      </c>
      <c r="Z46" s="153">
        <v>-331</v>
      </c>
      <c r="AA46" s="153">
        <v>4706</v>
      </c>
      <c r="AB46" s="153">
        <v>4706</v>
      </c>
      <c r="AC46" s="153">
        <v>-35</v>
      </c>
      <c r="AD46" s="156"/>
      <c r="AE46" s="154">
        <v>-114</v>
      </c>
      <c r="AF46" s="153">
        <v>-74</v>
      </c>
      <c r="AG46" s="153">
        <v>-710</v>
      </c>
      <c r="AH46" s="153">
        <v>1338</v>
      </c>
      <c r="AI46" s="156"/>
      <c r="AJ46" s="154">
        <v>13</v>
      </c>
      <c r="AK46" s="153">
        <v>0</v>
      </c>
      <c r="AL46" s="153">
        <v>-2435</v>
      </c>
      <c r="AM46" s="153">
        <v>-46</v>
      </c>
      <c r="AN46" s="156"/>
      <c r="AO46" s="154">
        <v>603</v>
      </c>
      <c r="AP46" s="153">
        <v>-344</v>
      </c>
      <c r="AQ46" s="153">
        <v>30</v>
      </c>
      <c r="AR46" s="153">
        <v>-381</v>
      </c>
      <c r="AS46" s="155"/>
      <c r="AT46" s="154">
        <v>14</v>
      </c>
      <c r="AU46" s="153">
        <v>-523</v>
      </c>
      <c r="AV46" s="153">
        <v>457</v>
      </c>
      <c r="AW46" s="153">
        <v>-1254</v>
      </c>
      <c r="AX46" s="155"/>
      <c r="AY46" s="154">
        <v>-377</v>
      </c>
    </row>
    <row r="47" spans="2:51" ht="13.5" hidden="1" customHeight="1">
      <c r="B47" s="355" t="s">
        <v>19</v>
      </c>
      <c r="C47" s="156">
        <v>0</v>
      </c>
      <c r="D47" s="156">
        <v>0</v>
      </c>
      <c r="E47" s="156">
        <v>0</v>
      </c>
      <c r="F47" s="156"/>
      <c r="H47" s="156">
        <v>0</v>
      </c>
      <c r="I47" s="156">
        <v>0</v>
      </c>
      <c r="J47" s="156">
        <v>0</v>
      </c>
      <c r="K47" s="156"/>
      <c r="L47" s="156">
        <v>0</v>
      </c>
      <c r="N47" s="156">
        <v>0</v>
      </c>
      <c r="O47" s="156">
        <v>0</v>
      </c>
      <c r="P47" s="156">
        <v>0</v>
      </c>
      <c r="Q47" s="156"/>
      <c r="R47" s="156">
        <v>0</v>
      </c>
      <c r="S47" s="156"/>
      <c r="T47" s="156"/>
      <c r="U47" s="156"/>
      <c r="W47" s="156">
        <v>0</v>
      </c>
      <c r="X47" s="156">
        <v>0</v>
      </c>
      <c r="AD47" s="156"/>
      <c r="AE47" s="156">
        <v>0</v>
      </c>
      <c r="AI47" s="156"/>
      <c r="AJ47" s="156">
        <v>0</v>
      </c>
      <c r="AN47" s="156"/>
      <c r="AO47" s="156">
        <v>0</v>
      </c>
      <c r="AQ47" s="399"/>
      <c r="AT47" s="156">
        <v>0</v>
      </c>
      <c r="AV47"/>
      <c r="AY47" s="156">
        <v>0</v>
      </c>
    </row>
    <row r="48" spans="2:51" ht="5.25" customHeight="1">
      <c r="B48" s="355"/>
      <c r="C48" s="156"/>
      <c r="D48" s="156"/>
      <c r="E48" s="156"/>
      <c r="F48" s="156"/>
      <c r="H48" s="156"/>
      <c r="I48" s="156"/>
      <c r="J48" s="156"/>
      <c r="K48" s="156"/>
      <c r="L48" s="156"/>
      <c r="N48" s="156"/>
      <c r="O48" s="156"/>
      <c r="P48" s="156"/>
      <c r="Q48" s="156"/>
      <c r="R48" s="156"/>
      <c r="S48" s="156"/>
      <c r="T48" s="156"/>
      <c r="U48" s="156"/>
      <c r="W48" s="154"/>
      <c r="X48" s="154"/>
      <c r="AD48" s="156"/>
      <c r="AE48" s="154"/>
      <c r="AI48" s="156"/>
      <c r="AJ48" s="154"/>
      <c r="AN48" s="156"/>
      <c r="AO48" s="154"/>
      <c r="AQ48" s="399"/>
      <c r="AT48" s="154"/>
      <c r="AV48"/>
      <c r="AY48" s="154"/>
    </row>
    <row r="49" spans="2:51" ht="5.25" customHeight="1">
      <c r="C49" s="271"/>
      <c r="D49" s="271"/>
      <c r="E49" s="271"/>
      <c r="F49" s="271"/>
      <c r="H49" s="271"/>
      <c r="I49" s="271"/>
      <c r="J49" s="271"/>
      <c r="K49" s="271"/>
      <c r="L49" s="271"/>
      <c r="N49" s="271"/>
      <c r="O49" s="271"/>
      <c r="P49" s="271"/>
      <c r="Q49" s="271"/>
      <c r="R49" s="271"/>
      <c r="S49" s="271"/>
      <c r="T49" s="271"/>
      <c r="U49" s="271"/>
      <c r="W49" s="271"/>
      <c r="X49" s="271"/>
      <c r="AD49" s="156"/>
      <c r="AE49" s="271"/>
      <c r="AI49" s="156"/>
      <c r="AJ49" s="271"/>
      <c r="AN49" s="156"/>
      <c r="AO49" s="271"/>
      <c r="AQ49" s="399"/>
      <c r="AT49" s="271"/>
      <c r="AV49"/>
      <c r="AY49" s="271"/>
    </row>
    <row r="50" spans="2:51" ht="16.5" customHeight="1">
      <c r="B50" s="2" t="s">
        <v>7</v>
      </c>
      <c r="C50" s="152">
        <f>+C35+C43</f>
        <v>-37712</v>
      </c>
      <c r="D50" s="297">
        <f>+D35+D43</f>
        <v>257159</v>
      </c>
      <c r="E50" s="297">
        <f>+E35+E43</f>
        <v>30299</v>
      </c>
      <c r="F50" s="152">
        <f>+F35+F43</f>
        <v>-49517</v>
      </c>
      <c r="H50" s="297">
        <f>+H35+H43</f>
        <v>44431</v>
      </c>
      <c r="I50" s="297">
        <f>+I35+I43</f>
        <v>94161</v>
      </c>
      <c r="J50" s="297">
        <f>+J35+J43</f>
        <v>304933</v>
      </c>
      <c r="K50" s="152">
        <f>+K35+K43</f>
        <v>-45438</v>
      </c>
      <c r="L50" s="152">
        <f>+L35+L43</f>
        <v>-19463</v>
      </c>
      <c r="N50" s="297">
        <f t="shared" ref="N50:U50" si="82">+N35+N43</f>
        <v>88250</v>
      </c>
      <c r="O50" s="297">
        <f t="shared" si="82"/>
        <v>102050</v>
      </c>
      <c r="P50" s="297">
        <f t="shared" si="82"/>
        <v>60049</v>
      </c>
      <c r="Q50" s="297">
        <f t="shared" si="82"/>
        <v>65865</v>
      </c>
      <c r="R50" s="297">
        <f t="shared" si="82"/>
        <v>44184</v>
      </c>
      <c r="S50" s="297">
        <f t="shared" si="82"/>
        <v>64990</v>
      </c>
      <c r="T50" s="297">
        <f t="shared" si="82"/>
        <v>180776</v>
      </c>
      <c r="U50" s="297">
        <f t="shared" si="82"/>
        <v>166840</v>
      </c>
      <c r="W50" s="297">
        <f t="shared" ref="W50:AC50" si="83">+W35+W43</f>
        <v>88063</v>
      </c>
      <c r="X50" s="297">
        <f t="shared" si="83"/>
        <v>88079</v>
      </c>
      <c r="Y50" s="297">
        <f t="shared" si="83"/>
        <v>64684</v>
      </c>
      <c r="Z50" s="297">
        <f t="shared" si="83"/>
        <v>64991</v>
      </c>
      <c r="AA50" s="297">
        <f t="shared" si="83"/>
        <v>376929</v>
      </c>
      <c r="AB50" s="297">
        <f t="shared" si="83"/>
        <v>376376</v>
      </c>
      <c r="AC50" s="152">
        <f t="shared" si="83"/>
        <v>-38310</v>
      </c>
      <c r="AD50" s="156"/>
      <c r="AE50" s="297">
        <f t="shared" ref="AE50:AH50" si="84">+AE35+AE43</f>
        <v>486234</v>
      </c>
      <c r="AF50" s="297">
        <f t="shared" si="84"/>
        <v>40745</v>
      </c>
      <c r="AG50" s="297">
        <f t="shared" si="84"/>
        <v>193887</v>
      </c>
      <c r="AH50" s="152">
        <f t="shared" si="84"/>
        <v>125809</v>
      </c>
      <c r="AI50" s="156"/>
      <c r="AJ50" s="297">
        <f t="shared" ref="AJ50:AM50" si="85">+AJ35+AJ43</f>
        <v>169997</v>
      </c>
      <c r="AK50" s="297">
        <f t="shared" si="85"/>
        <v>38936</v>
      </c>
      <c r="AL50" s="297">
        <f t="shared" si="85"/>
        <v>209573</v>
      </c>
      <c r="AM50" s="152">
        <f t="shared" si="85"/>
        <v>77494</v>
      </c>
      <c r="AN50" s="156"/>
      <c r="AO50" s="297">
        <f t="shared" ref="AO50:AR50" si="86">+AO35+AO43</f>
        <v>103458</v>
      </c>
      <c r="AP50" s="297">
        <f t="shared" si="86"/>
        <v>-50440</v>
      </c>
      <c r="AQ50" s="297">
        <f t="shared" si="86"/>
        <v>-23375</v>
      </c>
      <c r="AR50" s="152">
        <f t="shared" si="86"/>
        <v>-67708</v>
      </c>
      <c r="AS50" s="152"/>
      <c r="AT50" s="297">
        <f t="shared" ref="AT50:AW50" si="87">+AT35+AT43</f>
        <v>119943</v>
      </c>
      <c r="AU50" s="297">
        <f t="shared" si="87"/>
        <v>102392</v>
      </c>
      <c r="AV50" s="297">
        <f t="shared" si="87"/>
        <v>109839</v>
      </c>
      <c r="AW50" s="152">
        <f t="shared" si="87"/>
        <v>-22265</v>
      </c>
      <c r="AX50" s="152"/>
      <c r="AY50" s="297">
        <f t="shared" ref="AY50" si="88">+AY35+AY43</f>
        <v>171903</v>
      </c>
    </row>
    <row r="51" spans="2:51" s="177" customFormat="1" ht="5.25" hidden="1" customHeight="1">
      <c r="B51" s="1"/>
      <c r="L51" s="177">
        <v>0</v>
      </c>
      <c r="AD51" s="156"/>
      <c r="AI51" s="156"/>
      <c r="AN51" s="156"/>
    </row>
    <row r="52" spans="2:51" s="177" customFormat="1" ht="5.25" customHeight="1">
      <c r="B52" s="1"/>
      <c r="AD52" s="156"/>
      <c r="AI52" s="156"/>
      <c r="AN52" s="156"/>
    </row>
    <row r="53" spans="2:51" ht="15.75" customHeight="1">
      <c r="B53" s="356" t="s">
        <v>147</v>
      </c>
      <c r="C53" s="154">
        <v>-16337</v>
      </c>
      <c r="D53" s="154">
        <v>-4897</v>
      </c>
      <c r="E53" s="154">
        <v>7198</v>
      </c>
      <c r="F53" s="154">
        <v>13223</v>
      </c>
      <c r="H53" s="154">
        <v>9792</v>
      </c>
      <c r="I53" s="154">
        <v>-10606</v>
      </c>
      <c r="J53" s="154">
        <v>-5741</v>
      </c>
      <c r="K53" s="154">
        <v>32841</v>
      </c>
      <c r="L53" s="154">
        <v>35155</v>
      </c>
      <c r="N53" s="154">
        <v>-2546</v>
      </c>
      <c r="O53" s="154">
        <v>-2546</v>
      </c>
      <c r="P53" s="154">
        <v>14733</v>
      </c>
      <c r="Q53" s="154">
        <v>14733</v>
      </c>
      <c r="R53" s="154">
        <v>17439</v>
      </c>
      <c r="S53" s="154">
        <v>17439</v>
      </c>
      <c r="T53" s="154">
        <v>-8187</v>
      </c>
      <c r="U53" s="154">
        <f>-8187+6550</f>
        <v>-1637</v>
      </c>
      <c r="W53" s="154">
        <v>1092</v>
      </c>
      <c r="X53" s="154">
        <v>1108</v>
      </c>
      <c r="Y53" s="153">
        <v>3266</v>
      </c>
      <c r="Z53" s="153">
        <f>3266+307</f>
        <v>3573</v>
      </c>
      <c r="AA53" s="153">
        <v>43776</v>
      </c>
      <c r="AB53" s="153">
        <f>43776-553</f>
        <v>43223</v>
      </c>
      <c r="AC53" s="153">
        <v>-9609</v>
      </c>
      <c r="AD53" s="156"/>
      <c r="AE53" s="154">
        <v>5846</v>
      </c>
      <c r="AF53" s="153">
        <v>797</v>
      </c>
      <c r="AG53" s="153">
        <v>3371</v>
      </c>
      <c r="AH53" s="153">
        <v>24985</v>
      </c>
      <c r="AI53" s="156"/>
      <c r="AJ53" s="154">
        <v>-2191</v>
      </c>
      <c r="AK53" s="153">
        <v>5407</v>
      </c>
      <c r="AL53" s="153">
        <v>10472</v>
      </c>
      <c r="AM53" s="153">
        <v>-427</v>
      </c>
      <c r="AN53" s="156"/>
      <c r="AO53" s="154">
        <v>4062</v>
      </c>
      <c r="AP53" s="153">
        <v>5388</v>
      </c>
      <c r="AQ53" s="153">
        <v>5330</v>
      </c>
      <c r="AR53" s="153">
        <f>8590-2312</f>
        <v>6278</v>
      </c>
      <c r="AS53" s="155"/>
      <c r="AT53" s="154">
        <v>1761</v>
      </c>
      <c r="AU53" s="153">
        <v>-12485</v>
      </c>
      <c r="AV53" s="153">
        <v>-2423</v>
      </c>
      <c r="AW53" s="153">
        <v>-13149</v>
      </c>
      <c r="AX53" s="155"/>
      <c r="AY53" s="154">
        <v>777</v>
      </c>
    </row>
    <row r="54" spans="2:51" ht="5.25" customHeight="1">
      <c r="C54" s="271"/>
      <c r="D54" s="271"/>
      <c r="E54" s="271"/>
      <c r="F54" s="271"/>
      <c r="H54" s="271"/>
      <c r="I54" s="271"/>
      <c r="J54" s="271"/>
      <c r="K54" s="271"/>
      <c r="L54" s="271"/>
      <c r="N54" s="271"/>
      <c r="O54" s="271"/>
      <c r="P54" s="271"/>
      <c r="Q54" s="271"/>
      <c r="R54" s="271"/>
      <c r="S54" s="271"/>
      <c r="T54" s="271"/>
      <c r="U54" s="271"/>
      <c r="W54" s="271"/>
      <c r="X54" s="271"/>
      <c r="AD54" s="156"/>
      <c r="AE54" s="271"/>
      <c r="AI54" s="156"/>
      <c r="AJ54" s="271"/>
      <c r="AN54" s="156"/>
      <c r="AO54" s="271"/>
      <c r="AQ54" s="399"/>
      <c r="AT54" s="271"/>
      <c r="AV54"/>
      <c r="AY54" s="271"/>
    </row>
    <row r="55" spans="2:51" s="2" customFormat="1" ht="16.5" customHeight="1">
      <c r="B55" s="357" t="s">
        <v>44</v>
      </c>
      <c r="C55" s="268">
        <f>+C50-C53</f>
        <v>-21375</v>
      </c>
      <c r="D55" s="341">
        <f>+D50-D53</f>
        <v>262056</v>
      </c>
      <c r="E55" s="341">
        <f>+E50-E53</f>
        <v>23101</v>
      </c>
      <c r="F55" s="152">
        <f>+F50-F53</f>
        <v>-62740</v>
      </c>
      <c r="G55" s="205"/>
      <c r="H55" s="341">
        <f>+H50-H53</f>
        <v>34639</v>
      </c>
      <c r="I55" s="341">
        <f>+I50-I53</f>
        <v>104767</v>
      </c>
      <c r="J55" s="341">
        <f>+J50-J53</f>
        <v>310674</v>
      </c>
      <c r="K55" s="341">
        <f>+K50-K53</f>
        <v>-78279</v>
      </c>
      <c r="L55" s="341">
        <f>+L50-L53</f>
        <v>-54618</v>
      </c>
      <c r="N55" s="341">
        <f t="shared" ref="N55:U55" si="89">+N50-N53</f>
        <v>90796</v>
      </c>
      <c r="O55" s="341">
        <f t="shared" si="89"/>
        <v>104596</v>
      </c>
      <c r="P55" s="341">
        <f t="shared" si="89"/>
        <v>45316</v>
      </c>
      <c r="Q55" s="341">
        <f t="shared" si="89"/>
        <v>51132</v>
      </c>
      <c r="R55" s="341">
        <f t="shared" si="89"/>
        <v>26745</v>
      </c>
      <c r="S55" s="341">
        <f t="shared" si="89"/>
        <v>47551</v>
      </c>
      <c r="T55" s="341">
        <f t="shared" si="89"/>
        <v>188963</v>
      </c>
      <c r="U55" s="341">
        <f t="shared" si="89"/>
        <v>168477</v>
      </c>
      <c r="W55" s="341">
        <f t="shared" ref="W55:AC55" si="90">+W50-W53</f>
        <v>86971</v>
      </c>
      <c r="X55" s="341">
        <f t="shared" si="90"/>
        <v>86971</v>
      </c>
      <c r="Y55" s="341">
        <f t="shared" si="90"/>
        <v>61418</v>
      </c>
      <c r="Z55" s="341">
        <f t="shared" si="90"/>
        <v>61418</v>
      </c>
      <c r="AA55" s="341">
        <f t="shared" si="90"/>
        <v>333153</v>
      </c>
      <c r="AB55" s="341">
        <f t="shared" si="90"/>
        <v>333153</v>
      </c>
      <c r="AC55" s="268">
        <f t="shared" si="90"/>
        <v>-28701</v>
      </c>
      <c r="AD55" s="156"/>
      <c r="AE55" s="341">
        <f t="shared" ref="AE55:AH55" si="91">+AE50-AE53</f>
        <v>480388</v>
      </c>
      <c r="AF55" s="341">
        <f t="shared" si="91"/>
        <v>39948</v>
      </c>
      <c r="AG55" s="341">
        <f t="shared" si="91"/>
        <v>190516</v>
      </c>
      <c r="AH55" s="268">
        <f t="shared" si="91"/>
        <v>100824</v>
      </c>
      <c r="AI55" s="156"/>
      <c r="AJ55" s="341">
        <f t="shared" ref="AJ55:AM55" si="92">+AJ50-AJ53</f>
        <v>172188</v>
      </c>
      <c r="AK55" s="341">
        <f t="shared" si="92"/>
        <v>33529</v>
      </c>
      <c r="AL55" s="341">
        <f t="shared" si="92"/>
        <v>199101</v>
      </c>
      <c r="AM55" s="268">
        <f t="shared" si="92"/>
        <v>77921</v>
      </c>
      <c r="AN55" s="156"/>
      <c r="AO55" s="341">
        <f t="shared" ref="AO55:AR55" si="93">+AO50-AO53</f>
        <v>99396</v>
      </c>
      <c r="AP55" s="341">
        <f t="shared" si="93"/>
        <v>-55828</v>
      </c>
      <c r="AQ55" s="341">
        <f t="shared" si="93"/>
        <v>-28705</v>
      </c>
      <c r="AR55" s="268">
        <f t="shared" si="93"/>
        <v>-73986</v>
      </c>
      <c r="AS55" s="152"/>
      <c r="AT55" s="341">
        <f t="shared" ref="AT55:AW55" si="94">+AT50-AT53</f>
        <v>118182</v>
      </c>
      <c r="AU55" s="341">
        <f t="shared" si="94"/>
        <v>114877</v>
      </c>
      <c r="AV55" s="341">
        <f t="shared" si="94"/>
        <v>112262</v>
      </c>
      <c r="AW55" s="268">
        <f t="shared" si="94"/>
        <v>-9116</v>
      </c>
      <c r="AX55" s="152"/>
      <c r="AY55" s="341">
        <f t="shared" ref="AY55" si="95">+AY50-AY53</f>
        <v>171126</v>
      </c>
    </row>
    <row r="56" spans="2:51" s="350" customFormat="1" ht="17.25" hidden="1" customHeight="1">
      <c r="B56" s="358" t="s">
        <v>48</v>
      </c>
      <c r="C56" s="344">
        <v>-10.53</v>
      </c>
      <c r="D56" s="344">
        <v>137.87</v>
      </c>
      <c r="E56" s="344">
        <v>11.78</v>
      </c>
      <c r="F56" s="344">
        <v>-25.75</v>
      </c>
      <c r="G56" s="353"/>
      <c r="H56" s="344">
        <v>10.75</v>
      </c>
      <c r="I56" s="344">
        <v>41.98</v>
      </c>
      <c r="J56" s="344">
        <v>102.97</v>
      </c>
      <c r="K56" s="344">
        <f>-22.4-(3726/3244.51)</f>
        <v>-23.548401453532271</v>
      </c>
      <c r="L56" s="344">
        <v>-155.69999999999999</v>
      </c>
      <c r="N56" s="344">
        <v>10.75</v>
      </c>
      <c r="O56" s="344">
        <v>10.75</v>
      </c>
      <c r="P56" s="344">
        <v>10.75</v>
      </c>
      <c r="Q56" s="344"/>
      <c r="R56" s="344">
        <v>10.75</v>
      </c>
      <c r="S56" s="344"/>
      <c r="T56" s="344">
        <v>11.75</v>
      </c>
      <c r="U56" s="344">
        <v>11.75</v>
      </c>
      <c r="W56" s="344">
        <v>10.75</v>
      </c>
      <c r="X56" s="344">
        <v>10.75</v>
      </c>
      <c r="AE56" s="344">
        <v>10.75</v>
      </c>
      <c r="AJ56" s="344">
        <v>10.75</v>
      </c>
      <c r="AO56" s="344">
        <v>10.75</v>
      </c>
      <c r="AT56" s="344">
        <v>10.75</v>
      </c>
      <c r="AY56" s="344">
        <v>10.75</v>
      </c>
    </row>
    <row r="57" spans="2:51" ht="16.5" customHeight="1">
      <c r="B57" s="359" t="s">
        <v>46</v>
      </c>
      <c r="C57" s="68">
        <f>+C55/C10</f>
        <v>-9.0918371253206065E-2</v>
      </c>
      <c r="D57" s="68">
        <f>+D55/D10</f>
        <v>1.2503268285700653</v>
      </c>
      <c r="E57" s="68">
        <f>+E55/E10</f>
        <v>0.19628685529781631</v>
      </c>
      <c r="F57" s="68">
        <f>+F55/F10</f>
        <v>-0.85324556989569023</v>
      </c>
      <c r="G57" s="342"/>
      <c r="H57" s="68">
        <f>+H55/H10</f>
        <v>0.27525786303459893</v>
      </c>
      <c r="I57" s="68">
        <f>+I55/I10</f>
        <v>0.61305612283709687</v>
      </c>
      <c r="J57" s="68">
        <f>+J55/J10</f>
        <v>0.44674747236534262</v>
      </c>
      <c r="K57" s="68">
        <f t="shared" ref="K57:L57" si="96">+K55/K10</f>
        <v>-0.74812917530798118</v>
      </c>
      <c r="L57" s="68">
        <f t="shared" si="96"/>
        <v>-0.35883554848924831</v>
      </c>
      <c r="N57" s="68">
        <f t="shared" ref="N57:U57" si="97">+N55/N10</f>
        <v>0.54111589210579636</v>
      </c>
      <c r="O57" s="68">
        <f t="shared" si="97"/>
        <v>0.64702025263209983</v>
      </c>
      <c r="P57" s="68">
        <f t="shared" si="97"/>
        <v>0.39566580227187398</v>
      </c>
      <c r="Q57" s="68">
        <f t="shared" si="97"/>
        <v>0.42487141349597413</v>
      </c>
      <c r="R57" s="68">
        <f t="shared" si="97"/>
        <v>0.13863115663325074</v>
      </c>
      <c r="S57" s="68">
        <f t="shared" si="97"/>
        <v>0.22248996359757067</v>
      </c>
      <c r="T57" s="68">
        <f t="shared" si="97"/>
        <v>0.30371309725865347</v>
      </c>
      <c r="U57" s="68">
        <f t="shared" si="97"/>
        <v>0.2736086683264069</v>
      </c>
      <c r="W57" s="68">
        <f t="shared" ref="W57:AC57" si="98">+W55/W10</f>
        <v>0.49436688570064347</v>
      </c>
      <c r="X57" s="68">
        <f t="shared" si="98"/>
        <v>0.48695150697356709</v>
      </c>
      <c r="Y57" s="68">
        <f t="shared" si="98"/>
        <v>0.29087654157273574</v>
      </c>
      <c r="Z57" s="68">
        <f t="shared" si="98"/>
        <v>0.2889279867527238</v>
      </c>
      <c r="AA57" s="68">
        <f t="shared" si="98"/>
        <v>0.44152541249751509</v>
      </c>
      <c r="AB57" s="68">
        <f t="shared" si="98"/>
        <v>0.44133298184212305</v>
      </c>
      <c r="AC57" s="68">
        <f t="shared" si="98"/>
        <v>-0.5908594956253217</v>
      </c>
      <c r="AE57" s="68">
        <f t="shared" ref="AE57:AH57" si="99">+AE55/AE10</f>
        <v>0.56447701144022788</v>
      </c>
      <c r="AF57" s="68">
        <f t="shared" si="99"/>
        <v>0.40543585267580762</v>
      </c>
      <c r="AG57" s="68">
        <f t="shared" si="99"/>
        <v>0.77361248720905684</v>
      </c>
      <c r="AH57" s="68">
        <f t="shared" si="99"/>
        <v>0.54834095643141112</v>
      </c>
      <c r="AJ57" s="68">
        <f t="shared" ref="AJ57:AM57" si="100">+AJ55/AJ10</f>
        <v>0.5596643080253394</v>
      </c>
      <c r="AK57" s="68">
        <f t="shared" si="100"/>
        <v>0.34823023555315524</v>
      </c>
      <c r="AL57" s="68">
        <f t="shared" si="100"/>
        <v>0.77664612264003741</v>
      </c>
      <c r="AM57" s="68">
        <f t="shared" si="100"/>
        <v>0.42050587416285756</v>
      </c>
      <c r="AO57" s="68">
        <f t="shared" ref="AO57:AR57" si="101">+AO55/AO10</f>
        <v>0.49635955056179776</v>
      </c>
      <c r="AP57" s="68">
        <f t="shared" si="101"/>
        <v>-1.9672986116005355</v>
      </c>
      <c r="AQ57" s="68">
        <f t="shared" si="101"/>
        <v>-1.1879241847376263</v>
      </c>
      <c r="AR57" s="68">
        <f t="shared" si="101"/>
        <v>-21.048648648648648</v>
      </c>
      <c r="AS57" s="61"/>
      <c r="AT57" s="68">
        <f t="shared" ref="AT57:AW57" si="102">+AT55/AT10</f>
        <v>0.62480570975416339</v>
      </c>
      <c r="AU57" s="68">
        <f t="shared" si="102"/>
        <v>0.52340055220929282</v>
      </c>
      <c r="AV57" s="68">
        <f t="shared" si="102"/>
        <v>0.65672951486185294</v>
      </c>
      <c r="AW57" s="68">
        <f t="shared" si="102"/>
        <v>-0.12455764001803599</v>
      </c>
      <c r="AX57" s="61"/>
      <c r="AY57" s="68">
        <f t="shared" ref="AY57" si="103">+AY55/AY10</f>
        <v>0.60105159266765251</v>
      </c>
    </row>
    <row r="58" spans="2:51" ht="9" customHeight="1">
      <c r="AR58" s="373"/>
    </row>
    <row r="59" spans="2:51" ht="16.5" hidden="1" customHeight="1">
      <c r="B59" s="445" t="s">
        <v>90</v>
      </c>
      <c r="C59" s="445"/>
      <c r="D59" s="445"/>
      <c r="E59" s="370"/>
      <c r="F59" s="370"/>
      <c r="AR59" s="373"/>
    </row>
    <row r="60" spans="2:51" ht="3.75" hidden="1" customHeight="1">
      <c r="B60" s="444"/>
      <c r="C60" s="444"/>
      <c r="D60" s="444"/>
      <c r="E60" s="369"/>
      <c r="F60" s="369"/>
      <c r="AR60" s="373"/>
    </row>
    <row r="61" spans="2:51" ht="14.5" hidden="1">
      <c r="B61" s="444" t="s">
        <v>91</v>
      </c>
      <c r="C61" s="444"/>
      <c r="D61" s="444"/>
      <c r="E61" s="369"/>
      <c r="F61" s="369"/>
      <c r="AR61" s="373"/>
    </row>
    <row r="62" spans="2:51" ht="16.5" hidden="1" customHeight="1" thickBot="1">
      <c r="AR62" s="373"/>
    </row>
    <row r="63" spans="2:51" ht="28.5" hidden="1" customHeight="1" thickTop="1" thickBot="1">
      <c r="C63" s="360" t="s">
        <v>92</v>
      </c>
      <c r="D63" s="360" t="s">
        <v>93</v>
      </c>
      <c r="E63" s="360"/>
      <c r="F63" s="360"/>
      <c r="AR63" s="373"/>
    </row>
    <row r="64" spans="2:51" ht="16.5" hidden="1" customHeight="1" thickTop="1">
      <c r="AR64" s="373"/>
    </row>
    <row r="65" spans="2:44" ht="16.5" hidden="1" customHeight="1">
      <c r="AR65" s="373"/>
    </row>
    <row r="66" spans="2:44" ht="26.25" hidden="1" customHeight="1">
      <c r="B66" s="361" t="s">
        <v>94</v>
      </c>
      <c r="C66" s="297">
        <f>SUM(C67:C69)</f>
        <v>-200607</v>
      </c>
      <c r="D66" s="297">
        <f>SUM(D67:D69)</f>
        <v>0</v>
      </c>
      <c r="E66" s="297"/>
      <c r="F66" s="297"/>
      <c r="AR66" s="373"/>
    </row>
    <row r="67" spans="2:44" ht="25" hidden="1">
      <c r="B67" s="347" t="s">
        <v>95</v>
      </c>
      <c r="C67" s="156">
        <v>-572</v>
      </c>
      <c r="D67" s="271">
        <v>0</v>
      </c>
      <c r="E67" s="271"/>
      <c r="F67" s="271"/>
      <c r="AR67" s="373"/>
    </row>
    <row r="68" spans="2:44" ht="14.5" hidden="1">
      <c r="B68" s="347" t="s">
        <v>96</v>
      </c>
      <c r="C68" s="156">
        <v>-200035</v>
      </c>
      <c r="D68" s="271">
        <v>0</v>
      </c>
      <c r="E68" s="271"/>
      <c r="F68" s="271"/>
      <c r="AR68" s="373"/>
    </row>
    <row r="69" spans="2:44" ht="16.5" hidden="1" customHeight="1">
      <c r="B69" s="347"/>
      <c r="C69" s="271"/>
      <c r="D69" s="271"/>
      <c r="E69" s="271"/>
      <c r="F69" s="271"/>
      <c r="AR69" s="373"/>
    </row>
    <row r="70" spans="2:44" ht="6" hidden="1" customHeight="1">
      <c r="AR70" s="373"/>
    </row>
    <row r="71" spans="2:44" ht="16.5" hidden="1" customHeight="1">
      <c r="B71" s="2" t="s">
        <v>97</v>
      </c>
      <c r="C71" s="297">
        <f>+C55+C66</f>
        <v>-221982</v>
      </c>
      <c r="D71" s="297">
        <f>+D55+D66</f>
        <v>262056</v>
      </c>
      <c r="E71" s="297"/>
      <c r="F71" s="297"/>
      <c r="AR71" s="373"/>
    </row>
    <row r="72" spans="2:44" ht="16.5" customHeight="1">
      <c r="B72" s="2"/>
      <c r="C72" s="297"/>
      <c r="D72" s="297"/>
      <c r="E72" s="297"/>
      <c r="F72" s="297"/>
      <c r="U72" s="156"/>
      <c r="AR72" s="373"/>
    </row>
    <row r="73" spans="2:44" ht="16.5" hidden="1" customHeight="1">
      <c r="C73" s="5"/>
      <c r="D73" s="5">
        <v>1111</v>
      </c>
      <c r="E73" s="5"/>
      <c r="F73" s="5"/>
      <c r="AR73" s="373"/>
    </row>
    <row r="74" spans="2:44" ht="16.5" hidden="1" customHeight="1">
      <c r="C74" s="5"/>
      <c r="D74" s="5">
        <f>+D55-D73</f>
        <v>260945</v>
      </c>
      <c r="E74" s="5"/>
      <c r="F74" s="5"/>
      <c r="AR74" s="373"/>
    </row>
    <row r="75" spans="2:44" ht="16.5" customHeight="1">
      <c r="C75" s="156"/>
      <c r="D75" s="156"/>
      <c r="E75" s="156"/>
      <c r="F75" s="156"/>
      <c r="AR75" s="373"/>
    </row>
    <row r="76" spans="2:44" ht="16.5" customHeight="1">
      <c r="C76" s="156"/>
    </row>
    <row r="77" spans="2:44" ht="16.5" customHeight="1">
      <c r="C77" s="156"/>
    </row>
  </sheetData>
  <mergeCells count="11">
    <mergeCell ref="AT6:AW6"/>
    <mergeCell ref="B61:D61"/>
    <mergeCell ref="W6:AC6"/>
    <mergeCell ref="AE6:AH6"/>
    <mergeCell ref="AJ6:AM6"/>
    <mergeCell ref="AO6:AR6"/>
    <mergeCell ref="B59:D59"/>
    <mergeCell ref="B60:D60"/>
    <mergeCell ref="N6:U6"/>
    <mergeCell ref="C6:F6"/>
    <mergeCell ref="H6:L6"/>
  </mergeCells>
  <pageMargins left="0.7" right="0.7" top="0.75" bottom="0.75" header="0.3" footer="0.3"/>
  <pageSetup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tabColor rgb="FF002060"/>
  </sheetPr>
  <dimension ref="A2:V101"/>
  <sheetViews>
    <sheetView showGridLines="0" zoomScaleNormal="100" workbookViewId="0">
      <selection activeCell="F14" sqref="F14"/>
    </sheetView>
  </sheetViews>
  <sheetFormatPr baseColWidth="10" defaultColWidth="11.453125" defaultRowHeight="14.5"/>
  <cols>
    <col min="1" max="1" width="11.453125" style="218"/>
    <col min="2" max="2" width="24.81640625" style="218" bestFit="1" customWidth="1"/>
    <col min="3" max="3" width="18.81640625" style="218" bestFit="1" customWidth="1"/>
    <col min="4" max="4" width="7.453125" style="218" customWidth="1"/>
    <col min="5" max="5" width="32.7265625" style="218" customWidth="1"/>
    <col min="6" max="7" width="14.453125" style="218" customWidth="1"/>
    <col min="8" max="8" width="20" style="218" bestFit="1" customWidth="1"/>
    <col min="9" max="9" width="12" style="218" bestFit="1" customWidth="1"/>
    <col min="10" max="10" width="11.54296875" style="218" bestFit="1" customWidth="1"/>
    <col min="11" max="11" width="10.453125" style="218" customWidth="1"/>
    <col min="12" max="12" width="15.7265625" style="218" bestFit="1" customWidth="1"/>
    <col min="13" max="13" width="11.1796875" style="218" customWidth="1"/>
    <col min="14" max="14" width="10" style="218" customWidth="1"/>
    <col min="15" max="15" width="8.1796875" style="218" customWidth="1"/>
    <col min="16" max="16" width="9.1796875" style="218" bestFit="1" customWidth="1"/>
    <col min="17" max="17" width="7.26953125" style="218" customWidth="1"/>
    <col min="18" max="16384" width="11.453125" style="218"/>
  </cols>
  <sheetData>
    <row r="2" spans="2:14" ht="18.5">
      <c r="B2" s="216" t="s">
        <v>104</v>
      </c>
      <c r="C2" s="217"/>
      <c r="D2" s="217"/>
      <c r="H2" s="219"/>
    </row>
    <row r="3" spans="2:14">
      <c r="H3" s="219">
        <v>1000000000</v>
      </c>
    </row>
    <row r="4" spans="2:14">
      <c r="M4" s="219"/>
      <c r="N4" s="219"/>
    </row>
    <row r="5" spans="2:14">
      <c r="C5" s="220"/>
      <c r="D5" s="220"/>
      <c r="E5" s="220"/>
      <c r="F5" s="221" t="s">
        <v>105</v>
      </c>
      <c r="G5" s="220"/>
      <c r="H5" s="220"/>
      <c r="I5" s="220"/>
      <c r="M5" s="219"/>
      <c r="N5" s="219"/>
    </row>
    <row r="6" spans="2:14" ht="30" customHeight="1">
      <c r="B6" s="222" t="s">
        <v>199</v>
      </c>
      <c r="C6" s="189">
        <f>+F14</f>
        <v>4042625.358238644</v>
      </c>
      <c r="D6" s="189"/>
      <c r="E6" s="220"/>
      <c r="F6" s="223" t="s">
        <v>200</v>
      </c>
      <c r="G6" s="223" t="s">
        <v>201</v>
      </c>
      <c r="H6" s="224" t="s">
        <v>106</v>
      </c>
      <c r="I6" s="220"/>
      <c r="M6" s="219"/>
      <c r="N6" s="219"/>
    </row>
    <row r="7" spans="2:14" ht="15" customHeight="1">
      <c r="B7" s="220" t="s">
        <v>107</v>
      </c>
      <c r="C7" s="225">
        <f>+C6-D7</f>
        <v>3912532.9512966443</v>
      </c>
      <c r="D7" s="190">
        <f>-H7</f>
        <v>130092.40694199991</v>
      </c>
      <c r="E7" s="220"/>
      <c r="F7" s="219">
        <v>2206125.1727709998</v>
      </c>
      <c r="G7" s="219">
        <v>2076032.7658289999</v>
      </c>
      <c r="H7" s="157">
        <f t="shared" ref="H7:H13" si="0">+G7-F7</f>
        <v>-130092.40694199991</v>
      </c>
      <c r="I7" s="220"/>
      <c r="M7" s="107"/>
      <c r="N7" s="219"/>
    </row>
    <row r="8" spans="2:14">
      <c r="B8" s="220" t="s">
        <v>108</v>
      </c>
      <c r="C8" s="225">
        <f>C7-D8</f>
        <v>3292254.2236516448</v>
      </c>
      <c r="D8" s="190">
        <f>-H8</f>
        <v>620278.72764499974</v>
      </c>
      <c r="E8" s="226"/>
      <c r="F8" s="219">
        <v>1362135.6947109997</v>
      </c>
      <c r="G8" s="219">
        <v>741856.96706599998</v>
      </c>
      <c r="H8" s="157">
        <f t="shared" si="0"/>
        <v>-620278.72764499974</v>
      </c>
      <c r="I8" s="220"/>
      <c r="M8" s="219"/>
      <c r="N8" s="219"/>
    </row>
    <row r="9" spans="2:14">
      <c r="B9" s="220" t="s">
        <v>109</v>
      </c>
      <c r="C9" s="225">
        <f>+C8+D8</f>
        <v>3912532.9512966443</v>
      </c>
      <c r="D9" s="189">
        <f>H9</f>
        <v>18802.025720000001</v>
      </c>
      <c r="E9" s="220"/>
      <c r="F9" s="219">
        <v>8111.5857450000003</v>
      </c>
      <c r="G9" s="219">
        <v>26913.611465000002</v>
      </c>
      <c r="H9" s="157">
        <f t="shared" si="0"/>
        <v>18802.025720000001</v>
      </c>
      <c r="I9" s="220"/>
      <c r="M9" s="219"/>
      <c r="N9" s="219"/>
    </row>
    <row r="10" spans="2:14">
      <c r="B10" s="220" t="s">
        <v>110</v>
      </c>
      <c r="C10" s="225">
        <f>+C9+D9-D10</f>
        <v>3901272.7359876442</v>
      </c>
      <c r="D10" s="190">
        <f>-H10</f>
        <v>30062.241029000001</v>
      </c>
      <c r="E10" s="220"/>
      <c r="F10" s="219">
        <v>31863.592980000001</v>
      </c>
      <c r="G10" s="219">
        <v>1801.3519510000001</v>
      </c>
      <c r="H10" s="157">
        <f t="shared" si="0"/>
        <v>-30062.241029000001</v>
      </c>
      <c r="I10" s="220"/>
      <c r="M10" s="219"/>
      <c r="N10" s="219"/>
    </row>
    <row r="11" spans="2:14">
      <c r="B11" s="227" t="s">
        <v>159</v>
      </c>
      <c r="C11" s="225">
        <f>+C10+D10</f>
        <v>3931334.9770166441</v>
      </c>
      <c r="D11" s="189">
        <f t="shared" ref="D11" si="1">H11</f>
        <v>126859.05643299999</v>
      </c>
      <c r="E11" s="220"/>
      <c r="F11" s="219">
        <v>227264.83113400001</v>
      </c>
      <c r="G11" s="219">
        <v>354123.887567</v>
      </c>
      <c r="H11" s="157">
        <f t="shared" si="0"/>
        <v>126859.05643299999</v>
      </c>
      <c r="I11" s="220"/>
      <c r="M11" s="219"/>
      <c r="N11" s="219"/>
    </row>
    <row r="12" spans="2:14">
      <c r="B12" s="220" t="s">
        <v>111</v>
      </c>
      <c r="C12" s="225">
        <f>+C11+D11-D12</f>
        <v>3962265.816844644</v>
      </c>
      <c r="D12" s="190">
        <f>-H12</f>
        <v>95928.216604999994</v>
      </c>
      <c r="E12" s="220"/>
      <c r="F12" s="228">
        <v>99.113766000015261</v>
      </c>
      <c r="G12" s="219">
        <v>-95829.102838999985</v>
      </c>
      <c r="H12" s="157">
        <f t="shared" si="0"/>
        <v>-95928.216604999994</v>
      </c>
      <c r="I12" s="220"/>
      <c r="J12" s="220"/>
    </row>
    <row r="13" spans="2:14">
      <c r="B13" s="227" t="s">
        <v>162</v>
      </c>
      <c r="C13" s="225">
        <f>+C12+D12</f>
        <v>4058194.0334496442</v>
      </c>
      <c r="D13" s="189">
        <f>H13</f>
        <v>45268.946759355429</v>
      </c>
      <c r="E13" s="220"/>
      <c r="F13" s="219">
        <v>207025.36713164457</v>
      </c>
      <c r="G13" s="219">
        <v>252294.313891</v>
      </c>
      <c r="H13" s="157">
        <f t="shared" si="0"/>
        <v>45268.946759355429</v>
      </c>
      <c r="I13" s="220"/>
      <c r="J13" s="229"/>
      <c r="K13" s="229"/>
    </row>
    <row r="14" spans="2:14">
      <c r="B14" s="222" t="s">
        <v>202</v>
      </c>
      <c r="C14" s="225">
        <f>+C6-D7-D8+D9-D10+D11-D12+D13</f>
        <v>3357193.7949299999</v>
      </c>
      <c r="D14" s="189"/>
      <c r="E14" s="220"/>
      <c r="F14" s="109">
        <f>SUM(F7:F13)</f>
        <v>4042625.358238644</v>
      </c>
      <c r="G14" s="109">
        <f>SUM(G7:G13)</f>
        <v>3357193.7949299999</v>
      </c>
      <c r="H14" s="210">
        <f>SUM(H7:H13)</f>
        <v>-685431.56330864411</v>
      </c>
      <c r="I14" s="220"/>
      <c r="J14" s="230"/>
    </row>
    <row r="15" spans="2:14">
      <c r="B15" s="222" t="s">
        <v>203</v>
      </c>
      <c r="C15" s="191">
        <v>3601676.0668914672</v>
      </c>
      <c r="D15" s="189"/>
      <c r="E15" s="106"/>
      <c r="F15" s="106"/>
      <c r="G15" s="106"/>
      <c r="H15" s="106"/>
      <c r="I15" s="106"/>
      <c r="J15" s="106"/>
    </row>
    <row r="16" spans="2:14">
      <c r="B16" s="220"/>
      <c r="C16" s="192"/>
      <c r="D16" s="231"/>
      <c r="E16" s="220"/>
      <c r="F16" s="232"/>
      <c r="G16" s="232"/>
      <c r="H16" s="220"/>
      <c r="I16" s="110"/>
      <c r="J16" s="110"/>
      <c r="L16" s="233" t="s">
        <v>112</v>
      </c>
    </row>
    <row r="17" spans="3:22" ht="15.5">
      <c r="C17" s="193">
        <f>+G14</f>
        <v>3357193.7949299999</v>
      </c>
      <c r="D17" s="234"/>
      <c r="E17" s="220"/>
      <c r="F17" s="220"/>
      <c r="G17" s="111"/>
      <c r="H17" s="220"/>
      <c r="I17" s="110"/>
      <c r="J17" s="220"/>
      <c r="L17" s="235" t="s">
        <v>113</v>
      </c>
      <c r="M17" s="235" t="s">
        <v>114</v>
      </c>
    </row>
    <row r="18" spans="3:22">
      <c r="C18" s="236">
        <f>+C14-C17</f>
        <v>0</v>
      </c>
      <c r="D18" s="229"/>
      <c r="E18" s="220"/>
      <c r="F18" s="220"/>
      <c r="G18" s="159">
        <f>4042625-130092-620279+18802-30062+126859-95928+45269</f>
        <v>3357194</v>
      </c>
      <c r="H18" s="237"/>
      <c r="I18" s="110"/>
      <c r="J18" s="220"/>
      <c r="L18" s="112">
        <f>IF(F14&lt;0,-((G14/F14)-1),(G14/F14)-1)*100</f>
        <v>-16.955109676729574</v>
      </c>
      <c r="M18" s="112">
        <f>IF(ISERR(1+(G14-C15)/ABS(C15)),"N/A",1+(G14-C15)/ABS(C15))*100</f>
        <v>93.211986102557105</v>
      </c>
    </row>
    <row r="19" spans="3:22">
      <c r="C19" s="237"/>
      <c r="D19" s="229"/>
      <c r="E19" s="220"/>
      <c r="F19" s="220"/>
      <c r="G19" s="238">
        <f>+G14-G18</f>
        <v>-0.20507000014185905</v>
      </c>
      <c r="H19" s="220"/>
      <c r="I19" s="239"/>
      <c r="J19" s="220"/>
    </row>
    <row r="20" spans="3:22">
      <c r="C20" s="237"/>
      <c r="D20" s="229"/>
      <c r="E20" s="220"/>
      <c r="F20" s="220"/>
      <c r="G20" s="220"/>
      <c r="H20" s="220"/>
      <c r="I20" s="110"/>
      <c r="J20" s="220"/>
    </row>
    <row r="21" spans="3:22">
      <c r="C21" s="220"/>
      <c r="D21" s="220"/>
      <c r="E21" s="220"/>
      <c r="F21" s="220"/>
      <c r="G21" s="220"/>
      <c r="H21" s="220"/>
      <c r="I21" s="110"/>
      <c r="J21" s="220"/>
    </row>
    <row r="22" spans="3:22">
      <c r="L22" s="220"/>
      <c r="M22" s="220"/>
      <c r="N22" s="220"/>
      <c r="O22" s="220"/>
      <c r="S22" s="220"/>
      <c r="T22" s="220"/>
      <c r="U22" s="220"/>
    </row>
    <row r="23" spans="3:22">
      <c r="L23" s="220"/>
      <c r="M23" s="240"/>
      <c r="N23" s="240"/>
      <c r="O23" s="240"/>
      <c r="Q23" s="220"/>
      <c r="R23" s="220"/>
      <c r="S23" s="220"/>
      <c r="T23" s="220"/>
      <c r="U23" s="220"/>
      <c r="V23" s="220"/>
    </row>
    <row r="24" spans="3:22">
      <c r="L24" s="220"/>
      <c r="M24" s="113"/>
      <c r="O24" s="113"/>
      <c r="Q24" s="220"/>
      <c r="R24" s="220"/>
      <c r="S24" s="220"/>
      <c r="T24" s="220"/>
      <c r="U24" s="220"/>
      <c r="V24" s="220"/>
    </row>
    <row r="25" spans="3:22">
      <c r="L25" s="220"/>
      <c r="M25" s="113"/>
      <c r="N25" s="113"/>
      <c r="O25" s="113"/>
      <c r="Q25" s="220"/>
      <c r="R25" s="220"/>
      <c r="S25" s="220"/>
      <c r="T25" s="220"/>
      <c r="U25" s="220"/>
    </row>
    <row r="26" spans="3:22">
      <c r="L26" s="220"/>
      <c r="M26" s="113"/>
      <c r="N26" s="113"/>
      <c r="O26" s="113"/>
      <c r="P26" s="113"/>
      <c r="Q26" s="220"/>
      <c r="R26" s="220"/>
      <c r="S26" s="220"/>
      <c r="T26" s="220"/>
      <c r="U26" s="220"/>
    </row>
    <row r="27" spans="3:22">
      <c r="L27" s="220"/>
      <c r="M27" s="113"/>
      <c r="N27" s="113"/>
      <c r="O27" s="113"/>
      <c r="P27" s="113"/>
      <c r="Q27" s="220"/>
      <c r="R27" s="220"/>
      <c r="S27" s="220"/>
      <c r="T27" s="220"/>
      <c r="U27" s="220"/>
    </row>
    <row r="28" spans="3:22">
      <c r="L28" s="220"/>
      <c r="M28" s="113"/>
      <c r="N28" s="113"/>
      <c r="O28" s="113"/>
      <c r="P28" s="113"/>
      <c r="Q28" s="220"/>
      <c r="R28" s="220"/>
      <c r="S28" s="220"/>
      <c r="T28" s="220"/>
      <c r="U28" s="220"/>
    </row>
    <row r="29" spans="3:22">
      <c r="M29" s="113"/>
      <c r="N29" s="113"/>
      <c r="O29" s="113"/>
      <c r="P29" s="113"/>
    </row>
    <row r="30" spans="3:22">
      <c r="M30" s="113" t="s">
        <v>182</v>
      </c>
      <c r="N30" s="113"/>
      <c r="O30" s="113"/>
      <c r="P30" s="113"/>
    </row>
    <row r="31" spans="3:22">
      <c r="M31" s="113"/>
      <c r="N31" s="113"/>
      <c r="O31" s="113"/>
      <c r="P31" s="113"/>
    </row>
    <row r="32" spans="3:22">
      <c r="C32" s="220"/>
      <c r="D32" s="220"/>
      <c r="E32" s="220"/>
      <c r="F32" s="220"/>
      <c r="G32" s="220"/>
      <c r="H32" s="220"/>
      <c r="I32" s="220"/>
      <c r="J32" s="220"/>
      <c r="K32" s="220"/>
    </row>
    <row r="33" spans="1:12">
      <c r="B33" s="220"/>
      <c r="C33" s="220"/>
      <c r="D33" s="220"/>
      <c r="E33" s="220"/>
      <c r="F33" s="220"/>
      <c r="G33" s="220"/>
      <c r="H33" s="220"/>
      <c r="I33" s="220"/>
      <c r="J33" s="220"/>
      <c r="K33" s="220"/>
    </row>
    <row r="34" spans="1:12">
      <c r="B34" s="220"/>
      <c r="C34" s="220"/>
      <c r="D34" s="220"/>
      <c r="E34" s="220"/>
      <c r="F34" s="220"/>
      <c r="G34" s="220"/>
      <c r="H34" s="220"/>
      <c r="I34" s="220"/>
      <c r="J34" s="220"/>
      <c r="K34" s="220"/>
    </row>
    <row r="35" spans="1:12">
      <c r="B35" s="220"/>
      <c r="C35" s="220"/>
      <c r="D35" s="220"/>
      <c r="E35" s="220"/>
      <c r="F35" s="220"/>
      <c r="G35" s="220"/>
      <c r="H35" s="220"/>
      <c r="I35" s="220"/>
      <c r="J35" s="220"/>
      <c r="K35" s="220"/>
    </row>
    <row r="36" spans="1:12">
      <c r="B36" s="220"/>
      <c r="C36" s="220"/>
      <c r="D36" s="220"/>
      <c r="E36" s="220"/>
      <c r="F36" s="220"/>
      <c r="G36" s="220"/>
      <c r="H36" s="220"/>
      <c r="I36" s="220"/>
      <c r="J36" s="220"/>
      <c r="K36" s="220"/>
    </row>
    <row r="37" spans="1:12">
      <c r="B37" s="220"/>
      <c r="C37" s="220"/>
      <c r="D37" s="220"/>
      <c r="E37" s="220"/>
      <c r="F37" s="220"/>
      <c r="G37" s="220"/>
      <c r="H37" s="220"/>
      <c r="I37" s="220"/>
      <c r="J37" s="220"/>
      <c r="K37" s="220"/>
    </row>
    <row r="38" spans="1:12">
      <c r="B38" s="220"/>
      <c r="C38" s="220"/>
      <c r="D38" s="220"/>
      <c r="E38" s="220"/>
      <c r="F38" s="220"/>
      <c r="G38" s="220"/>
      <c r="H38" s="220"/>
      <c r="I38" s="220"/>
      <c r="J38" s="220"/>
      <c r="K38" s="220"/>
    </row>
    <row r="39" spans="1:12">
      <c r="B39" s="220"/>
      <c r="C39" s="220"/>
      <c r="D39" s="220"/>
      <c r="E39" s="220"/>
      <c r="F39" s="220"/>
      <c r="G39" s="220"/>
      <c r="H39" s="220"/>
      <c r="I39" s="220"/>
      <c r="J39" s="220"/>
      <c r="K39" s="220"/>
    </row>
    <row r="40" spans="1:12">
      <c r="B40" s="220"/>
      <c r="C40" s="220"/>
      <c r="D40" s="220"/>
      <c r="E40" s="220"/>
      <c r="F40" s="220"/>
      <c r="G40" s="220"/>
      <c r="H40" s="220"/>
      <c r="I40" s="220"/>
      <c r="J40" s="220"/>
      <c r="K40" s="220"/>
    </row>
    <row r="41" spans="1:12">
      <c r="B41" s="220"/>
      <c r="C41" s="220"/>
      <c r="D41" s="220"/>
      <c r="E41" s="220"/>
      <c r="F41" s="220"/>
      <c r="G41" s="220"/>
      <c r="H41" s="220"/>
      <c r="I41" s="220"/>
      <c r="J41" s="220"/>
      <c r="K41" s="220"/>
    </row>
    <row r="42" spans="1:12" hidden="1">
      <c r="B42" s="241" t="s">
        <v>115</v>
      </c>
      <c r="C42" s="242" t="s">
        <v>116</v>
      </c>
      <c r="F42" s="220"/>
    </row>
    <row r="43" spans="1:12" hidden="1">
      <c r="C43" s="220"/>
      <c r="D43" s="220"/>
      <c r="E43" s="220"/>
      <c r="F43" s="220"/>
      <c r="G43" s="220"/>
      <c r="H43" s="220"/>
      <c r="I43" s="220"/>
      <c r="J43" s="220"/>
      <c r="K43" s="220"/>
    </row>
    <row r="44" spans="1:12" hidden="1">
      <c r="A44" s="220"/>
      <c r="B44" s="230" t="s">
        <v>160</v>
      </c>
      <c r="C44" s="243">
        <v>1670.7905559040601</v>
      </c>
      <c r="D44" s="220"/>
      <c r="E44" s="220"/>
      <c r="F44" s="220" t="s">
        <v>117</v>
      </c>
      <c r="G44" s="220" t="s">
        <v>118</v>
      </c>
      <c r="H44" s="220" t="s">
        <v>106</v>
      </c>
      <c r="I44" s="220" t="s">
        <v>119</v>
      </c>
      <c r="J44" s="220">
        <v>1639</v>
      </c>
      <c r="K44" s="220"/>
    </row>
    <row r="45" spans="1:12" hidden="1">
      <c r="B45" s="220" t="s">
        <v>120</v>
      </c>
      <c r="C45" s="237">
        <f>C44</f>
        <v>1670.7905559040601</v>
      </c>
      <c r="D45" s="229">
        <f>H45</f>
        <v>52.83612692600002</v>
      </c>
      <c r="E45" s="220"/>
      <c r="F45" s="244">
        <v>821.91093747000002</v>
      </c>
      <c r="G45" s="244">
        <v>874.74706439600004</v>
      </c>
      <c r="H45" s="220">
        <f>+G45-F45</f>
        <v>52.83612692600002</v>
      </c>
      <c r="I45" s="110">
        <f>(1+(G45-F45)/ABS(F45))</f>
        <v>1.0642844918071535</v>
      </c>
      <c r="J45" s="220">
        <v>-59</v>
      </c>
      <c r="K45" s="229"/>
      <c r="L45" s="245"/>
    </row>
    <row r="46" spans="1:12" hidden="1">
      <c r="B46" s="220" t="s">
        <v>121</v>
      </c>
      <c r="C46" s="237">
        <f>+C45+D45-D46</f>
        <v>1695.566309976133</v>
      </c>
      <c r="D46" s="229">
        <f>-H46</f>
        <v>28.060372853927049</v>
      </c>
      <c r="E46" s="220"/>
      <c r="F46" s="244">
        <v>364.62711345000002</v>
      </c>
      <c r="G46" s="244">
        <v>336.56674059607298</v>
      </c>
      <c r="H46" s="220">
        <f>+G46-F46</f>
        <v>-28.060372853927049</v>
      </c>
      <c r="I46" s="110">
        <f>(1+(G46-F46)/ABS(F46))</f>
        <v>0.92304364700576536</v>
      </c>
      <c r="J46" s="220">
        <v>-52</v>
      </c>
      <c r="K46" s="229"/>
    </row>
    <row r="47" spans="1:12" hidden="1">
      <c r="B47" s="220" t="s">
        <v>122</v>
      </c>
      <c r="C47" s="237">
        <f>+C46-D47</f>
        <v>1663.1205314935889</v>
      </c>
      <c r="D47" s="229">
        <f>-H47</f>
        <v>32.445778482543972</v>
      </c>
      <c r="E47" s="220"/>
      <c r="F47" s="244">
        <v>411.80162351856097</v>
      </c>
      <c r="G47" s="244">
        <v>379.355845036017</v>
      </c>
      <c r="H47" s="220">
        <f>+G47-F47</f>
        <v>-32.445778482543972</v>
      </c>
      <c r="I47" s="110">
        <f>(1+(G47-F47)/ABS(F47))</f>
        <v>0.92121017346819289</v>
      </c>
      <c r="J47" s="220">
        <v>-51</v>
      </c>
      <c r="K47" s="229"/>
    </row>
    <row r="48" spans="1:12" hidden="1">
      <c r="B48" s="220" t="s">
        <v>103</v>
      </c>
      <c r="C48" s="237">
        <f>C47-D48</f>
        <v>1636.1470000000645</v>
      </c>
      <c r="D48" s="229">
        <f>-H48</f>
        <v>26.973531493524405</v>
      </c>
      <c r="E48" s="220"/>
      <c r="F48" s="244">
        <v>72.450881465500004</v>
      </c>
      <c r="G48" s="244">
        <v>45.477349971975599</v>
      </c>
      <c r="H48" s="220">
        <f>+G48-F48</f>
        <v>-26.973531493524405</v>
      </c>
      <c r="I48" s="110">
        <f>(1+(G48-F48)/ABS(F48))</f>
        <v>0.6276990569622154</v>
      </c>
      <c r="J48" s="220">
        <v>-4</v>
      </c>
      <c r="K48" s="229"/>
    </row>
    <row r="49" spans="2:22" hidden="1">
      <c r="B49" s="230" t="s">
        <v>161</v>
      </c>
      <c r="C49" s="246">
        <f>+C44+H45+H46+H47+H48</f>
        <v>1636.1470000000645</v>
      </c>
      <c r="D49" s="239"/>
      <c r="E49" s="220"/>
      <c r="F49" s="220"/>
      <c r="G49" s="220"/>
      <c r="H49" s="220"/>
      <c r="I49" s="110">
        <f>(1+(C49-C44)/ABS(C44))</f>
        <v>0.97926517133965363</v>
      </c>
      <c r="J49" s="230">
        <f>SUM(J44:J48)</f>
        <v>1473</v>
      </c>
      <c r="K49" s="220"/>
    </row>
    <row r="50" spans="2:22" hidden="1">
      <c r="B50" s="247"/>
      <c r="C50" s="243">
        <v>1636.14700000007</v>
      </c>
      <c r="D50" s="220"/>
      <c r="E50" s="220"/>
      <c r="F50" s="220"/>
      <c r="G50" s="220"/>
      <c r="H50" s="220"/>
      <c r="I50" s="110">
        <f>+C49/C44</f>
        <v>0.97926517133965363</v>
      </c>
      <c r="J50" s="220"/>
      <c r="K50" s="220"/>
    </row>
    <row r="51" spans="2:22" hidden="1">
      <c r="C51" s="248">
        <f>+C50-C49</f>
        <v>5.4569682106375694E-12</v>
      </c>
      <c r="D51" s="220"/>
      <c r="E51" s="220"/>
      <c r="F51" s="220"/>
      <c r="G51" s="220"/>
      <c r="H51" s="220"/>
      <c r="I51" s="115"/>
      <c r="J51" s="220"/>
      <c r="K51" s="220"/>
    </row>
    <row r="52" spans="2:22" hidden="1">
      <c r="C52" s="220"/>
      <c r="D52" s="220"/>
      <c r="E52" s="220"/>
      <c r="F52" s="220"/>
      <c r="G52" s="220"/>
      <c r="H52" s="220"/>
      <c r="I52" s="220"/>
      <c r="J52" s="220"/>
      <c r="K52" s="220"/>
    </row>
    <row r="53" spans="2:22" hidden="1"/>
    <row r="54" spans="2:22" hidden="1">
      <c r="M54" s="243">
        <v>1670.7905559040601</v>
      </c>
      <c r="N54" s="243">
        <v>1670.7905559040601</v>
      </c>
      <c r="O54" s="243">
        <v>1670.7905559040601</v>
      </c>
      <c r="P54" s="243">
        <v>1670.7905559040601</v>
      </c>
      <c r="Q54" s="220"/>
      <c r="R54" s="220"/>
      <c r="S54" s="220"/>
      <c r="T54" s="220"/>
      <c r="U54" s="220"/>
      <c r="V54" s="220"/>
    </row>
    <row r="55" spans="2:22" hidden="1">
      <c r="M55" s="229">
        <v>52.83612692600002</v>
      </c>
      <c r="N55" s="229">
        <v>52.83612692600002</v>
      </c>
      <c r="O55" s="229">
        <v>52.83612692600002</v>
      </c>
      <c r="P55" s="229">
        <v>52.83612692600002</v>
      </c>
    </row>
    <row r="56" spans="2:22" hidden="1">
      <c r="M56" s="220"/>
      <c r="N56" s="229">
        <v>-28.060372853927049</v>
      </c>
      <c r="O56" s="229">
        <v>-28.060372853927049</v>
      </c>
      <c r="P56" s="229">
        <v>-28.060372853927049</v>
      </c>
    </row>
    <row r="57" spans="2:22" hidden="1">
      <c r="M57" s="220"/>
      <c r="N57" s="220"/>
      <c r="O57" s="229">
        <v>-32.445778482543972</v>
      </c>
      <c r="P57" s="229">
        <v>-32.445778482543972</v>
      </c>
    </row>
    <row r="58" spans="2:22" hidden="1">
      <c r="M58" s="220"/>
      <c r="N58" s="220"/>
      <c r="O58" s="220"/>
      <c r="P58" s="229">
        <v>-26.973531493524405</v>
      </c>
    </row>
    <row r="59" spans="2:22" ht="15" hidden="1" thickBot="1">
      <c r="M59" s="116">
        <f>SUM(M54:M58)</f>
        <v>1723.62668283006</v>
      </c>
      <c r="N59" s="116">
        <f>SUM(N54:N58)</f>
        <v>1695.566309976133</v>
      </c>
      <c r="O59" s="116">
        <f>SUM(O54:O58)</f>
        <v>1663.1205314935889</v>
      </c>
      <c r="P59" s="116">
        <f>SUM(P54:P58)</f>
        <v>1636.1470000000645</v>
      </c>
    </row>
    <row r="60" spans="2:22" hidden="1">
      <c r="M60" s="220"/>
      <c r="N60" s="220"/>
      <c r="O60" s="220"/>
      <c r="P60" s="220"/>
    </row>
    <row r="61" spans="2:22" hidden="1">
      <c r="M61" s="220"/>
      <c r="N61" s="220"/>
      <c r="O61" s="220"/>
      <c r="P61" s="220"/>
    </row>
    <row r="62" spans="2:22" hidden="1"/>
    <row r="63" spans="2:22" hidden="1"/>
    <row r="64" spans="2:22" hidden="1"/>
    <row r="65" spans="2:17" hidden="1"/>
    <row r="66" spans="2:17" hidden="1">
      <c r="B66" s="241" t="s">
        <v>123</v>
      </c>
      <c r="C66" s="242" t="s">
        <v>116</v>
      </c>
    </row>
    <row r="67" spans="2:17" hidden="1">
      <c r="C67" s="220"/>
      <c r="D67" s="220"/>
      <c r="E67" s="220"/>
      <c r="F67" s="220"/>
      <c r="G67" s="220"/>
      <c r="H67" s="220"/>
      <c r="I67" s="220"/>
      <c r="J67" s="220"/>
    </row>
    <row r="68" spans="2:17" hidden="1">
      <c r="B68" s="230" t="s">
        <v>160</v>
      </c>
      <c r="C68" s="243">
        <v>258.56819704383702</v>
      </c>
      <c r="D68" s="220"/>
      <c r="E68" s="220"/>
      <c r="F68" s="220" t="s">
        <v>117</v>
      </c>
      <c r="G68" s="220" t="s">
        <v>118</v>
      </c>
      <c r="H68" s="220" t="s">
        <v>106</v>
      </c>
      <c r="I68" s="220" t="s">
        <v>119</v>
      </c>
      <c r="J68" s="220">
        <v>311</v>
      </c>
    </row>
    <row r="69" spans="2:17" hidden="1">
      <c r="B69" s="220" t="s">
        <v>120</v>
      </c>
      <c r="C69" s="237">
        <f>+C68</f>
        <v>258.56819704383702</v>
      </c>
      <c r="D69" s="229">
        <f>H69</f>
        <v>30.899603648679999</v>
      </c>
      <c r="E69" s="220"/>
      <c r="F69" s="244">
        <v>230.643116080455</v>
      </c>
      <c r="G69" s="244">
        <v>261.542719729135</v>
      </c>
      <c r="H69" s="220">
        <f>+G69-F69</f>
        <v>30.899603648679999</v>
      </c>
      <c r="I69" s="110">
        <f>(1+(G69-F69)/ABS(F69))</f>
        <v>1.1339714974970305</v>
      </c>
      <c r="J69" s="220">
        <v>13</v>
      </c>
      <c r="K69" s="245"/>
    </row>
    <row r="70" spans="2:17" hidden="1">
      <c r="B70" s="220" t="s">
        <v>121</v>
      </c>
      <c r="C70" s="237">
        <f>+C69+D69-D70</f>
        <v>280.35849533998254</v>
      </c>
      <c r="D70" s="229">
        <f>-H70</f>
        <v>9.1093053525344594</v>
      </c>
      <c r="E70" s="220"/>
      <c r="F70" s="244">
        <v>-6.0782759230000396</v>
      </c>
      <c r="G70" s="244">
        <v>-15.1875812755345</v>
      </c>
      <c r="H70" s="220">
        <f>+G70-F70</f>
        <v>-9.1093053525344594</v>
      </c>
      <c r="I70" s="110">
        <f>(1+(G70-F70)/ABS(F70))</f>
        <v>-0.49866598159275433</v>
      </c>
      <c r="J70" s="220">
        <v>-23</v>
      </c>
    </row>
    <row r="71" spans="2:17" hidden="1">
      <c r="B71" s="220" t="s">
        <v>122</v>
      </c>
      <c r="C71" s="237">
        <f>C70</f>
        <v>280.35849533998254</v>
      </c>
      <c r="D71" s="229">
        <f>H71</f>
        <v>13.11912145225989</v>
      </c>
      <c r="E71" s="220"/>
      <c r="F71" s="244">
        <v>82.048718518405707</v>
      </c>
      <c r="G71" s="244">
        <v>95.167839970665597</v>
      </c>
      <c r="H71" s="220">
        <f>+G71-F71</f>
        <v>13.11912145225989</v>
      </c>
      <c r="I71" s="110">
        <f>(1+(G71-F71)/ABS(F71))</f>
        <v>1.1598942882857692</v>
      </c>
      <c r="J71" s="220">
        <v>-40</v>
      </c>
    </row>
    <row r="72" spans="2:17" hidden="1">
      <c r="B72" s="220" t="s">
        <v>103</v>
      </c>
      <c r="C72" s="237">
        <f>+C71+D71</f>
        <v>293.47761679224243</v>
      </c>
      <c r="D72" s="229">
        <f>H72</f>
        <v>1.7943208710448033</v>
      </c>
      <c r="E72" s="220"/>
      <c r="F72" s="244">
        <v>-48.045361632023301</v>
      </c>
      <c r="G72" s="244">
        <v>-46.251040760978498</v>
      </c>
      <c r="H72" s="220">
        <f>+G72-F72</f>
        <v>1.7943208710448033</v>
      </c>
      <c r="I72" s="110">
        <f>(1+(G72-F72)/ABS(F72))</f>
        <v>1.0373463912039502</v>
      </c>
      <c r="J72" s="220">
        <v>14</v>
      </c>
    </row>
    <row r="73" spans="2:17" hidden="1">
      <c r="B73" s="230" t="s">
        <v>161</v>
      </c>
      <c r="C73" s="237">
        <f>+C68+H69+H70+H71+H72</f>
        <v>295.27193766328725</v>
      </c>
      <c r="D73" s="239"/>
      <c r="E73" s="220"/>
      <c r="F73" s="220"/>
      <c r="G73" s="220"/>
      <c r="H73" s="220"/>
      <c r="I73" s="110">
        <f>(1+(C73-C68)/ABS(C68))</f>
        <v>1.1419499421780304</v>
      </c>
      <c r="J73" s="230">
        <f>SUM(J68:J72)</f>
        <v>275</v>
      </c>
    </row>
    <row r="74" spans="2:17" hidden="1">
      <c r="B74" s="247"/>
      <c r="C74" s="249">
        <v>295.27191766328701</v>
      </c>
      <c r="D74" s="220"/>
      <c r="E74" s="220"/>
      <c r="F74" s="220"/>
      <c r="G74" s="220"/>
      <c r="H74" s="220"/>
      <c r="I74" s="110">
        <f>+C73/C68</f>
        <v>1.1419499421780304</v>
      </c>
      <c r="J74" s="110"/>
    </row>
    <row r="75" spans="2:17" hidden="1">
      <c r="C75" s="250">
        <f>+C74-C73</f>
        <v>-2.0000000233721948E-5</v>
      </c>
      <c r="D75" s="220"/>
      <c r="E75" s="220"/>
      <c r="F75" s="220"/>
      <c r="G75" s="220"/>
      <c r="H75" s="220"/>
      <c r="I75" s="110"/>
      <c r="J75" s="220"/>
      <c r="N75" s="220"/>
      <c r="O75" s="220"/>
      <c r="P75" s="220"/>
      <c r="Q75" s="220"/>
    </row>
    <row r="76" spans="2:17" hidden="1">
      <c r="C76" s="237"/>
      <c r="D76" s="220"/>
      <c r="E76" s="220"/>
      <c r="F76" s="220"/>
      <c r="I76" s="117"/>
      <c r="N76" s="220"/>
      <c r="O76" s="220"/>
      <c r="P76" s="220"/>
      <c r="Q76" s="220"/>
    </row>
    <row r="77" spans="2:17" hidden="1">
      <c r="C77" s="245"/>
      <c r="I77" s="117"/>
      <c r="N77" s="220"/>
      <c r="O77" s="220"/>
      <c r="P77" s="220"/>
      <c r="Q77" s="220"/>
    </row>
    <row r="78" spans="2:17" hidden="1">
      <c r="N78" s="220"/>
      <c r="O78" s="220"/>
      <c r="P78" s="220"/>
      <c r="Q78" s="220"/>
    </row>
    <row r="79" spans="2:17" hidden="1">
      <c r="N79" s="220"/>
      <c r="O79" s="220"/>
      <c r="P79" s="220"/>
      <c r="Q79" s="220"/>
    </row>
    <row r="80" spans="2:17" hidden="1">
      <c r="N80" s="220"/>
      <c r="O80" s="220"/>
      <c r="P80" s="220"/>
      <c r="Q80" s="220"/>
    </row>
    <row r="81" spans="14:17" hidden="1">
      <c r="N81" s="243">
        <v>258.56819704383702</v>
      </c>
      <c r="O81" s="243">
        <v>258.56819704383702</v>
      </c>
      <c r="P81" s="243">
        <v>258.56819704383702</v>
      </c>
      <c r="Q81" s="243">
        <v>258.56819704383702</v>
      </c>
    </row>
    <row r="82" spans="14:17" hidden="1">
      <c r="N82" s="229">
        <v>30.899603648679999</v>
      </c>
      <c r="O82" s="229">
        <v>30.899603648679999</v>
      </c>
      <c r="P82" s="229">
        <v>30.899603648679999</v>
      </c>
      <c r="Q82" s="229">
        <v>30.899603648679999</v>
      </c>
    </row>
    <row r="83" spans="14:17" hidden="1">
      <c r="N83" s="220"/>
      <c r="O83" s="229">
        <v>-9.1093053525344594</v>
      </c>
      <c r="P83" s="229">
        <v>-9.1093053525344594</v>
      </c>
      <c r="Q83" s="229">
        <v>-9.1093053525344594</v>
      </c>
    </row>
    <row r="84" spans="14:17" hidden="1">
      <c r="N84" s="220"/>
      <c r="O84" s="220"/>
      <c r="P84" s="229">
        <v>13.11912145225989</v>
      </c>
      <c r="Q84" s="229">
        <v>13.11912145225989</v>
      </c>
    </row>
    <row r="85" spans="14:17" hidden="1">
      <c r="N85" s="220"/>
      <c r="O85" s="220"/>
      <c r="P85" s="220"/>
      <c r="Q85" s="229">
        <v>1.7943208710448033</v>
      </c>
    </row>
    <row r="86" spans="14:17" ht="15" hidden="1" thickBot="1">
      <c r="N86" s="116">
        <f>SUM(N81:N85)</f>
        <v>289.46780069251702</v>
      </c>
      <c r="O86" s="116">
        <f>SUM(O81:O85)</f>
        <v>280.35849533998254</v>
      </c>
      <c r="P86" s="116">
        <f>SUM(P81:P85)</f>
        <v>293.47761679224243</v>
      </c>
      <c r="Q86" s="116">
        <f>SUM(Q81:Q85)</f>
        <v>295.27193766328725</v>
      </c>
    </row>
    <row r="87" spans="14:17" hidden="1">
      <c r="N87" s="220"/>
      <c r="O87" s="220"/>
      <c r="P87" s="220"/>
      <c r="Q87" s="220"/>
    </row>
    <row r="88" spans="14:17" hidden="1">
      <c r="N88" s="220"/>
      <c r="O88" s="220"/>
      <c r="P88" s="220"/>
      <c r="Q88" s="220"/>
    </row>
    <row r="89" spans="14:17" hidden="1">
      <c r="N89" s="220"/>
      <c r="O89" s="220"/>
      <c r="P89" s="220"/>
      <c r="Q89" s="220"/>
    </row>
    <row r="90" spans="14:17" hidden="1">
      <c r="N90" s="220"/>
      <c r="O90" s="220"/>
      <c r="P90" s="220"/>
      <c r="Q90" s="220"/>
    </row>
    <row r="91" spans="14:17" hidden="1">
      <c r="N91" s="220"/>
      <c r="O91" s="220"/>
      <c r="P91" s="220"/>
      <c r="Q91" s="220"/>
    </row>
    <row r="92" spans="14:17" hidden="1">
      <c r="N92" s="220"/>
      <c r="O92" s="220"/>
      <c r="P92" s="220"/>
      <c r="Q92" s="220"/>
    </row>
    <row r="93" spans="14:17" hidden="1"/>
    <row r="94" spans="14:17" hidden="1"/>
    <row r="101" spans="11:13">
      <c r="K101" s="118"/>
      <c r="L101" s="119"/>
      <c r="M101" s="119"/>
    </row>
  </sheetData>
  <pageMargins left="0.7" right="0.7" top="0.75" bottom="0.75" header="0.3" footer="0.3"/>
  <pageSetup orientation="portrait" r:id="rId1"/>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tabColor rgb="FF002060"/>
  </sheetPr>
  <dimension ref="A1:W98"/>
  <sheetViews>
    <sheetView showGridLines="0" zoomScaleNormal="100" workbookViewId="0">
      <selection activeCell="L96" sqref="L96"/>
    </sheetView>
  </sheetViews>
  <sheetFormatPr baseColWidth="10" defaultColWidth="11.453125" defaultRowHeight="14.5"/>
  <cols>
    <col min="1" max="1" width="11.453125" style="218"/>
    <col min="2" max="2" width="17.81640625" style="218" bestFit="1" customWidth="1"/>
    <col min="3" max="3" width="13.7265625" style="218" customWidth="1"/>
    <col min="4" max="4" width="13.54296875" style="218" customWidth="1"/>
    <col min="5" max="5" width="16.26953125" style="218" bestFit="1" customWidth="1"/>
    <col min="6" max="6" width="11.453125" style="218"/>
    <col min="7" max="7" width="15" style="218" customWidth="1"/>
    <col min="8" max="8" width="14.81640625" style="218" customWidth="1"/>
    <col min="9" max="9" width="16.1796875" style="218" customWidth="1"/>
    <col min="10" max="11" width="11.54296875" style="218" bestFit="1" customWidth="1"/>
    <col min="12" max="12" width="10.453125" style="218" customWidth="1"/>
    <col min="13" max="13" width="11.453125" style="218"/>
    <col min="14" max="14" width="11.1796875" style="218" customWidth="1"/>
    <col min="15" max="15" width="8.7265625" style="218" bestFit="1" customWidth="1"/>
    <col min="16" max="16" width="8.1796875" style="218" customWidth="1"/>
    <col min="17" max="17" width="7.26953125" style="218" bestFit="1" customWidth="1"/>
    <col min="18" max="18" width="7.26953125" style="218" customWidth="1"/>
    <col min="19" max="16384" width="11.453125" style="218"/>
  </cols>
  <sheetData>
    <row r="1" spans="1:14">
      <c r="A1" s="251"/>
    </row>
    <row r="2" spans="1:14" ht="18.5">
      <c r="B2" s="216" t="s">
        <v>183</v>
      </c>
      <c r="C2" s="217"/>
      <c r="H2" s="219"/>
    </row>
    <row r="3" spans="1:14">
      <c r="I3" s="219">
        <v>1000000000</v>
      </c>
    </row>
    <row r="4" spans="1:14">
      <c r="B4" s="252"/>
      <c r="C4" s="242"/>
    </row>
    <row r="5" spans="1:14">
      <c r="C5" s="220"/>
      <c r="D5" s="220"/>
      <c r="E5" s="220"/>
      <c r="F5" s="220"/>
      <c r="G5" s="221" t="s">
        <v>124</v>
      </c>
      <c r="H5" s="220"/>
      <c r="I5" s="220"/>
      <c r="J5" s="220"/>
    </row>
    <row r="6" spans="1:14" ht="36" customHeight="1">
      <c r="B6" s="222" t="s">
        <v>204</v>
      </c>
      <c r="C6" s="253">
        <f>+G14-1</f>
        <v>948782.45979364519</v>
      </c>
      <c r="D6" s="106"/>
      <c r="E6" s="220"/>
      <c r="F6" s="220"/>
      <c r="G6" s="251" t="s">
        <v>200</v>
      </c>
      <c r="H6" s="254" t="s">
        <v>201</v>
      </c>
      <c r="I6" s="224" t="s">
        <v>106</v>
      </c>
      <c r="J6" s="220"/>
    </row>
    <row r="7" spans="1:14" ht="15" customHeight="1">
      <c r="B7" s="220" t="s">
        <v>107</v>
      </c>
      <c r="C7" s="253">
        <f>+C6-D7</f>
        <v>797252.67539764522</v>
      </c>
      <c r="D7" s="158">
        <f>-I7</f>
        <v>151529.78439600003</v>
      </c>
      <c r="E7" s="220"/>
      <c r="F7" s="220"/>
      <c r="G7" s="219">
        <v>425611.41976700001</v>
      </c>
      <c r="H7" s="219">
        <v>274081.63537099998</v>
      </c>
      <c r="I7" s="157">
        <f t="shared" ref="I7:I13" si="0">+H7-G7</f>
        <v>-151529.78439600003</v>
      </c>
      <c r="J7" s="220"/>
    </row>
    <row r="8" spans="1:14">
      <c r="B8" s="220" t="s">
        <v>108</v>
      </c>
      <c r="C8" s="253">
        <f>+C7+D8</f>
        <v>806731.25274764514</v>
      </c>
      <c r="D8" s="158">
        <f>-I8</f>
        <v>9478.5773499999486</v>
      </c>
      <c r="E8" s="220"/>
      <c r="F8" s="220"/>
      <c r="G8" s="219">
        <v>244793.07880399999</v>
      </c>
      <c r="H8" s="219">
        <v>235314.50145400004</v>
      </c>
      <c r="I8" s="157">
        <f t="shared" si="0"/>
        <v>-9478.5773499999486</v>
      </c>
      <c r="J8" s="220"/>
    </row>
    <row r="9" spans="1:14">
      <c r="B9" s="220" t="s">
        <v>109</v>
      </c>
      <c r="C9" s="253">
        <f t="shared" ref="C9:C11" si="1">+C8+D8</f>
        <v>816209.83009764506</v>
      </c>
      <c r="D9" s="108">
        <f>I9</f>
        <v>5316.220292</v>
      </c>
      <c r="E9" s="220"/>
      <c r="F9" s="220"/>
      <c r="G9" s="219">
        <v>401.70980700000001</v>
      </c>
      <c r="H9" s="219">
        <v>5717.9300990000002</v>
      </c>
      <c r="I9" s="157">
        <f t="shared" si="0"/>
        <v>5316.220292</v>
      </c>
      <c r="J9" s="220"/>
    </row>
    <row r="10" spans="1:14">
      <c r="B10" s="220" t="s">
        <v>110</v>
      </c>
      <c r="C10" s="253">
        <f>+C9+D9-D10</f>
        <v>787866.40777764504</v>
      </c>
      <c r="D10" s="158">
        <f>-I10</f>
        <v>33659.642612000003</v>
      </c>
      <c r="E10" s="220"/>
      <c r="F10" s="220"/>
      <c r="G10" s="219">
        <v>3890.4469859999999</v>
      </c>
      <c r="H10" s="219">
        <v>-29769.195626000001</v>
      </c>
      <c r="I10" s="157">
        <f t="shared" si="0"/>
        <v>-33659.642612000003</v>
      </c>
      <c r="J10" s="220"/>
    </row>
    <row r="11" spans="1:14">
      <c r="B11" s="227" t="s">
        <v>159</v>
      </c>
      <c r="C11" s="253">
        <f t="shared" si="1"/>
        <v>821526.05038964504</v>
      </c>
      <c r="D11" s="108">
        <f t="shared" ref="D11" si="2">I11</f>
        <v>49173.670126000012</v>
      </c>
      <c r="E11" s="220"/>
      <c r="F11" s="220"/>
      <c r="G11" s="219">
        <v>121826.29178099998</v>
      </c>
      <c r="H11" s="219">
        <v>170999.96190699999</v>
      </c>
      <c r="I11" s="157">
        <f t="shared" si="0"/>
        <v>49173.670126000012</v>
      </c>
      <c r="J11" s="220"/>
    </row>
    <row r="12" spans="1:14">
      <c r="B12" s="220" t="s">
        <v>111</v>
      </c>
      <c r="C12" s="253">
        <f>+C11+D11-D12</f>
        <v>869900.26562164514</v>
      </c>
      <c r="D12" s="108">
        <f>I12+3</f>
        <v>799.45489399998405</v>
      </c>
      <c r="E12" s="220"/>
      <c r="F12" s="220"/>
      <c r="G12" s="219">
        <v>-25273.028381999986</v>
      </c>
      <c r="H12" s="219">
        <v>-24476.573488000002</v>
      </c>
      <c r="I12" s="157">
        <f t="shared" si="0"/>
        <v>796.45489399998405</v>
      </c>
      <c r="J12" s="220"/>
      <c r="K12" s="220"/>
    </row>
    <row r="13" spans="1:14">
      <c r="B13" s="227" t="s">
        <v>162</v>
      </c>
      <c r="C13" s="253">
        <f>+C12+D12</f>
        <v>870699.72051564511</v>
      </c>
      <c r="D13" s="108">
        <f>I13</f>
        <v>45118.030886354973</v>
      </c>
      <c r="E13" s="220"/>
      <c r="F13" s="220"/>
      <c r="G13" s="219">
        <v>177533.54103064502</v>
      </c>
      <c r="H13" s="219">
        <v>222651.57191699999</v>
      </c>
      <c r="I13" s="157">
        <f t="shared" si="0"/>
        <v>45118.030886354973</v>
      </c>
      <c r="J13" s="220"/>
      <c r="K13" s="229"/>
      <c r="L13" s="229"/>
    </row>
    <row r="14" spans="1:14">
      <c r="B14" s="222" t="s">
        <v>205</v>
      </c>
      <c r="C14" s="253">
        <f>+C6-D7-D8+D9-D10+D11+D12+D13-2</f>
        <v>854519.83163400029</v>
      </c>
      <c r="D14" s="108"/>
      <c r="E14" s="226"/>
      <c r="F14" s="220"/>
      <c r="G14" s="109">
        <f>SUM(G7:G13)</f>
        <v>948783.45979364519</v>
      </c>
      <c r="H14" s="109">
        <f>SUM(H7:H13)</f>
        <v>854519.83163400006</v>
      </c>
      <c r="I14" s="255">
        <f>SUM(I7:I13)</f>
        <v>-94263.628159644984</v>
      </c>
      <c r="J14" s="220"/>
      <c r="K14" s="230"/>
    </row>
    <row r="15" spans="1:14">
      <c r="B15" s="222" t="s">
        <v>203</v>
      </c>
      <c r="C15" s="219">
        <v>784644.17569244921</v>
      </c>
      <c r="D15" s="113"/>
      <c r="E15" s="113"/>
      <c r="F15" s="113"/>
      <c r="G15" s="113"/>
      <c r="H15" s="113"/>
      <c r="I15" s="113"/>
      <c r="J15" s="113"/>
      <c r="K15" s="113"/>
      <c r="M15" s="233" t="s">
        <v>112</v>
      </c>
    </row>
    <row r="16" spans="1:14" ht="15.5">
      <c r="C16" s="110"/>
      <c r="D16" s="229"/>
      <c r="E16" s="220"/>
      <c r="F16" s="220"/>
      <c r="G16" s="220"/>
      <c r="H16" s="236"/>
      <c r="I16" s="220"/>
      <c r="J16" s="220"/>
      <c r="K16" s="110"/>
      <c r="M16" s="235" t="s">
        <v>113</v>
      </c>
      <c r="N16" s="235" t="s">
        <v>114</v>
      </c>
    </row>
    <row r="17" spans="3:23">
      <c r="C17" s="114">
        <f>+H14</f>
        <v>854519.83163400006</v>
      </c>
      <c r="D17" s="226"/>
      <c r="E17" s="226"/>
      <c r="F17" s="226"/>
      <c r="G17" s="220"/>
      <c r="H17" s="256"/>
      <c r="I17" s="220"/>
      <c r="J17" s="110"/>
      <c r="K17" s="220"/>
      <c r="M17" s="112">
        <f>IF(G14&lt;0,-((H14/G14)-1),(H14/G14)-1)*100</f>
        <v>-9.935209892902952</v>
      </c>
      <c r="N17" s="112">
        <f>IF(ISERR(1+(H14-C15)/ABS(C15)),"N/A",1+(H14-C15)/ABS(C15))*100</f>
        <v>108.90539407622386</v>
      </c>
    </row>
    <row r="18" spans="3:23">
      <c r="C18" s="114">
        <f>+C14-C17</f>
        <v>0</v>
      </c>
      <c r="D18" s="229"/>
      <c r="E18" s="220"/>
      <c r="F18" s="220"/>
      <c r="G18" s="220"/>
      <c r="H18" s="194">
        <f>948783-151530-9479+5316-33660+49174+796+45118+2</f>
        <v>854520</v>
      </c>
      <c r="I18" s="220"/>
      <c r="J18" s="110"/>
      <c r="K18" s="220"/>
    </row>
    <row r="19" spans="3:23">
      <c r="C19" s="237"/>
      <c r="D19" s="229"/>
      <c r="E19" s="220"/>
      <c r="F19" s="220"/>
      <c r="G19" s="220"/>
      <c r="H19" s="256">
        <f>+H14-H18</f>
        <v>-0.16836599993985146</v>
      </c>
      <c r="I19" s="220"/>
      <c r="J19" s="239"/>
      <c r="K19" s="220"/>
    </row>
    <row r="20" spans="3:23">
      <c r="C20" s="237"/>
      <c r="D20" s="229"/>
      <c r="E20" s="220"/>
      <c r="F20" s="220"/>
      <c r="G20" s="220"/>
      <c r="H20" s="220"/>
      <c r="I20" s="220"/>
      <c r="J20" s="110"/>
      <c r="K20" s="220"/>
    </row>
    <row r="21" spans="3:23">
      <c r="C21" s="220"/>
      <c r="D21" s="220"/>
      <c r="E21" s="220"/>
      <c r="F21" s="220"/>
      <c r="G21" s="220"/>
      <c r="H21" s="220"/>
      <c r="I21" s="220"/>
      <c r="J21" s="110"/>
      <c r="K21" s="220"/>
    </row>
    <row r="22" spans="3:23">
      <c r="M22" s="220"/>
      <c r="N22" s="220"/>
      <c r="O22" s="220"/>
      <c r="P22" s="220"/>
      <c r="Q22" s="220"/>
      <c r="R22" s="220"/>
      <c r="S22" s="220"/>
      <c r="T22" s="220"/>
      <c r="U22" s="220"/>
      <c r="V22" s="220"/>
    </row>
    <row r="23" spans="3:23">
      <c r="M23" s="220"/>
      <c r="N23" s="240"/>
      <c r="O23" s="240"/>
      <c r="P23" s="240"/>
      <c r="Q23" s="240"/>
      <c r="R23" s="220"/>
      <c r="S23" s="220"/>
      <c r="T23" s="220"/>
      <c r="U23" s="220"/>
      <c r="V23" s="220"/>
      <c r="W23" s="220"/>
    </row>
    <row r="24" spans="3:23">
      <c r="M24" s="220"/>
      <c r="N24" s="113"/>
      <c r="O24" s="113"/>
      <c r="P24" s="113"/>
      <c r="Q24" s="113"/>
      <c r="R24" s="220"/>
      <c r="S24" s="220"/>
      <c r="T24" s="220"/>
      <c r="U24" s="220"/>
      <c r="V24" s="220"/>
      <c r="W24" s="220"/>
    </row>
    <row r="25" spans="3:23">
      <c r="M25" s="220"/>
      <c r="O25" s="113"/>
      <c r="Q25" s="113"/>
      <c r="R25" s="220"/>
      <c r="S25" s="220"/>
      <c r="T25" s="220"/>
      <c r="U25" s="220"/>
      <c r="V25" s="220"/>
    </row>
    <row r="26" spans="3:23">
      <c r="M26" s="220"/>
      <c r="N26" s="113"/>
      <c r="O26" s="113"/>
      <c r="P26" s="113"/>
      <c r="Q26" s="113"/>
      <c r="R26" s="220"/>
      <c r="S26" s="220"/>
      <c r="T26" s="220"/>
      <c r="U26" s="220"/>
      <c r="V26" s="220"/>
    </row>
    <row r="27" spans="3:23">
      <c r="M27" s="220"/>
      <c r="N27" s="113"/>
      <c r="O27" s="113"/>
      <c r="P27" s="113"/>
      <c r="Q27" s="113"/>
      <c r="R27" s="220"/>
      <c r="S27" s="220"/>
      <c r="T27" s="220"/>
      <c r="U27" s="220"/>
      <c r="V27" s="220"/>
    </row>
    <row r="28" spans="3:23">
      <c r="M28" s="220"/>
      <c r="N28" s="113"/>
      <c r="O28" s="113"/>
      <c r="P28" s="113"/>
      <c r="Q28" s="113"/>
      <c r="R28" s="220"/>
      <c r="S28" s="220"/>
      <c r="T28" s="220"/>
      <c r="U28" s="220"/>
      <c r="V28" s="220"/>
    </row>
    <row r="29" spans="3:23">
      <c r="N29" s="113"/>
      <c r="O29" s="113"/>
      <c r="P29" s="113"/>
      <c r="Q29" s="113"/>
    </row>
    <row r="30" spans="3:23">
      <c r="N30" s="113"/>
      <c r="O30" s="113"/>
      <c r="P30" s="113"/>
      <c r="Q30" s="113"/>
    </row>
    <row r="31" spans="3:23">
      <c r="N31" s="113"/>
      <c r="O31" s="113"/>
      <c r="P31" s="113"/>
      <c r="Q31" s="113"/>
    </row>
    <row r="32" spans="3:23">
      <c r="C32" s="220"/>
      <c r="D32" s="220"/>
      <c r="E32" s="220"/>
      <c r="F32" s="220"/>
      <c r="G32" s="220"/>
      <c r="H32" s="220"/>
      <c r="I32" s="220"/>
      <c r="J32" s="220"/>
      <c r="K32" s="220"/>
      <c r="L32" s="220"/>
    </row>
    <row r="33" spans="1:13">
      <c r="B33" s="220"/>
      <c r="C33" s="220"/>
      <c r="D33" s="220"/>
      <c r="E33" s="220"/>
      <c r="F33" s="220"/>
      <c r="G33" s="220"/>
      <c r="H33" s="220"/>
      <c r="I33" s="220"/>
      <c r="J33" s="220"/>
      <c r="K33" s="220"/>
      <c r="L33" s="220"/>
    </row>
    <row r="34" spans="1:13">
      <c r="B34" s="220"/>
      <c r="C34" s="220"/>
      <c r="D34" s="220"/>
      <c r="E34" s="220"/>
      <c r="F34" s="220"/>
      <c r="G34" s="220"/>
      <c r="H34" s="220"/>
      <c r="I34" s="220"/>
      <c r="J34" s="220"/>
      <c r="K34" s="220"/>
      <c r="L34" s="220"/>
    </row>
    <row r="35" spans="1:13">
      <c r="B35" s="220"/>
      <c r="C35" s="220"/>
      <c r="D35" s="220"/>
      <c r="E35" s="220"/>
      <c r="F35" s="220"/>
      <c r="G35" s="220"/>
      <c r="H35" s="220"/>
      <c r="I35" s="220"/>
      <c r="J35" s="220"/>
      <c r="K35" s="220"/>
      <c r="L35" s="220"/>
    </row>
    <row r="36" spans="1:13">
      <c r="B36" s="220"/>
      <c r="C36" s="220"/>
      <c r="D36" s="220"/>
      <c r="E36" s="220"/>
      <c r="F36" s="220"/>
      <c r="G36" s="220"/>
      <c r="H36" s="220"/>
      <c r="I36" s="220"/>
      <c r="J36" s="220"/>
      <c r="K36" s="220"/>
      <c r="L36" s="220"/>
    </row>
    <row r="37" spans="1:13">
      <c r="B37" s="220"/>
      <c r="C37" s="220"/>
      <c r="D37" s="220"/>
      <c r="E37" s="220"/>
      <c r="F37" s="220"/>
      <c r="G37" s="220"/>
      <c r="H37" s="220"/>
      <c r="I37" s="220"/>
      <c r="J37" s="220"/>
      <c r="K37" s="220"/>
      <c r="L37" s="220"/>
    </row>
    <row r="38" spans="1:13">
      <c r="B38" s="220"/>
      <c r="C38" s="220"/>
      <c r="D38" s="220"/>
      <c r="E38" s="220"/>
      <c r="F38" s="220"/>
      <c r="G38" s="220"/>
      <c r="H38" s="220"/>
      <c r="I38" s="220"/>
      <c r="J38" s="220"/>
      <c r="K38" s="220"/>
      <c r="L38" s="220"/>
    </row>
    <row r="39" spans="1:13">
      <c r="B39" s="220"/>
      <c r="C39" s="220"/>
      <c r="D39" s="220"/>
      <c r="E39" s="220"/>
      <c r="F39" s="220"/>
      <c r="G39" s="220"/>
      <c r="H39" s="220"/>
      <c r="I39" s="220"/>
      <c r="J39" s="220"/>
      <c r="K39" s="220"/>
      <c r="L39" s="220"/>
    </row>
    <row r="40" spans="1:13">
      <c r="B40" s="220"/>
      <c r="C40" s="220"/>
      <c r="D40" s="220"/>
      <c r="E40" s="220"/>
      <c r="F40" s="220"/>
      <c r="G40" s="220"/>
      <c r="H40" s="220"/>
      <c r="I40" s="220"/>
      <c r="J40" s="220"/>
      <c r="K40" s="220"/>
      <c r="L40" s="220"/>
    </row>
    <row r="41" spans="1:13">
      <c r="B41" s="220"/>
      <c r="C41" s="220"/>
      <c r="D41" s="220"/>
      <c r="E41" s="220"/>
      <c r="F41" s="220"/>
      <c r="G41" s="220"/>
      <c r="H41" s="220"/>
      <c r="I41" s="220"/>
      <c r="J41" s="220"/>
      <c r="K41" s="220"/>
      <c r="L41" s="220"/>
    </row>
    <row r="42" spans="1:13" hidden="1">
      <c r="B42" s="241" t="s">
        <v>115</v>
      </c>
      <c r="C42" s="242" t="s">
        <v>116</v>
      </c>
      <c r="G42" s="220"/>
    </row>
    <row r="43" spans="1:13" hidden="1">
      <c r="C43" s="220"/>
      <c r="D43" s="220"/>
      <c r="E43" s="220"/>
      <c r="F43" s="220"/>
      <c r="G43" s="220"/>
      <c r="H43" s="220"/>
      <c r="I43" s="220"/>
      <c r="J43" s="220"/>
      <c r="K43" s="220"/>
      <c r="L43" s="220"/>
    </row>
    <row r="44" spans="1:13" hidden="1">
      <c r="A44" s="220"/>
      <c r="B44" s="230" t="s">
        <v>160</v>
      </c>
      <c r="C44" s="243">
        <v>1670.7905559040601</v>
      </c>
      <c r="D44" s="220"/>
      <c r="E44" s="220"/>
      <c r="F44" s="220"/>
      <c r="G44" s="220" t="s">
        <v>117</v>
      </c>
      <c r="H44" s="220" t="s">
        <v>118</v>
      </c>
      <c r="I44" s="220" t="s">
        <v>106</v>
      </c>
      <c r="J44" s="220" t="s">
        <v>119</v>
      </c>
      <c r="K44" s="220">
        <v>1639</v>
      </c>
      <c r="L44" s="220"/>
    </row>
    <row r="45" spans="1:13" hidden="1">
      <c r="B45" s="220" t="s">
        <v>120</v>
      </c>
      <c r="C45" s="237">
        <f>C44</f>
        <v>1670.7905559040601</v>
      </c>
      <c r="D45" s="229">
        <f>I45</f>
        <v>52.83612692600002</v>
      </c>
      <c r="E45" s="220"/>
      <c r="F45" s="220"/>
      <c r="G45" s="244">
        <v>821.91093747000002</v>
      </c>
      <c r="H45" s="244">
        <v>874.74706439600004</v>
      </c>
      <c r="I45" s="220">
        <f>+H45-G45</f>
        <v>52.83612692600002</v>
      </c>
      <c r="J45" s="110">
        <f>(1+(H45-G45)/ABS(G45))</f>
        <v>1.0642844918071535</v>
      </c>
      <c r="K45" s="220">
        <v>-59</v>
      </c>
      <c r="L45" s="229"/>
      <c r="M45" s="245"/>
    </row>
    <row r="46" spans="1:13" hidden="1">
      <c r="B46" s="220" t="s">
        <v>121</v>
      </c>
      <c r="C46" s="237">
        <f>+C45+D45-D46</f>
        <v>1695.566309976133</v>
      </c>
      <c r="D46" s="229">
        <f>-I46</f>
        <v>28.060372853927049</v>
      </c>
      <c r="E46" s="220"/>
      <c r="F46" s="220"/>
      <c r="G46" s="244">
        <v>364.62711345000002</v>
      </c>
      <c r="H46" s="244">
        <v>336.56674059607298</v>
      </c>
      <c r="I46" s="220">
        <f>+H46-G46</f>
        <v>-28.060372853927049</v>
      </c>
      <c r="J46" s="110">
        <f>(1+(H46-G46)/ABS(G46))</f>
        <v>0.92304364700576536</v>
      </c>
      <c r="K46" s="220">
        <v>-52</v>
      </c>
      <c r="L46" s="229"/>
    </row>
    <row r="47" spans="1:13" hidden="1">
      <c r="B47" s="220" t="s">
        <v>122</v>
      </c>
      <c r="C47" s="237">
        <f>+C46-D47</f>
        <v>1663.1205314935889</v>
      </c>
      <c r="D47" s="229">
        <f>-I47</f>
        <v>32.445778482543972</v>
      </c>
      <c r="E47" s="220"/>
      <c r="F47" s="220"/>
      <c r="G47" s="244">
        <v>411.80162351856097</v>
      </c>
      <c r="H47" s="244">
        <v>379.355845036017</v>
      </c>
      <c r="I47" s="220">
        <f>+H47-G47</f>
        <v>-32.445778482543972</v>
      </c>
      <c r="J47" s="110">
        <f>(1+(H47-G47)/ABS(G47))</f>
        <v>0.92121017346819289</v>
      </c>
      <c r="K47" s="220">
        <v>-51</v>
      </c>
      <c r="L47" s="229"/>
    </row>
    <row r="48" spans="1:13" hidden="1">
      <c r="B48" s="220" t="s">
        <v>103</v>
      </c>
      <c r="C48" s="237">
        <f>C47-D48</f>
        <v>1636.1470000000645</v>
      </c>
      <c r="D48" s="229">
        <f>-I48</f>
        <v>26.973531493524405</v>
      </c>
      <c r="E48" s="220"/>
      <c r="F48" s="220"/>
      <c r="G48" s="244">
        <v>72.450881465500004</v>
      </c>
      <c r="H48" s="244">
        <v>45.477349971975599</v>
      </c>
      <c r="I48" s="220">
        <f>+H48-G48</f>
        <v>-26.973531493524405</v>
      </c>
      <c r="J48" s="110">
        <f>(1+(H48-G48)/ABS(G48))</f>
        <v>0.6276990569622154</v>
      </c>
      <c r="K48" s="220">
        <v>-4</v>
      </c>
      <c r="L48" s="229"/>
    </row>
    <row r="49" spans="2:23" hidden="1">
      <c r="B49" s="230" t="s">
        <v>161</v>
      </c>
      <c r="C49" s="246">
        <f>+C44+I45+I46+I47+I48</f>
        <v>1636.1470000000645</v>
      </c>
      <c r="D49" s="239"/>
      <c r="E49" s="220"/>
      <c r="F49" s="220"/>
      <c r="G49" s="220"/>
      <c r="H49" s="220"/>
      <c r="I49" s="220"/>
      <c r="J49" s="110">
        <f>(1+(C49-C44)/ABS(C44))</f>
        <v>0.97926517133965363</v>
      </c>
      <c r="K49" s="230">
        <f>SUM(K44:K48)</f>
        <v>1473</v>
      </c>
      <c r="L49" s="220"/>
    </row>
    <row r="50" spans="2:23" hidden="1">
      <c r="B50" s="247"/>
      <c r="C50" s="243">
        <v>1636.14700000007</v>
      </c>
      <c r="D50" s="220"/>
      <c r="E50" s="220"/>
      <c r="F50" s="220"/>
      <c r="G50" s="220"/>
      <c r="H50" s="220"/>
      <c r="I50" s="220"/>
      <c r="J50" s="110">
        <f>+C49/C44</f>
        <v>0.97926517133965363</v>
      </c>
      <c r="K50" s="220"/>
      <c r="L50" s="220"/>
    </row>
    <row r="51" spans="2:23" hidden="1">
      <c r="C51" s="248">
        <f>+C50-C49</f>
        <v>5.4569682106375694E-12</v>
      </c>
      <c r="D51" s="220"/>
      <c r="E51" s="220"/>
      <c r="F51" s="220"/>
      <c r="G51" s="220"/>
      <c r="H51" s="220"/>
      <c r="I51" s="220"/>
      <c r="J51" s="115"/>
      <c r="K51" s="220"/>
      <c r="L51" s="220"/>
    </row>
    <row r="52" spans="2:23" hidden="1">
      <c r="C52" s="220"/>
      <c r="D52" s="220"/>
      <c r="E52" s="220"/>
      <c r="F52" s="220"/>
      <c r="G52" s="220"/>
      <c r="H52" s="220"/>
      <c r="I52" s="220"/>
      <c r="J52" s="220"/>
      <c r="K52" s="220"/>
      <c r="L52" s="220"/>
    </row>
    <row r="53" spans="2:23" hidden="1"/>
    <row r="54" spans="2:23" hidden="1">
      <c r="N54" s="243">
        <v>1670.7905559040601</v>
      </c>
      <c r="O54" s="243">
        <v>1670.7905559040601</v>
      </c>
      <c r="P54" s="243">
        <v>1670.7905559040601</v>
      </c>
      <c r="Q54" s="243">
        <v>1670.7905559040601</v>
      </c>
      <c r="R54" s="220"/>
      <c r="S54" s="220"/>
      <c r="T54" s="220"/>
      <c r="U54" s="220"/>
      <c r="V54" s="220"/>
      <c r="W54" s="220"/>
    </row>
    <row r="55" spans="2:23" hidden="1">
      <c r="N55" s="229">
        <v>52.83612692600002</v>
      </c>
      <c r="O55" s="229">
        <v>52.83612692600002</v>
      </c>
      <c r="P55" s="229">
        <v>52.83612692600002</v>
      </c>
      <c r="Q55" s="229">
        <v>52.83612692600002</v>
      </c>
    </row>
    <row r="56" spans="2:23" hidden="1">
      <c r="N56" s="220"/>
      <c r="O56" s="229">
        <v>-28.060372853927049</v>
      </c>
      <c r="P56" s="229">
        <v>-28.060372853927049</v>
      </c>
      <c r="Q56" s="229">
        <v>-28.060372853927049</v>
      </c>
    </row>
    <row r="57" spans="2:23" hidden="1">
      <c r="N57" s="220"/>
      <c r="O57" s="220"/>
      <c r="P57" s="229">
        <v>-32.445778482543972</v>
      </c>
      <c r="Q57" s="229">
        <v>-32.445778482543972</v>
      </c>
    </row>
    <row r="58" spans="2:23" hidden="1">
      <c r="N58" s="220"/>
      <c r="O58" s="220"/>
      <c r="P58" s="220"/>
      <c r="Q58" s="229">
        <v>-26.973531493524405</v>
      </c>
    </row>
    <row r="59" spans="2:23" ht="15" hidden="1" thickBot="1">
      <c r="N59" s="116">
        <f>SUM(N54:N58)</f>
        <v>1723.62668283006</v>
      </c>
      <c r="O59" s="116">
        <f>SUM(O54:O58)</f>
        <v>1695.566309976133</v>
      </c>
      <c r="P59" s="116">
        <f>SUM(P54:P58)</f>
        <v>1663.1205314935889</v>
      </c>
      <c r="Q59" s="116">
        <f>SUM(Q54:Q58)</f>
        <v>1636.1470000000645</v>
      </c>
    </row>
    <row r="60" spans="2:23" hidden="1">
      <c r="N60" s="220"/>
      <c r="O60" s="220"/>
      <c r="P60" s="220"/>
      <c r="Q60" s="220"/>
    </row>
    <row r="61" spans="2:23" hidden="1">
      <c r="N61" s="220"/>
      <c r="O61" s="220"/>
      <c r="P61" s="220"/>
      <c r="Q61" s="220"/>
    </row>
    <row r="62" spans="2:23" hidden="1"/>
    <row r="63" spans="2:23" hidden="1"/>
    <row r="64" spans="2:23" hidden="1"/>
    <row r="65" spans="2:18" hidden="1"/>
    <row r="66" spans="2:18" hidden="1">
      <c r="B66" s="241" t="s">
        <v>123</v>
      </c>
      <c r="C66" s="242" t="s">
        <v>116</v>
      </c>
    </row>
    <row r="67" spans="2:18" hidden="1">
      <c r="C67" s="220"/>
      <c r="D67" s="220"/>
      <c r="E67" s="220"/>
      <c r="F67" s="220"/>
      <c r="G67" s="220"/>
      <c r="H67" s="220"/>
      <c r="I67" s="220"/>
      <c r="J67" s="220"/>
      <c r="K67" s="220"/>
    </row>
    <row r="68" spans="2:18" hidden="1">
      <c r="B68" s="230" t="s">
        <v>160</v>
      </c>
      <c r="C68" s="243">
        <v>258.56819704383702</v>
      </c>
      <c r="D68" s="220"/>
      <c r="E68" s="220"/>
      <c r="F68" s="220"/>
      <c r="G68" s="220" t="s">
        <v>117</v>
      </c>
      <c r="H68" s="220" t="s">
        <v>118</v>
      </c>
      <c r="I68" s="220" t="s">
        <v>106</v>
      </c>
      <c r="J68" s="220" t="s">
        <v>119</v>
      </c>
      <c r="K68" s="220">
        <v>311</v>
      </c>
    </row>
    <row r="69" spans="2:18" hidden="1">
      <c r="B69" s="220" t="s">
        <v>120</v>
      </c>
      <c r="C69" s="237">
        <f>+C68</f>
        <v>258.56819704383702</v>
      </c>
      <c r="D69" s="229">
        <f>I69</f>
        <v>30.899603648679999</v>
      </c>
      <c r="E69" s="220"/>
      <c r="F69" s="220"/>
      <c r="G69" s="244">
        <v>230.643116080455</v>
      </c>
      <c r="H69" s="244">
        <v>261.542719729135</v>
      </c>
      <c r="I69" s="220">
        <f>+H69-G69</f>
        <v>30.899603648679999</v>
      </c>
      <c r="J69" s="110">
        <f>(1+(H69-G69)/ABS(G69))</f>
        <v>1.1339714974970305</v>
      </c>
      <c r="K69" s="220">
        <v>13</v>
      </c>
      <c r="L69" s="245"/>
    </row>
    <row r="70" spans="2:18" hidden="1">
      <c r="B70" s="220" t="s">
        <v>121</v>
      </c>
      <c r="C70" s="237">
        <f>+C69+D69-D70</f>
        <v>280.35849533998254</v>
      </c>
      <c r="D70" s="229">
        <f>-I70</f>
        <v>9.1093053525344594</v>
      </c>
      <c r="E70" s="220"/>
      <c r="F70" s="220"/>
      <c r="G70" s="244">
        <v>-6.0782759230000396</v>
      </c>
      <c r="H70" s="244">
        <v>-15.1875812755345</v>
      </c>
      <c r="I70" s="220">
        <f>+H70-G70</f>
        <v>-9.1093053525344594</v>
      </c>
      <c r="J70" s="110">
        <f>(1+(H70-G70)/ABS(G70))</f>
        <v>-0.49866598159275433</v>
      </c>
      <c r="K70" s="220">
        <v>-23</v>
      </c>
    </row>
    <row r="71" spans="2:18" hidden="1">
      <c r="B71" s="220" t="s">
        <v>122</v>
      </c>
      <c r="C71" s="237">
        <f>C70</f>
        <v>280.35849533998254</v>
      </c>
      <c r="D71" s="229">
        <f>I71</f>
        <v>13.11912145225989</v>
      </c>
      <c r="E71" s="220"/>
      <c r="F71" s="220"/>
      <c r="G71" s="244">
        <v>82.048718518405707</v>
      </c>
      <c r="H71" s="244">
        <v>95.167839970665597</v>
      </c>
      <c r="I71" s="220">
        <f>+H71-G71</f>
        <v>13.11912145225989</v>
      </c>
      <c r="J71" s="110">
        <f>(1+(H71-G71)/ABS(G71))</f>
        <v>1.1598942882857692</v>
      </c>
      <c r="K71" s="220">
        <v>-40</v>
      </c>
    </row>
    <row r="72" spans="2:18" hidden="1">
      <c r="B72" s="220" t="s">
        <v>103</v>
      </c>
      <c r="C72" s="237">
        <f>+C71+D71</f>
        <v>293.47761679224243</v>
      </c>
      <c r="D72" s="229">
        <f>I72</f>
        <v>1.7943208710448033</v>
      </c>
      <c r="E72" s="220"/>
      <c r="F72" s="220"/>
      <c r="G72" s="244">
        <v>-48.045361632023301</v>
      </c>
      <c r="H72" s="244">
        <v>-46.251040760978498</v>
      </c>
      <c r="I72" s="220">
        <f>+H72-G72</f>
        <v>1.7943208710448033</v>
      </c>
      <c r="J72" s="110">
        <f>(1+(H72-G72)/ABS(G72))</f>
        <v>1.0373463912039502</v>
      </c>
      <c r="K72" s="220">
        <v>14</v>
      </c>
    </row>
    <row r="73" spans="2:18" hidden="1">
      <c r="B73" s="230" t="s">
        <v>161</v>
      </c>
      <c r="C73" s="237">
        <f>+C68+I69+I70+I71+I72</f>
        <v>295.27193766328725</v>
      </c>
      <c r="D73" s="239"/>
      <c r="E73" s="220"/>
      <c r="F73" s="220"/>
      <c r="G73" s="220"/>
      <c r="H73" s="220"/>
      <c r="I73" s="220"/>
      <c r="J73" s="110">
        <f>(1+(C73-C68)/ABS(C68))</f>
        <v>1.1419499421780304</v>
      </c>
      <c r="K73" s="230">
        <f>SUM(K68:K72)</f>
        <v>275</v>
      </c>
    </row>
    <row r="74" spans="2:18" hidden="1">
      <c r="B74" s="247"/>
      <c r="C74" s="249">
        <v>295.27191766328701</v>
      </c>
      <c r="D74" s="220"/>
      <c r="E74" s="220"/>
      <c r="F74" s="220"/>
      <c r="G74" s="220"/>
      <c r="H74" s="220"/>
      <c r="I74" s="220"/>
      <c r="J74" s="110">
        <f>+C73/C68</f>
        <v>1.1419499421780304</v>
      </c>
      <c r="K74" s="110"/>
    </row>
    <row r="75" spans="2:18" hidden="1">
      <c r="C75" s="250">
        <f>+C74-C73</f>
        <v>-2.0000000233721948E-5</v>
      </c>
      <c r="D75" s="220"/>
      <c r="E75" s="220"/>
      <c r="F75" s="220"/>
      <c r="G75" s="220"/>
      <c r="H75" s="220"/>
      <c r="I75" s="220"/>
      <c r="J75" s="110"/>
      <c r="K75" s="220"/>
      <c r="O75" s="220"/>
      <c r="P75" s="220"/>
      <c r="Q75" s="220"/>
      <c r="R75" s="220"/>
    </row>
    <row r="76" spans="2:18" hidden="1">
      <c r="C76" s="237"/>
      <c r="D76" s="220"/>
      <c r="E76" s="220"/>
      <c r="F76" s="220"/>
      <c r="G76" s="220"/>
      <c r="J76" s="117"/>
      <c r="O76" s="220"/>
      <c r="P76" s="220"/>
      <c r="Q76" s="220"/>
      <c r="R76" s="220"/>
    </row>
    <row r="77" spans="2:18" hidden="1">
      <c r="C77" s="245"/>
      <c r="J77" s="117"/>
      <c r="O77" s="220"/>
      <c r="P77" s="220"/>
      <c r="Q77" s="220"/>
      <c r="R77" s="220"/>
    </row>
    <row r="78" spans="2:18" hidden="1">
      <c r="O78" s="220"/>
      <c r="P78" s="220"/>
      <c r="Q78" s="220"/>
      <c r="R78" s="220"/>
    </row>
    <row r="79" spans="2:18" hidden="1">
      <c r="O79" s="220"/>
      <c r="P79" s="220"/>
      <c r="Q79" s="220"/>
      <c r="R79" s="220"/>
    </row>
    <row r="80" spans="2:18" hidden="1">
      <c r="O80" s="220"/>
      <c r="P80" s="220"/>
      <c r="Q80" s="220"/>
      <c r="R80" s="220"/>
    </row>
    <row r="81" spans="15:18" hidden="1">
      <c r="O81" s="243">
        <v>258.56819704383702</v>
      </c>
      <c r="P81" s="243">
        <v>258.56819704383702</v>
      </c>
      <c r="Q81" s="243">
        <v>258.56819704383702</v>
      </c>
      <c r="R81" s="243">
        <v>258.56819704383702</v>
      </c>
    </row>
    <row r="82" spans="15:18" hidden="1">
      <c r="O82" s="229">
        <v>30.899603648679999</v>
      </c>
      <c r="P82" s="229">
        <v>30.899603648679999</v>
      </c>
      <c r="Q82" s="229">
        <v>30.899603648679999</v>
      </c>
      <c r="R82" s="229">
        <v>30.899603648679999</v>
      </c>
    </row>
    <row r="83" spans="15:18" hidden="1">
      <c r="O83" s="220"/>
      <c r="P83" s="229">
        <v>-9.1093053525344594</v>
      </c>
      <c r="Q83" s="229">
        <v>-9.1093053525344594</v>
      </c>
      <c r="R83" s="229">
        <v>-9.1093053525344594</v>
      </c>
    </row>
    <row r="84" spans="15:18" hidden="1">
      <c r="O84" s="220"/>
      <c r="P84" s="220"/>
      <c r="Q84" s="229">
        <v>13.11912145225989</v>
      </c>
      <c r="R84" s="229">
        <v>13.11912145225989</v>
      </c>
    </row>
    <row r="85" spans="15:18" hidden="1">
      <c r="O85" s="220"/>
      <c r="P85" s="220"/>
      <c r="Q85" s="220"/>
      <c r="R85" s="229">
        <v>1.7943208710448033</v>
      </c>
    </row>
    <row r="86" spans="15:18" ht="15" hidden="1" thickBot="1">
      <c r="O86" s="116">
        <f>SUM(O81:O85)</f>
        <v>289.46780069251702</v>
      </c>
      <c r="P86" s="116">
        <f>SUM(P81:P85)</f>
        <v>280.35849533998254</v>
      </c>
      <c r="Q86" s="116">
        <f>SUM(Q81:Q85)</f>
        <v>293.47761679224243</v>
      </c>
      <c r="R86" s="116">
        <f>SUM(R81:R85)</f>
        <v>295.27193766328725</v>
      </c>
    </row>
    <row r="87" spans="15:18" hidden="1">
      <c r="O87" s="220"/>
      <c r="P87" s="220"/>
      <c r="Q87" s="220"/>
      <c r="R87" s="220"/>
    </row>
    <row r="88" spans="15:18" hidden="1">
      <c r="O88" s="220"/>
      <c r="P88" s="220"/>
      <c r="Q88" s="220"/>
      <c r="R88" s="220"/>
    </row>
    <row r="89" spans="15:18" hidden="1">
      <c r="O89" s="220"/>
      <c r="P89" s="220"/>
      <c r="Q89" s="220"/>
      <c r="R89" s="220"/>
    </row>
    <row r="90" spans="15:18" hidden="1">
      <c r="O90" s="220"/>
      <c r="P90" s="220"/>
      <c r="Q90" s="220"/>
      <c r="R90" s="220"/>
    </row>
    <row r="91" spans="15:18" hidden="1">
      <c r="O91" s="220"/>
      <c r="P91" s="220"/>
      <c r="Q91" s="220"/>
      <c r="R91" s="220"/>
    </row>
    <row r="92" spans="15:18" hidden="1">
      <c r="O92" s="220"/>
      <c r="P92" s="220"/>
      <c r="Q92" s="220"/>
      <c r="R92" s="220"/>
    </row>
    <row r="93" spans="15:18" hidden="1"/>
    <row r="94" spans="15:18" hidden="1"/>
    <row r="98" spans="10:10">
      <c r="J98" s="247"/>
    </row>
  </sheetData>
  <pageMargins left="0.7" right="0.7" top="0.75" bottom="0.75" header="0.3" footer="0.3"/>
  <pageSetup orientation="portrait" r:id="rId1"/>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tabColor rgb="FF002060"/>
  </sheetPr>
  <dimension ref="A2:W104"/>
  <sheetViews>
    <sheetView showGridLines="0" zoomScaleNormal="100" workbookViewId="0">
      <selection activeCell="P9" sqref="P9"/>
    </sheetView>
  </sheetViews>
  <sheetFormatPr baseColWidth="10" defaultColWidth="11.453125" defaultRowHeight="14.5"/>
  <cols>
    <col min="1" max="1" width="10.1796875" style="218" customWidth="1"/>
    <col min="2" max="2" width="25.453125" style="218" customWidth="1"/>
    <col min="3" max="3" width="9.54296875" style="218" customWidth="1"/>
    <col min="4" max="4" width="9.26953125" style="218" bestFit="1" customWidth="1"/>
    <col min="5" max="5" width="16.26953125" style="218" bestFit="1" customWidth="1"/>
    <col min="6" max="6" width="11.453125" style="218"/>
    <col min="7" max="7" width="18.1796875" style="218" customWidth="1"/>
    <col min="8" max="8" width="22.1796875" style="218" customWidth="1"/>
    <col min="9" max="9" width="15.54296875" style="218" bestFit="1" customWidth="1"/>
    <col min="10" max="11" width="11.54296875" style="218" bestFit="1" customWidth="1"/>
    <col min="12" max="12" width="10.453125" style="218" customWidth="1"/>
    <col min="13" max="13" width="11.453125" style="218"/>
    <col min="14" max="14" width="11.1796875" style="218" customWidth="1"/>
    <col min="15" max="15" width="8.7265625" style="218" bestFit="1" customWidth="1"/>
    <col min="16" max="16" width="8.1796875" style="218" customWidth="1"/>
    <col min="17" max="17" width="7.26953125" style="218" bestFit="1" customWidth="1"/>
    <col min="18" max="18" width="7.26953125" style="218" customWidth="1"/>
    <col min="19" max="16384" width="11.453125" style="218"/>
  </cols>
  <sheetData>
    <row r="2" spans="2:11" ht="18.5">
      <c r="B2" s="216" t="s">
        <v>125</v>
      </c>
      <c r="C2" s="217"/>
      <c r="D2" s="217"/>
      <c r="G2" s="257">
        <f>+G3-G4</f>
        <v>0</v>
      </c>
    </row>
    <row r="3" spans="2:11">
      <c r="B3" s="252"/>
      <c r="C3" s="242"/>
      <c r="G3" s="219"/>
      <c r="H3" s="219"/>
      <c r="I3" s="219"/>
    </row>
    <row r="4" spans="2:11">
      <c r="B4" s="252"/>
      <c r="C4" s="242"/>
      <c r="G4" s="219"/>
      <c r="H4" s="219">
        <v>1000000000</v>
      </c>
    </row>
    <row r="5" spans="2:11">
      <c r="B5" s="252"/>
      <c r="C5" s="242"/>
      <c r="G5" s="219"/>
      <c r="H5" s="219"/>
      <c r="K5" s="120"/>
    </row>
    <row r="6" spans="2:11">
      <c r="B6" s="252"/>
      <c r="C6" s="242"/>
      <c r="K6" s="120"/>
    </row>
    <row r="7" spans="2:11">
      <c r="B7" s="247"/>
      <c r="C7" s="220"/>
      <c r="D7" s="220"/>
      <c r="E7" s="220"/>
      <c r="F7" s="220"/>
      <c r="G7" s="221" t="s">
        <v>126</v>
      </c>
      <c r="H7" s="220"/>
      <c r="I7" s="220"/>
      <c r="J7" s="220"/>
      <c r="K7" s="121"/>
    </row>
    <row r="8" spans="2:11" ht="22.5" customHeight="1">
      <c r="B8" s="222" t="s">
        <v>206</v>
      </c>
      <c r="C8" s="106">
        <f>+G16</f>
        <v>105928.67164474119</v>
      </c>
      <c r="D8" s="106"/>
      <c r="E8" s="220"/>
      <c r="F8" s="220"/>
      <c r="G8" s="223" t="s">
        <v>200</v>
      </c>
      <c r="H8" s="223" t="s">
        <v>201</v>
      </c>
      <c r="I8" s="224" t="s">
        <v>106</v>
      </c>
      <c r="J8" s="220"/>
      <c r="K8" s="121"/>
    </row>
    <row r="9" spans="2:11" ht="15" customHeight="1">
      <c r="B9" s="220" t="s">
        <v>107</v>
      </c>
      <c r="C9" s="253">
        <f>+C8-D9</f>
        <v>57623.864076536011</v>
      </c>
      <c r="D9" s="258">
        <f>-I9</f>
        <v>48304.807568205179</v>
      </c>
      <c r="E9" s="220"/>
      <c r="F9" s="220"/>
      <c r="G9" s="219">
        <v>11752.785486094102</v>
      </c>
      <c r="H9" s="219">
        <v>-36552.022082111078</v>
      </c>
      <c r="I9" s="157">
        <f t="shared" ref="I9:I15" si="0">+H9-G9</f>
        <v>-48304.807568205179</v>
      </c>
      <c r="J9" s="220"/>
      <c r="K9" s="121"/>
    </row>
    <row r="10" spans="2:11">
      <c r="B10" s="220" t="s">
        <v>108</v>
      </c>
      <c r="C10" s="253">
        <f>+C9+D9</f>
        <v>105928.67164474119</v>
      </c>
      <c r="D10" s="259">
        <f>I10</f>
        <v>17138.029284696582</v>
      </c>
      <c r="E10" s="220"/>
      <c r="F10" s="220"/>
      <c r="G10" s="219">
        <v>-10715.209766705873</v>
      </c>
      <c r="H10" s="219">
        <v>6422.8195179907098</v>
      </c>
      <c r="I10" s="157">
        <f t="shared" si="0"/>
        <v>17138.029284696582</v>
      </c>
      <c r="J10" s="220"/>
      <c r="K10" s="121"/>
    </row>
    <row r="11" spans="2:11">
      <c r="B11" s="220" t="s">
        <v>109</v>
      </c>
      <c r="C11" s="253">
        <f>+C10+D10</f>
        <v>123066.70092943776</v>
      </c>
      <c r="D11" s="259">
        <f>I11</f>
        <v>8263.3973669022726</v>
      </c>
      <c r="E11" s="220"/>
      <c r="F11" s="220"/>
      <c r="G11" s="219">
        <v>-497.230525</v>
      </c>
      <c r="H11" s="219">
        <v>7766.1668419022726</v>
      </c>
      <c r="I11" s="157">
        <f t="shared" si="0"/>
        <v>8263.3973669022726</v>
      </c>
      <c r="J11" s="220"/>
      <c r="K11" s="121"/>
    </row>
    <row r="12" spans="2:11">
      <c r="B12" s="220" t="s">
        <v>110</v>
      </c>
      <c r="C12" s="253">
        <f>+C11+D11-D12</f>
        <v>101939.15603234003</v>
      </c>
      <c r="D12" s="258">
        <f>-I12</f>
        <v>29390.942264000001</v>
      </c>
      <c r="E12" s="220"/>
      <c r="F12" s="220"/>
      <c r="G12" s="219">
        <v>-395.97735799999998</v>
      </c>
      <c r="H12" s="219">
        <v>-29786.919622000001</v>
      </c>
      <c r="I12" s="157">
        <f t="shared" si="0"/>
        <v>-29390.942264000001</v>
      </c>
      <c r="J12" s="220"/>
      <c r="K12" s="121"/>
    </row>
    <row r="13" spans="2:11">
      <c r="B13" s="220" t="s">
        <v>159</v>
      </c>
      <c r="C13" s="253">
        <f>+C12+D12</f>
        <v>131330.09829634003</v>
      </c>
      <c r="D13" s="259">
        <f>I13</f>
        <v>15995.513644182389</v>
      </c>
      <c r="E13" s="220"/>
      <c r="F13" s="220"/>
      <c r="G13" s="219">
        <v>26221.785820176567</v>
      </c>
      <c r="H13" s="219">
        <v>42217.299464358955</v>
      </c>
      <c r="I13" s="157">
        <f t="shared" si="0"/>
        <v>15995.513644182389</v>
      </c>
      <c r="J13" s="220"/>
      <c r="K13" s="121"/>
    </row>
    <row r="14" spans="2:11">
      <c r="B14" s="220" t="s">
        <v>111</v>
      </c>
      <c r="C14" s="253">
        <f>+C13-D14+D13</f>
        <v>134578.17549493548</v>
      </c>
      <c r="D14" s="258">
        <f>-I14</f>
        <v>12747.436445586936</v>
      </c>
      <c r="E14" s="238"/>
      <c r="F14" s="238"/>
      <c r="G14" s="219">
        <v>-76535.812957468195</v>
      </c>
      <c r="H14" s="219">
        <v>-89283.249403055132</v>
      </c>
      <c r="I14" s="157">
        <f t="shared" si="0"/>
        <v>-12747.436445586936</v>
      </c>
      <c r="J14" s="220"/>
      <c r="K14" s="121"/>
    </row>
    <row r="15" spans="2:11">
      <c r="B15" s="227" t="s">
        <v>162</v>
      </c>
      <c r="C15" s="253">
        <f>+C14+D14</f>
        <v>147325.61194052242</v>
      </c>
      <c r="D15" s="259">
        <f>+I15</f>
        <v>63797.492500355409</v>
      </c>
      <c r="E15" s="220"/>
      <c r="F15" s="220"/>
      <c r="G15" s="219">
        <v>156098.33094564459</v>
      </c>
      <c r="H15" s="219">
        <v>219895.82344599999</v>
      </c>
      <c r="I15" s="157">
        <f t="shared" si="0"/>
        <v>63797.492500355409</v>
      </c>
      <c r="J15" s="220"/>
      <c r="K15" s="121"/>
    </row>
    <row r="16" spans="2:11">
      <c r="B16" s="222" t="s">
        <v>207</v>
      </c>
      <c r="C16" s="119">
        <f>+C8-D9+D10+D11-D12+D13-D14+D15</f>
        <v>120679.91816308572</v>
      </c>
      <c r="D16" s="108"/>
      <c r="E16" s="220"/>
      <c r="F16" s="220"/>
      <c r="G16" s="109">
        <f>SUM(G9:G15)</f>
        <v>105928.67164474119</v>
      </c>
      <c r="H16" s="109">
        <f>SUM(H9:H15)</f>
        <v>120679.91816308572</v>
      </c>
      <c r="I16" s="255">
        <f>SUM(I9:I15)</f>
        <v>14751.246518344531</v>
      </c>
      <c r="J16" s="220"/>
      <c r="K16" s="122"/>
    </row>
    <row r="17" spans="2:23">
      <c r="B17" s="222" t="s">
        <v>203</v>
      </c>
      <c r="C17" s="219">
        <v>9553.4413309173578</v>
      </c>
      <c r="D17" s="106"/>
      <c r="E17" s="106"/>
      <c r="F17" s="106"/>
      <c r="G17" s="106"/>
      <c r="H17" s="106"/>
      <c r="I17" s="106"/>
      <c r="J17" s="106"/>
      <c r="K17" s="123"/>
      <c r="M17" s="233" t="s">
        <v>112</v>
      </c>
    </row>
    <row r="18" spans="2:23" ht="15.5">
      <c r="C18" s="110"/>
      <c r="D18" s="229"/>
      <c r="E18" s="220"/>
      <c r="F18" s="220"/>
      <c r="G18" s="114"/>
      <c r="H18" s="111"/>
      <c r="I18" s="114"/>
      <c r="J18" s="114"/>
      <c r="K18" s="121"/>
      <c r="M18" s="235" t="s">
        <v>113</v>
      </c>
      <c r="N18" s="235" t="s">
        <v>114</v>
      </c>
    </row>
    <row r="19" spans="2:23">
      <c r="C19" s="114">
        <f>+H16</f>
        <v>120679.91816308572</v>
      </c>
      <c r="D19" s="220"/>
      <c r="E19" s="226"/>
      <c r="F19" s="220"/>
      <c r="G19" s="114"/>
      <c r="H19" s="114"/>
      <c r="I19" s="114"/>
      <c r="J19" s="114"/>
      <c r="K19" s="121"/>
      <c r="M19" s="112">
        <f>IF(G16&lt;0,-((H16/G16)-1),(H16/G16)-1)*100</f>
        <v>13.925640989643107</v>
      </c>
      <c r="N19" s="112">
        <f>IF(ISERR(1+(H16-C17)/ABS(C17)),"N/A",1+(H16-C17)/ABS(C17))*100</f>
        <v>1263.2088687511475</v>
      </c>
    </row>
    <row r="20" spans="2:23">
      <c r="C20" s="114">
        <f>+C16-C19</f>
        <v>0</v>
      </c>
      <c r="D20" s="229"/>
      <c r="E20" s="220"/>
      <c r="F20" s="220"/>
      <c r="G20" s="114"/>
      <c r="H20" s="124">
        <f>105929-48305+17138+8263-29391+15996-12747+63797</f>
        <v>120680</v>
      </c>
      <c r="I20" s="114"/>
      <c r="J20" s="114"/>
      <c r="K20" s="220"/>
      <c r="M20" s="260"/>
    </row>
    <row r="21" spans="2:23">
      <c r="B21" s="257"/>
      <c r="C21" s="237"/>
      <c r="D21" s="229"/>
      <c r="E21" s="220"/>
      <c r="F21" s="220"/>
      <c r="G21" s="114"/>
      <c r="H21" s="114">
        <f>+H16-H20</f>
        <v>-8.1836914279847406E-2</v>
      </c>
      <c r="I21" s="114"/>
      <c r="J21" s="114"/>
      <c r="K21" s="220"/>
    </row>
    <row r="22" spans="2:23">
      <c r="C22" s="237"/>
      <c r="D22" s="229"/>
      <c r="E22" s="220"/>
      <c r="F22" s="220"/>
      <c r="G22" s="114"/>
      <c r="H22" s="114"/>
      <c r="I22" s="114"/>
      <c r="J22" s="114"/>
      <c r="K22" s="220"/>
    </row>
    <row r="23" spans="2:23">
      <c r="C23" s="220"/>
      <c r="D23" s="220"/>
      <c r="E23" s="220"/>
      <c r="F23" s="220"/>
      <c r="G23" s="114"/>
      <c r="H23" s="114"/>
      <c r="I23" s="114"/>
      <c r="J23" s="114"/>
      <c r="K23" s="220"/>
    </row>
    <row r="24" spans="2:23">
      <c r="M24" s="220"/>
      <c r="N24" s="220"/>
      <c r="O24" s="220"/>
      <c r="P24" s="220"/>
      <c r="Q24" s="220"/>
      <c r="R24" s="220"/>
      <c r="S24" s="220"/>
      <c r="T24" s="220"/>
      <c r="U24" s="220"/>
      <c r="V24" s="220"/>
    </row>
    <row r="25" spans="2:23">
      <c r="M25" s="220"/>
      <c r="N25" s="240"/>
      <c r="O25" s="240"/>
      <c r="P25" s="240"/>
      <c r="Q25" s="240"/>
      <c r="R25" s="220"/>
      <c r="S25" s="220"/>
      <c r="T25" s="220"/>
      <c r="U25" s="220"/>
      <c r="V25" s="220"/>
      <c r="W25" s="220"/>
    </row>
    <row r="26" spans="2:23">
      <c r="M26" s="220"/>
      <c r="N26" s="113"/>
      <c r="O26" s="113"/>
      <c r="P26" s="113"/>
      <c r="Q26" s="113"/>
      <c r="R26" s="220"/>
      <c r="S26" s="220"/>
      <c r="T26" s="220"/>
      <c r="U26" s="220"/>
      <c r="V26" s="220"/>
      <c r="W26" s="220"/>
    </row>
    <row r="27" spans="2:23">
      <c r="M27" s="220"/>
      <c r="N27" s="113"/>
      <c r="P27" s="113"/>
      <c r="Q27" s="113"/>
      <c r="R27" s="220"/>
      <c r="S27" s="220"/>
      <c r="T27" s="220"/>
      <c r="U27" s="220"/>
      <c r="V27" s="220"/>
    </row>
    <row r="28" spans="2:23">
      <c r="M28" s="220"/>
      <c r="N28" s="113"/>
      <c r="O28" s="113"/>
      <c r="P28" s="113"/>
      <c r="Q28" s="113"/>
      <c r="R28" s="220"/>
      <c r="S28" s="220"/>
      <c r="T28" s="220"/>
      <c r="U28" s="220"/>
      <c r="V28" s="220"/>
    </row>
    <row r="29" spans="2:23">
      <c r="M29" s="220"/>
      <c r="N29" s="113"/>
      <c r="O29" s="113"/>
      <c r="P29" s="113"/>
      <c r="Q29" s="113"/>
      <c r="R29" s="220"/>
      <c r="S29" s="220"/>
      <c r="T29" s="220"/>
      <c r="U29" s="220"/>
      <c r="V29" s="220"/>
    </row>
    <row r="30" spans="2:23">
      <c r="M30" s="220"/>
      <c r="N30" s="113"/>
      <c r="O30" s="113"/>
      <c r="P30" s="113"/>
      <c r="Q30" s="113"/>
      <c r="R30" s="220"/>
      <c r="S30" s="220"/>
      <c r="T30" s="220"/>
      <c r="U30" s="220"/>
      <c r="V30" s="220"/>
    </row>
    <row r="31" spans="2:23">
      <c r="N31" s="113"/>
      <c r="O31" s="113"/>
      <c r="P31" s="113"/>
      <c r="Q31" s="113"/>
    </row>
    <row r="32" spans="2:23">
      <c r="N32" s="113"/>
      <c r="O32" s="113"/>
      <c r="P32" s="113"/>
      <c r="Q32" s="113"/>
    </row>
    <row r="33" spans="1:17">
      <c r="N33" s="113"/>
      <c r="O33" s="113"/>
      <c r="P33" s="113"/>
      <c r="Q33" s="113"/>
    </row>
    <row r="34" spans="1:17">
      <c r="C34" s="220"/>
      <c r="D34" s="220"/>
      <c r="E34" s="220"/>
      <c r="F34" s="220"/>
      <c r="G34" s="220"/>
      <c r="H34" s="220"/>
      <c r="I34" s="220"/>
      <c r="J34" s="220"/>
      <c r="K34" s="220"/>
      <c r="L34" s="220"/>
    </row>
    <row r="35" spans="1:17">
      <c r="B35" s="220"/>
      <c r="C35" s="220"/>
      <c r="D35" s="220"/>
      <c r="E35" s="220"/>
      <c r="F35" s="220"/>
      <c r="G35" s="220"/>
      <c r="H35" s="220"/>
      <c r="I35" s="220"/>
      <c r="J35" s="220"/>
      <c r="K35" s="220"/>
      <c r="L35" s="220"/>
    </row>
    <row r="36" spans="1:17">
      <c r="B36" s="220"/>
      <c r="C36" s="220"/>
      <c r="D36" s="220"/>
      <c r="E36" s="220"/>
      <c r="F36" s="220"/>
      <c r="G36" s="220"/>
      <c r="H36" s="220"/>
      <c r="I36" s="220"/>
      <c r="J36" s="220"/>
      <c r="K36" s="220"/>
      <c r="L36" s="220"/>
    </row>
    <row r="37" spans="1:17">
      <c r="B37" s="220"/>
      <c r="C37" s="220"/>
      <c r="D37" s="220"/>
      <c r="E37" s="220"/>
      <c r="F37" s="220"/>
      <c r="G37" s="220"/>
      <c r="H37" s="220"/>
      <c r="I37" s="220"/>
      <c r="J37" s="220"/>
      <c r="K37" s="220"/>
      <c r="L37" s="220"/>
    </row>
    <row r="38" spans="1:17">
      <c r="B38" s="220"/>
      <c r="C38" s="220"/>
      <c r="D38" s="220"/>
      <c r="E38" s="220"/>
      <c r="F38" s="220"/>
      <c r="G38" s="220"/>
      <c r="H38" s="220"/>
      <c r="I38" s="220"/>
      <c r="J38" s="220"/>
      <c r="K38" s="220"/>
      <c r="L38" s="220"/>
    </row>
    <row r="39" spans="1:17">
      <c r="B39" s="220"/>
      <c r="C39" s="220"/>
      <c r="D39" s="220"/>
      <c r="E39" s="220"/>
      <c r="F39" s="220"/>
      <c r="G39" s="220"/>
      <c r="H39" s="220"/>
      <c r="I39" s="220"/>
      <c r="J39" s="220"/>
      <c r="K39" s="220"/>
      <c r="L39" s="220"/>
    </row>
    <row r="40" spans="1:17">
      <c r="B40" s="220"/>
      <c r="C40" s="220"/>
      <c r="D40" s="220"/>
      <c r="E40" s="220"/>
      <c r="F40" s="220"/>
      <c r="G40" s="220"/>
      <c r="H40" s="220"/>
      <c r="I40" s="220"/>
      <c r="J40" s="220"/>
      <c r="K40" s="220"/>
      <c r="L40" s="220"/>
    </row>
    <row r="41" spans="1:17">
      <c r="B41" s="220"/>
      <c r="C41" s="220"/>
      <c r="D41" s="220"/>
      <c r="E41" s="220"/>
      <c r="F41" s="220"/>
      <c r="G41" s="220"/>
      <c r="H41" s="220"/>
      <c r="I41" s="220"/>
      <c r="J41" s="220"/>
      <c r="K41" s="220"/>
      <c r="L41" s="220"/>
    </row>
    <row r="42" spans="1:17">
      <c r="B42" s="220"/>
      <c r="C42" s="220"/>
      <c r="D42" s="220"/>
      <c r="E42" s="220"/>
      <c r="F42" s="220"/>
      <c r="G42" s="220"/>
      <c r="H42" s="220"/>
      <c r="I42" s="220"/>
      <c r="J42" s="220"/>
      <c r="K42" s="220"/>
      <c r="L42" s="220"/>
    </row>
    <row r="43" spans="1:17">
      <c r="B43" s="220"/>
      <c r="C43" s="220"/>
      <c r="D43" s="220"/>
      <c r="E43" s="220"/>
      <c r="F43" s="220"/>
      <c r="G43" s="220"/>
      <c r="H43" s="220"/>
      <c r="I43" s="220"/>
      <c r="J43" s="220"/>
      <c r="K43" s="220"/>
      <c r="L43" s="220"/>
    </row>
    <row r="44" spans="1:17" hidden="1">
      <c r="B44" s="241" t="s">
        <v>115</v>
      </c>
      <c r="C44" s="242" t="s">
        <v>116</v>
      </c>
      <c r="G44" s="220"/>
    </row>
    <row r="45" spans="1:17" hidden="1">
      <c r="C45" s="220"/>
      <c r="D45" s="220"/>
      <c r="E45" s="220"/>
      <c r="F45" s="220"/>
      <c r="G45" s="220"/>
      <c r="H45" s="220"/>
      <c r="I45" s="220"/>
      <c r="J45" s="220"/>
      <c r="K45" s="220"/>
      <c r="L45" s="220"/>
    </row>
    <row r="46" spans="1:17" hidden="1">
      <c r="A46" s="220"/>
      <c r="B46" s="230" t="s">
        <v>160</v>
      </c>
      <c r="C46" s="243">
        <v>1670.7905559040601</v>
      </c>
      <c r="D46" s="220"/>
      <c r="E46" s="220"/>
      <c r="F46" s="220"/>
      <c r="G46" s="220" t="s">
        <v>117</v>
      </c>
      <c r="H46" s="220" t="s">
        <v>118</v>
      </c>
      <c r="I46" s="220" t="s">
        <v>106</v>
      </c>
      <c r="J46" s="220" t="s">
        <v>119</v>
      </c>
      <c r="K46" s="220">
        <v>1639</v>
      </c>
      <c r="L46" s="220"/>
    </row>
    <row r="47" spans="1:17" hidden="1">
      <c r="B47" s="220" t="s">
        <v>120</v>
      </c>
      <c r="C47" s="237">
        <f>C46</f>
        <v>1670.7905559040601</v>
      </c>
      <c r="D47" s="229">
        <f>I47</f>
        <v>52.83612692600002</v>
      </c>
      <c r="E47" s="220"/>
      <c r="F47" s="220"/>
      <c r="G47" s="244">
        <v>821.91093747000002</v>
      </c>
      <c r="H47" s="244">
        <v>874.74706439600004</v>
      </c>
      <c r="I47" s="220">
        <f>+H47-G47</f>
        <v>52.83612692600002</v>
      </c>
      <c r="J47" s="110">
        <f>(1+(H47-G47)/ABS(G47))</f>
        <v>1.0642844918071535</v>
      </c>
      <c r="K47" s="220">
        <v>-59</v>
      </c>
      <c r="L47" s="229"/>
      <c r="M47" s="245"/>
    </row>
    <row r="48" spans="1:17" hidden="1">
      <c r="B48" s="220" t="s">
        <v>121</v>
      </c>
      <c r="C48" s="237">
        <f>+C47+D47-D48</f>
        <v>1695.566309976133</v>
      </c>
      <c r="D48" s="229">
        <f>-I48</f>
        <v>28.060372853927049</v>
      </c>
      <c r="E48" s="220"/>
      <c r="F48" s="220"/>
      <c r="G48" s="244">
        <v>364.62711345000002</v>
      </c>
      <c r="H48" s="244">
        <v>336.56674059607298</v>
      </c>
      <c r="I48" s="220">
        <f>+H48-G48</f>
        <v>-28.060372853927049</v>
      </c>
      <c r="J48" s="110">
        <f>(1+(H48-G48)/ABS(G48))</f>
        <v>0.92304364700576536</v>
      </c>
      <c r="K48" s="220">
        <v>-52</v>
      </c>
      <c r="L48" s="229"/>
    </row>
    <row r="49" spans="2:23" hidden="1">
      <c r="B49" s="220" t="s">
        <v>122</v>
      </c>
      <c r="C49" s="237">
        <f>+C48-D49</f>
        <v>1663.1205314935889</v>
      </c>
      <c r="D49" s="229">
        <f>-I49</f>
        <v>32.445778482543972</v>
      </c>
      <c r="E49" s="220"/>
      <c r="F49" s="220"/>
      <c r="G49" s="244">
        <v>411.80162351856097</v>
      </c>
      <c r="H49" s="244">
        <v>379.355845036017</v>
      </c>
      <c r="I49" s="220">
        <f>+H49-G49</f>
        <v>-32.445778482543972</v>
      </c>
      <c r="J49" s="110">
        <f>(1+(H49-G49)/ABS(G49))</f>
        <v>0.92121017346819289</v>
      </c>
      <c r="K49" s="220">
        <v>-51</v>
      </c>
      <c r="L49" s="229"/>
    </row>
    <row r="50" spans="2:23" hidden="1">
      <c r="B50" s="220" t="s">
        <v>103</v>
      </c>
      <c r="C50" s="237">
        <f>C49-D50</f>
        <v>1636.1470000000645</v>
      </c>
      <c r="D50" s="229">
        <f>-I50</f>
        <v>26.973531493524405</v>
      </c>
      <c r="E50" s="220"/>
      <c r="F50" s="220"/>
      <c r="G50" s="244">
        <v>72.450881465500004</v>
      </c>
      <c r="H50" s="244">
        <v>45.477349971975599</v>
      </c>
      <c r="I50" s="220">
        <f>+H50-G50</f>
        <v>-26.973531493524405</v>
      </c>
      <c r="J50" s="110">
        <f>(1+(H50-G50)/ABS(G50))</f>
        <v>0.6276990569622154</v>
      </c>
      <c r="K50" s="220">
        <v>-4</v>
      </c>
      <c r="L50" s="229"/>
    </row>
    <row r="51" spans="2:23" hidden="1">
      <c r="B51" s="230" t="s">
        <v>161</v>
      </c>
      <c r="C51" s="246">
        <f>+C46+I47+I48+I49+I50</f>
        <v>1636.1470000000645</v>
      </c>
      <c r="D51" s="239"/>
      <c r="E51" s="220"/>
      <c r="F51" s="220"/>
      <c r="G51" s="220"/>
      <c r="H51" s="220"/>
      <c r="I51" s="220"/>
      <c r="J51" s="110">
        <f>(1+(C51-C46)/ABS(C46))</f>
        <v>0.97926517133965363</v>
      </c>
      <c r="K51" s="230">
        <f>SUM(K46:K50)</f>
        <v>1473</v>
      </c>
      <c r="L51" s="220"/>
    </row>
    <row r="52" spans="2:23" hidden="1">
      <c r="B52" s="247"/>
      <c r="C52" s="243">
        <v>1636.14700000007</v>
      </c>
      <c r="D52" s="220"/>
      <c r="E52" s="220"/>
      <c r="F52" s="220"/>
      <c r="G52" s="220"/>
      <c r="H52" s="220"/>
      <c r="I52" s="220"/>
      <c r="J52" s="110">
        <f>+C51/C46</f>
        <v>0.97926517133965363</v>
      </c>
      <c r="K52" s="220"/>
      <c r="L52" s="220"/>
    </row>
    <row r="53" spans="2:23" hidden="1">
      <c r="C53" s="248">
        <f>+C52-C51</f>
        <v>5.4569682106375694E-12</v>
      </c>
      <c r="D53" s="220"/>
      <c r="E53" s="220"/>
      <c r="F53" s="220"/>
      <c r="G53" s="220"/>
      <c r="H53" s="220"/>
      <c r="I53" s="220"/>
      <c r="J53" s="115"/>
      <c r="K53" s="220"/>
      <c r="L53" s="220"/>
    </row>
    <row r="54" spans="2:23" hidden="1">
      <c r="C54" s="220"/>
      <c r="D54" s="220"/>
      <c r="E54" s="220"/>
      <c r="F54" s="220"/>
      <c r="G54" s="220"/>
      <c r="H54" s="220"/>
      <c r="I54" s="220"/>
      <c r="J54" s="220"/>
      <c r="K54" s="220"/>
      <c r="L54" s="220"/>
    </row>
    <row r="55" spans="2:23" hidden="1"/>
    <row r="56" spans="2:23" hidden="1">
      <c r="N56" s="243">
        <v>1670.7905559040601</v>
      </c>
      <c r="O56" s="243">
        <v>1670.7905559040601</v>
      </c>
      <c r="P56" s="243">
        <v>1670.7905559040601</v>
      </c>
      <c r="Q56" s="243">
        <v>1670.7905559040601</v>
      </c>
      <c r="R56" s="220"/>
      <c r="S56" s="220"/>
      <c r="T56" s="220"/>
      <c r="U56" s="220"/>
      <c r="V56" s="220"/>
      <c r="W56" s="220"/>
    </row>
    <row r="57" spans="2:23" hidden="1">
      <c r="N57" s="229">
        <v>52.83612692600002</v>
      </c>
      <c r="O57" s="229">
        <v>52.83612692600002</v>
      </c>
      <c r="P57" s="229">
        <v>52.83612692600002</v>
      </c>
      <c r="Q57" s="229">
        <v>52.83612692600002</v>
      </c>
    </row>
    <row r="58" spans="2:23" hidden="1">
      <c r="N58" s="220"/>
      <c r="O58" s="229">
        <v>-28.060372853927049</v>
      </c>
      <c r="P58" s="229">
        <v>-28.060372853927049</v>
      </c>
      <c r="Q58" s="229">
        <v>-28.060372853927049</v>
      </c>
    </row>
    <row r="59" spans="2:23" hidden="1">
      <c r="N59" s="220"/>
      <c r="O59" s="220"/>
      <c r="P59" s="229">
        <v>-32.445778482543972</v>
      </c>
      <c r="Q59" s="229">
        <v>-32.445778482543972</v>
      </c>
    </row>
    <row r="60" spans="2:23" hidden="1">
      <c r="N60" s="220"/>
      <c r="O60" s="220"/>
      <c r="P60" s="220"/>
      <c r="Q60" s="229">
        <v>-26.973531493524405</v>
      </c>
    </row>
    <row r="61" spans="2:23" ht="15" hidden="1" thickBot="1">
      <c r="N61" s="116">
        <f>SUM(N56:N60)</f>
        <v>1723.62668283006</v>
      </c>
      <c r="O61" s="116">
        <f>SUM(O56:O60)</f>
        <v>1695.566309976133</v>
      </c>
      <c r="P61" s="116">
        <f>SUM(P56:P60)</f>
        <v>1663.1205314935889</v>
      </c>
      <c r="Q61" s="116">
        <f>SUM(Q56:Q60)</f>
        <v>1636.1470000000645</v>
      </c>
    </row>
    <row r="62" spans="2:23" hidden="1">
      <c r="N62" s="220"/>
      <c r="O62" s="220"/>
      <c r="P62" s="220"/>
      <c r="Q62" s="220"/>
    </row>
    <row r="63" spans="2:23" hidden="1">
      <c r="N63" s="220"/>
      <c r="O63" s="220"/>
      <c r="P63" s="220"/>
      <c r="Q63" s="220"/>
    </row>
    <row r="64" spans="2:23" hidden="1"/>
    <row r="65" spans="2:18" hidden="1"/>
    <row r="66" spans="2:18" hidden="1"/>
    <row r="67" spans="2:18" hidden="1"/>
    <row r="68" spans="2:18" hidden="1">
      <c r="B68" s="241" t="s">
        <v>123</v>
      </c>
      <c r="C68" s="242" t="s">
        <v>116</v>
      </c>
    </row>
    <row r="69" spans="2:18" hidden="1">
      <c r="C69" s="220"/>
      <c r="D69" s="220"/>
      <c r="E69" s="220"/>
      <c r="F69" s="220"/>
      <c r="G69" s="220"/>
      <c r="H69" s="220"/>
      <c r="I69" s="220"/>
      <c r="J69" s="220"/>
      <c r="K69" s="220"/>
    </row>
    <row r="70" spans="2:18" hidden="1">
      <c r="B70" s="230" t="s">
        <v>160</v>
      </c>
      <c r="C70" s="243">
        <v>258.56819704383702</v>
      </c>
      <c r="D70" s="220"/>
      <c r="E70" s="220"/>
      <c r="F70" s="220"/>
      <c r="G70" s="220" t="s">
        <v>117</v>
      </c>
      <c r="H70" s="220" t="s">
        <v>118</v>
      </c>
      <c r="I70" s="220" t="s">
        <v>106</v>
      </c>
      <c r="J70" s="220" t="s">
        <v>119</v>
      </c>
      <c r="K70" s="220">
        <v>311</v>
      </c>
    </row>
    <row r="71" spans="2:18" hidden="1">
      <c r="B71" s="220" t="s">
        <v>120</v>
      </c>
      <c r="C71" s="237">
        <f>+C70</f>
        <v>258.56819704383702</v>
      </c>
      <c r="D71" s="229">
        <f>I71</f>
        <v>30.899603648679999</v>
      </c>
      <c r="E71" s="220"/>
      <c r="F71" s="220"/>
      <c r="G71" s="244">
        <v>230.643116080455</v>
      </c>
      <c r="H71" s="244">
        <v>261.542719729135</v>
      </c>
      <c r="I71" s="220">
        <f>+H71-G71</f>
        <v>30.899603648679999</v>
      </c>
      <c r="J71" s="110">
        <f>(1+(H71-G71)/ABS(G71))</f>
        <v>1.1339714974970305</v>
      </c>
      <c r="K71" s="220">
        <v>13</v>
      </c>
      <c r="L71" s="245"/>
    </row>
    <row r="72" spans="2:18" hidden="1">
      <c r="B72" s="220" t="s">
        <v>121</v>
      </c>
      <c r="C72" s="237">
        <f>+C71+D71-D72</f>
        <v>280.35849533998254</v>
      </c>
      <c r="D72" s="229">
        <f>-I72</f>
        <v>9.1093053525344594</v>
      </c>
      <c r="E72" s="220"/>
      <c r="F72" s="220"/>
      <c r="G72" s="244">
        <v>-6.0782759230000396</v>
      </c>
      <c r="H72" s="244">
        <v>-15.1875812755345</v>
      </c>
      <c r="I72" s="220">
        <f>+H72-G72</f>
        <v>-9.1093053525344594</v>
      </c>
      <c r="J72" s="110">
        <f>(1+(H72-G72)/ABS(G72))</f>
        <v>-0.49866598159275433</v>
      </c>
      <c r="K72" s="220">
        <v>-23</v>
      </c>
    </row>
    <row r="73" spans="2:18" hidden="1">
      <c r="B73" s="220" t="s">
        <v>122</v>
      </c>
      <c r="C73" s="237">
        <f>C72</f>
        <v>280.35849533998254</v>
      </c>
      <c r="D73" s="229">
        <f>I73</f>
        <v>13.11912145225989</v>
      </c>
      <c r="E73" s="220"/>
      <c r="F73" s="220"/>
      <c r="G73" s="244">
        <v>82.048718518405707</v>
      </c>
      <c r="H73" s="244">
        <v>95.167839970665597</v>
      </c>
      <c r="I73" s="220">
        <f>+H73-G73</f>
        <v>13.11912145225989</v>
      </c>
      <c r="J73" s="110">
        <f>(1+(H73-G73)/ABS(G73))</f>
        <v>1.1598942882857692</v>
      </c>
      <c r="K73" s="220">
        <v>-40</v>
      </c>
    </row>
    <row r="74" spans="2:18" hidden="1">
      <c r="B74" s="220" t="s">
        <v>103</v>
      </c>
      <c r="C74" s="237">
        <f>+C73+D73</f>
        <v>293.47761679224243</v>
      </c>
      <c r="D74" s="229">
        <f>I74</f>
        <v>1.7943208710448033</v>
      </c>
      <c r="E74" s="220"/>
      <c r="F74" s="220"/>
      <c r="G74" s="244">
        <v>-48.045361632023301</v>
      </c>
      <c r="H74" s="244">
        <v>-46.251040760978498</v>
      </c>
      <c r="I74" s="220">
        <f>+H74-G74</f>
        <v>1.7943208710448033</v>
      </c>
      <c r="J74" s="110">
        <f>(1+(H74-G74)/ABS(G74))</f>
        <v>1.0373463912039502</v>
      </c>
      <c r="K74" s="220">
        <v>14</v>
      </c>
    </row>
    <row r="75" spans="2:18" hidden="1">
      <c r="B75" s="230" t="s">
        <v>161</v>
      </c>
      <c r="C75" s="237">
        <f>+C70+I71+I72+I73+I74</f>
        <v>295.27193766328725</v>
      </c>
      <c r="D75" s="239"/>
      <c r="E75" s="220"/>
      <c r="F75" s="220"/>
      <c r="G75" s="220"/>
      <c r="H75" s="220"/>
      <c r="I75" s="220"/>
      <c r="J75" s="110">
        <f>(1+(C75-C70)/ABS(C70))</f>
        <v>1.1419499421780304</v>
      </c>
      <c r="K75" s="230">
        <f>SUM(K70:K74)</f>
        <v>275</v>
      </c>
    </row>
    <row r="76" spans="2:18" hidden="1">
      <c r="B76" s="247"/>
      <c r="C76" s="249">
        <v>295.27191766328701</v>
      </c>
      <c r="D76" s="220"/>
      <c r="E76" s="220"/>
      <c r="F76" s="220"/>
      <c r="G76" s="220"/>
      <c r="H76" s="220"/>
      <c r="I76" s="220"/>
      <c r="J76" s="110">
        <f>+C75/C70</f>
        <v>1.1419499421780304</v>
      </c>
      <c r="K76" s="110"/>
    </row>
    <row r="77" spans="2:18" hidden="1">
      <c r="C77" s="250">
        <f>+C76-C75</f>
        <v>-2.0000000233721948E-5</v>
      </c>
      <c r="D77" s="220"/>
      <c r="E77" s="220"/>
      <c r="F77" s="220"/>
      <c r="G77" s="220"/>
      <c r="H77" s="220"/>
      <c r="I77" s="220"/>
      <c r="J77" s="110"/>
      <c r="K77" s="220"/>
      <c r="O77" s="220"/>
      <c r="P77" s="220"/>
      <c r="Q77" s="220"/>
      <c r="R77" s="220"/>
    </row>
    <row r="78" spans="2:18" hidden="1">
      <c r="C78" s="237"/>
      <c r="D78" s="220"/>
      <c r="E78" s="220"/>
      <c r="F78" s="220"/>
      <c r="G78" s="220"/>
      <c r="J78" s="117"/>
      <c r="O78" s="220"/>
      <c r="P78" s="220"/>
      <c r="Q78" s="220"/>
      <c r="R78" s="220"/>
    </row>
    <row r="79" spans="2:18" hidden="1">
      <c r="C79" s="245"/>
      <c r="J79" s="117"/>
      <c r="O79" s="220"/>
      <c r="P79" s="220"/>
      <c r="Q79" s="220"/>
      <c r="R79" s="220"/>
    </row>
    <row r="80" spans="2:18" hidden="1">
      <c r="O80" s="220"/>
      <c r="P80" s="220"/>
      <c r="Q80" s="220"/>
      <c r="R80" s="220"/>
    </row>
    <row r="81" spans="15:18" hidden="1">
      <c r="O81" s="220"/>
      <c r="P81" s="220"/>
      <c r="Q81" s="220"/>
      <c r="R81" s="220"/>
    </row>
    <row r="82" spans="15:18" hidden="1">
      <c r="O82" s="220"/>
      <c r="P82" s="220"/>
      <c r="Q82" s="220"/>
      <c r="R82" s="220"/>
    </row>
    <row r="83" spans="15:18" hidden="1">
      <c r="O83" s="243">
        <v>258.56819704383702</v>
      </c>
      <c r="P83" s="243">
        <v>258.56819704383702</v>
      </c>
      <c r="Q83" s="243">
        <v>258.56819704383702</v>
      </c>
      <c r="R83" s="243">
        <v>258.56819704383702</v>
      </c>
    </row>
    <row r="84" spans="15:18" hidden="1">
      <c r="O84" s="229">
        <v>30.899603648679999</v>
      </c>
      <c r="P84" s="229">
        <v>30.899603648679999</v>
      </c>
      <c r="Q84" s="229">
        <v>30.899603648679999</v>
      </c>
      <c r="R84" s="229">
        <v>30.899603648679999</v>
      </c>
    </row>
    <row r="85" spans="15:18" hidden="1">
      <c r="O85" s="220"/>
      <c r="P85" s="229">
        <v>-9.1093053525344594</v>
      </c>
      <c r="Q85" s="229">
        <v>-9.1093053525344594</v>
      </c>
      <c r="R85" s="229">
        <v>-9.1093053525344594</v>
      </c>
    </row>
    <row r="86" spans="15:18" hidden="1">
      <c r="O86" s="220"/>
      <c r="P86" s="220"/>
      <c r="Q86" s="229">
        <v>13.11912145225989</v>
      </c>
      <c r="R86" s="229">
        <v>13.11912145225989</v>
      </c>
    </row>
    <row r="87" spans="15:18" hidden="1">
      <c r="O87" s="220"/>
      <c r="P87" s="220"/>
      <c r="Q87" s="220"/>
      <c r="R87" s="229">
        <v>1.7943208710448033</v>
      </c>
    </row>
    <row r="88" spans="15:18" ht="15" hidden="1" thickBot="1">
      <c r="O88" s="116">
        <f>SUM(O83:O87)</f>
        <v>289.46780069251702</v>
      </c>
      <c r="P88" s="116">
        <f>SUM(P83:P87)</f>
        <v>280.35849533998254</v>
      </c>
      <c r="Q88" s="116">
        <f>SUM(Q83:Q87)</f>
        <v>293.47761679224243</v>
      </c>
      <c r="R88" s="116">
        <f>SUM(R83:R87)</f>
        <v>295.27193766328725</v>
      </c>
    </row>
    <row r="89" spans="15:18" hidden="1">
      <c r="O89" s="220"/>
      <c r="P89" s="220"/>
      <c r="Q89" s="220"/>
      <c r="R89" s="220"/>
    </row>
    <row r="90" spans="15:18" hidden="1">
      <c r="O90" s="220"/>
      <c r="P90" s="220"/>
      <c r="Q90" s="220"/>
      <c r="R90" s="220"/>
    </row>
    <row r="91" spans="15:18" hidden="1">
      <c r="O91" s="220"/>
      <c r="P91" s="220"/>
      <c r="Q91" s="220"/>
      <c r="R91" s="220"/>
    </row>
    <row r="92" spans="15:18" hidden="1">
      <c r="O92" s="220"/>
      <c r="P92" s="220"/>
      <c r="Q92" s="220"/>
      <c r="R92" s="220"/>
    </row>
    <row r="93" spans="15:18" hidden="1">
      <c r="O93" s="220"/>
      <c r="P93" s="220"/>
      <c r="Q93" s="220"/>
      <c r="R93" s="220"/>
    </row>
    <row r="94" spans="15:18" hidden="1">
      <c r="O94" s="220"/>
      <c r="P94" s="220"/>
      <c r="Q94" s="220"/>
      <c r="R94" s="220"/>
    </row>
    <row r="95" spans="15:18" hidden="1"/>
    <row r="96" spans="15:18" hidden="1"/>
    <row r="97" spans="10:10">
      <c r="J97"/>
    </row>
    <row r="104" spans="10:10">
      <c r="J104" s="247"/>
    </row>
  </sheetData>
  <pageMargins left="0.7" right="0.7" top="0.75" bottom="0.75" header="0.3" footer="0.3"/>
  <pageSetup orientation="portrait" r:id="rId1"/>
  <customProperties>
    <customPr name="EpmWorksheetKeyString_GU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81A10-9EDA-4455-A41B-E6BB756ABE59}">
  <dimension ref="A1:D66"/>
  <sheetViews>
    <sheetView showGridLines="0" zoomScaleNormal="100" workbookViewId="0"/>
  </sheetViews>
  <sheetFormatPr baseColWidth="10" defaultColWidth="11.453125" defaultRowHeight="15"/>
  <cols>
    <col min="1" max="1" width="91" style="409" bestFit="1" customWidth="1"/>
    <col min="2" max="2" width="11.453125" style="410"/>
    <col min="3" max="16384" width="11.453125" style="409"/>
  </cols>
  <sheetData>
    <row r="1" spans="1:4" s="410" customFormat="1" ht="22.5">
      <c r="A1" s="406" t="s">
        <v>0</v>
      </c>
    </row>
    <row r="2" spans="1:4" s="410" customFormat="1" ht="19">
      <c r="A2" s="408" t="s">
        <v>310</v>
      </c>
    </row>
    <row r="3" spans="1:4" s="410" customFormat="1">
      <c r="A3" s="499" t="s">
        <v>354</v>
      </c>
    </row>
    <row r="4" spans="1:4" s="410" customFormat="1" ht="15.5" thickBot="1">
      <c r="A4" s="411"/>
    </row>
    <row r="5" spans="1:4" ht="15.5" thickBot="1">
      <c r="A5" s="455"/>
      <c r="B5" s="455" t="s">
        <v>352</v>
      </c>
      <c r="C5" s="498">
        <v>44651</v>
      </c>
      <c r="D5" s="498">
        <v>44286</v>
      </c>
    </row>
    <row r="6" spans="1:4" ht="15.5" thickBot="1">
      <c r="A6" s="456" t="s">
        <v>191</v>
      </c>
      <c r="B6" s="457"/>
      <c r="C6" s="458"/>
      <c r="D6" s="459"/>
    </row>
    <row r="7" spans="1:4" ht="15.5" thickBot="1">
      <c r="A7" s="460" t="s">
        <v>325</v>
      </c>
      <c r="B7" s="461"/>
      <c r="C7" s="462">
        <v>171126</v>
      </c>
      <c r="D7" s="463">
        <v>118182</v>
      </c>
    </row>
    <row r="8" spans="1:4" ht="16" thickTop="1" thickBot="1">
      <c r="A8" s="464" t="s">
        <v>163</v>
      </c>
      <c r="B8" s="465"/>
      <c r="C8" s="466"/>
      <c r="D8" s="467"/>
    </row>
    <row r="9" spans="1:4">
      <c r="A9" s="468" t="s">
        <v>326</v>
      </c>
      <c r="B9" s="469">
        <v>30</v>
      </c>
      <c r="C9" s="470">
        <v>-131105</v>
      </c>
      <c r="D9" s="471">
        <v>-117528</v>
      </c>
    </row>
    <row r="10" spans="1:4">
      <c r="A10" s="472" t="s">
        <v>327</v>
      </c>
      <c r="B10" s="473">
        <v>10</v>
      </c>
      <c r="C10" s="474">
        <v>777</v>
      </c>
      <c r="D10" s="475">
        <v>1761</v>
      </c>
    </row>
    <row r="11" spans="1:4">
      <c r="A11" s="472" t="s">
        <v>328</v>
      </c>
      <c r="B11" s="473">
        <v>30</v>
      </c>
      <c r="C11" s="474">
        <v>-67063</v>
      </c>
      <c r="D11" s="475">
        <v>-50083</v>
      </c>
    </row>
    <row r="12" spans="1:4">
      <c r="A12" s="472" t="s">
        <v>267</v>
      </c>
      <c r="B12" s="476"/>
      <c r="C12" s="474">
        <v>-10725</v>
      </c>
      <c r="D12" s="475">
        <v>17080</v>
      </c>
    </row>
    <row r="13" spans="1:4">
      <c r="A13" s="472" t="s">
        <v>329</v>
      </c>
      <c r="B13" s="476"/>
      <c r="C13" s="474">
        <v>0</v>
      </c>
      <c r="D13" s="475">
        <v>0</v>
      </c>
    </row>
    <row r="14" spans="1:4">
      <c r="A14" s="472" t="s">
        <v>353</v>
      </c>
      <c r="B14" s="476"/>
      <c r="C14" s="474">
        <v>0</v>
      </c>
      <c r="D14" s="475">
        <v>15</v>
      </c>
    </row>
    <row r="15" spans="1:4">
      <c r="A15" s="472" t="s">
        <v>297</v>
      </c>
      <c r="B15" s="473">
        <v>30</v>
      </c>
      <c r="C15" s="474">
        <v>-21736</v>
      </c>
      <c r="D15" s="475">
        <v>-18447</v>
      </c>
    </row>
    <row r="16" spans="1:4">
      <c r="A16" s="477" t="s">
        <v>165</v>
      </c>
      <c r="B16" s="476"/>
      <c r="C16" s="474">
        <v>4412</v>
      </c>
      <c r="D16" s="475">
        <v>4400</v>
      </c>
    </row>
    <row r="17" spans="1:4">
      <c r="A17" s="477" t="s">
        <v>330</v>
      </c>
      <c r="B17" s="476"/>
      <c r="C17" s="474">
        <v>110</v>
      </c>
      <c r="D17" s="475">
        <v>100</v>
      </c>
    </row>
    <row r="18" spans="1:4">
      <c r="A18" s="477" t="s">
        <v>246</v>
      </c>
      <c r="B18" s="476"/>
      <c r="C18" s="474">
        <v>0</v>
      </c>
      <c r="D18" s="475">
        <v>0</v>
      </c>
    </row>
    <row r="19" spans="1:4">
      <c r="A19" s="472" t="s">
        <v>331</v>
      </c>
      <c r="B19" s="473">
        <v>36</v>
      </c>
      <c r="C19" s="474">
        <v>377</v>
      </c>
      <c r="D19" s="475">
        <v>-21</v>
      </c>
    </row>
    <row r="20" spans="1:4">
      <c r="A20" s="472" t="s">
        <v>332</v>
      </c>
      <c r="B20" s="476"/>
      <c r="C20" s="474">
        <v>-11</v>
      </c>
      <c r="D20" s="475">
        <v>-159</v>
      </c>
    </row>
    <row r="21" spans="1:4" ht="15.5" thickBot="1">
      <c r="A21" s="478"/>
      <c r="B21" s="479"/>
      <c r="C21" s="480">
        <f>SUM(C7:C20)</f>
        <v>-53838</v>
      </c>
      <c r="D21" s="481">
        <f>SUM(D7:D20)</f>
        <v>-44700</v>
      </c>
    </row>
    <row r="22" spans="1:4" ht="16" thickTop="1" thickBot="1">
      <c r="A22" s="456" t="s">
        <v>242</v>
      </c>
      <c r="B22" s="482"/>
      <c r="C22" s="483"/>
      <c r="D22" s="484"/>
    </row>
    <row r="23" spans="1:4">
      <c r="A23" s="472" t="s">
        <v>333</v>
      </c>
      <c r="B23" s="476"/>
      <c r="C23" s="474">
        <v>-3476</v>
      </c>
      <c r="D23" s="475">
        <v>-11717</v>
      </c>
    </row>
    <row r="24" spans="1:4">
      <c r="A24" s="472" t="s">
        <v>30</v>
      </c>
      <c r="B24" s="476"/>
      <c r="C24" s="474">
        <v>12508</v>
      </c>
      <c r="D24" s="475">
        <v>8853</v>
      </c>
    </row>
    <row r="25" spans="1:4">
      <c r="A25" s="472" t="s">
        <v>32</v>
      </c>
      <c r="B25" s="476"/>
      <c r="C25" s="474">
        <v>-385</v>
      </c>
      <c r="D25" s="475">
        <v>-629</v>
      </c>
    </row>
    <row r="26" spans="1:4">
      <c r="A26" s="472" t="s">
        <v>334</v>
      </c>
      <c r="B26" s="476"/>
      <c r="C26" s="474">
        <v>2229</v>
      </c>
      <c r="D26" s="475">
        <v>-10759</v>
      </c>
    </row>
    <row r="27" spans="1:4">
      <c r="A27" s="472" t="s">
        <v>132</v>
      </c>
      <c r="B27" s="476"/>
      <c r="C27" s="474">
        <v>0</v>
      </c>
      <c r="D27" s="475">
        <v>0</v>
      </c>
    </row>
    <row r="28" spans="1:4">
      <c r="A28" s="472" t="s">
        <v>34</v>
      </c>
      <c r="B28" s="476"/>
      <c r="C28" s="474">
        <v>9002</v>
      </c>
      <c r="D28" s="475">
        <v>-3886</v>
      </c>
    </row>
    <row r="29" spans="1:4" ht="15.5" thickBot="1">
      <c r="A29" s="460" t="s">
        <v>335</v>
      </c>
      <c r="B29" s="461"/>
      <c r="C29" s="462">
        <f>SUM(C21:C28)</f>
        <v>-33960</v>
      </c>
      <c r="D29" s="463">
        <f>SUM(D21:D28)</f>
        <v>-62838</v>
      </c>
    </row>
    <row r="30" spans="1:4" ht="15.5" thickTop="1">
      <c r="A30" s="472" t="s">
        <v>336</v>
      </c>
      <c r="B30" s="476"/>
      <c r="C30" s="474">
        <v>75207</v>
      </c>
      <c r="D30" s="475">
        <v>136904</v>
      </c>
    </row>
    <row r="31" spans="1:4">
      <c r="A31" s="472" t="s">
        <v>337</v>
      </c>
      <c r="B31" s="476"/>
      <c r="C31" s="474">
        <v>-16603</v>
      </c>
      <c r="D31" s="475">
        <v>0</v>
      </c>
    </row>
    <row r="32" spans="1:4" ht="15.5" thickBot="1">
      <c r="A32" s="485" t="s">
        <v>338</v>
      </c>
      <c r="B32" s="461"/>
      <c r="C32" s="462">
        <f>SUM(C29:C31)</f>
        <v>24644</v>
      </c>
      <c r="D32" s="463">
        <f>SUM(D29:D31)</f>
        <v>74066</v>
      </c>
    </row>
    <row r="33" spans="1:4" ht="15.5" thickTop="1">
      <c r="A33" s="486"/>
      <c r="B33" s="486"/>
      <c r="C33" s="487"/>
      <c r="D33" s="488"/>
    </row>
    <row r="34" spans="1:4" ht="15.5" thickBot="1">
      <c r="A34" s="456" t="s">
        <v>192</v>
      </c>
      <c r="B34" s="482"/>
      <c r="C34" s="483"/>
      <c r="D34" s="484"/>
    </row>
    <row r="35" spans="1:4">
      <c r="A35" s="472" t="s">
        <v>231</v>
      </c>
      <c r="B35" s="476"/>
      <c r="C35" s="474">
        <v>2240</v>
      </c>
      <c r="D35" s="475">
        <v>286</v>
      </c>
    </row>
    <row r="36" spans="1:4">
      <c r="A36" s="472" t="s">
        <v>168</v>
      </c>
      <c r="B36" s="476"/>
      <c r="C36" s="474">
        <v>0</v>
      </c>
      <c r="D36" s="475">
        <v>0</v>
      </c>
    </row>
    <row r="37" spans="1:4">
      <c r="A37" s="472" t="s">
        <v>339</v>
      </c>
      <c r="B37" s="476"/>
      <c r="C37" s="474">
        <v>0</v>
      </c>
      <c r="D37" s="475">
        <v>0</v>
      </c>
    </row>
    <row r="38" spans="1:4">
      <c r="A38" s="472" t="s">
        <v>170</v>
      </c>
      <c r="B38" s="476"/>
      <c r="C38" s="474">
        <v>800</v>
      </c>
      <c r="D38" s="475">
        <v>0</v>
      </c>
    </row>
    <row r="39" spans="1:4">
      <c r="A39" s="472" t="s">
        <v>171</v>
      </c>
      <c r="B39" s="476"/>
      <c r="C39" s="474">
        <v>-2272</v>
      </c>
      <c r="D39" s="475">
        <v>-2625</v>
      </c>
    </row>
    <row r="40" spans="1:4">
      <c r="A40" s="472" t="s">
        <v>340</v>
      </c>
      <c r="B40" s="476"/>
      <c r="C40" s="474">
        <v>0</v>
      </c>
      <c r="D40" s="475">
        <v>0</v>
      </c>
    </row>
    <row r="41" spans="1:4">
      <c r="A41" s="472" t="s">
        <v>341</v>
      </c>
      <c r="B41" s="476"/>
      <c r="C41" s="474">
        <v>0</v>
      </c>
      <c r="D41" s="475">
        <v>0</v>
      </c>
    </row>
    <row r="42" spans="1:4">
      <c r="A42" s="472" t="s">
        <v>314</v>
      </c>
      <c r="B42" s="476"/>
      <c r="C42" s="474">
        <v>0</v>
      </c>
      <c r="D42" s="475">
        <v>0</v>
      </c>
    </row>
    <row r="43" spans="1:4">
      <c r="A43" s="472" t="s">
        <v>175</v>
      </c>
      <c r="B43" s="476"/>
      <c r="C43" s="474">
        <v>0</v>
      </c>
      <c r="D43" s="475">
        <v>0</v>
      </c>
    </row>
    <row r="44" spans="1:4">
      <c r="A44" s="472" t="s">
        <v>176</v>
      </c>
      <c r="B44" s="476"/>
      <c r="C44" s="474">
        <v>-140</v>
      </c>
      <c r="D44" s="475">
        <v>-178</v>
      </c>
    </row>
    <row r="45" spans="1:4">
      <c r="A45" s="472" t="s">
        <v>177</v>
      </c>
      <c r="B45" s="476"/>
      <c r="C45" s="474">
        <v>0</v>
      </c>
      <c r="D45" s="475">
        <v>0</v>
      </c>
    </row>
    <row r="46" spans="1:4">
      <c r="A46" s="472" t="s">
        <v>269</v>
      </c>
      <c r="B46" s="476"/>
      <c r="C46" s="474">
        <v>0</v>
      </c>
      <c r="D46" s="475">
        <v>0</v>
      </c>
    </row>
    <row r="47" spans="1:4">
      <c r="A47" s="472" t="s">
        <v>342</v>
      </c>
      <c r="B47" s="476"/>
      <c r="C47" s="474">
        <v>-5631</v>
      </c>
      <c r="D47" s="475">
        <v>0</v>
      </c>
    </row>
    <row r="48" spans="1:4" ht="15.5" thickBot="1">
      <c r="A48" s="489" t="s">
        <v>228</v>
      </c>
      <c r="B48" s="490"/>
      <c r="C48" s="491">
        <v>11065</v>
      </c>
      <c r="D48" s="492">
        <v>213</v>
      </c>
    </row>
    <row r="49" spans="1:4" ht="15.5" thickBot="1">
      <c r="A49" s="493" t="s">
        <v>343</v>
      </c>
      <c r="B49" s="479"/>
      <c r="C49" s="480">
        <f>SUM(C35:C48)</f>
        <v>6062</v>
      </c>
      <c r="D49" s="481">
        <f>SUM(D35:D48)</f>
        <v>-2304</v>
      </c>
    </row>
    <row r="50" spans="1:4" ht="16" thickTop="1" thickBot="1">
      <c r="A50" s="456" t="s">
        <v>193</v>
      </c>
      <c r="B50" s="490"/>
      <c r="C50" s="491"/>
      <c r="D50" s="492"/>
    </row>
    <row r="51" spans="1:4">
      <c r="A51" s="472" t="s">
        <v>315</v>
      </c>
      <c r="B51" s="476"/>
      <c r="C51" s="474">
        <v>0</v>
      </c>
      <c r="D51" s="475">
        <v>0</v>
      </c>
    </row>
    <row r="52" spans="1:4">
      <c r="A52" s="472" t="s">
        <v>316</v>
      </c>
      <c r="B52" s="476"/>
      <c r="C52" s="474">
        <v>-35000</v>
      </c>
      <c r="D52" s="475">
        <v>0</v>
      </c>
    </row>
    <row r="53" spans="1:4">
      <c r="A53" s="472" t="s">
        <v>241</v>
      </c>
      <c r="B53" s="476"/>
      <c r="C53" s="474">
        <v>41511</v>
      </c>
      <c r="D53" s="475">
        <v>65924</v>
      </c>
    </row>
    <row r="54" spans="1:4">
      <c r="A54" s="472" t="s">
        <v>289</v>
      </c>
      <c r="B54" s="476"/>
      <c r="C54" s="474">
        <v>-18839</v>
      </c>
      <c r="D54" s="475">
        <v>-60377</v>
      </c>
    </row>
    <row r="55" spans="1:4">
      <c r="A55" s="472" t="s">
        <v>263</v>
      </c>
      <c r="B55" s="476"/>
      <c r="C55" s="474">
        <v>-431</v>
      </c>
      <c r="D55" s="475">
        <v>-407</v>
      </c>
    </row>
    <row r="56" spans="1:4">
      <c r="A56" s="472" t="s">
        <v>317</v>
      </c>
      <c r="B56" s="476"/>
      <c r="C56" s="474">
        <v>4049</v>
      </c>
      <c r="D56" s="475">
        <v>0</v>
      </c>
    </row>
    <row r="57" spans="1:4">
      <c r="A57" s="472" t="s">
        <v>247</v>
      </c>
      <c r="B57" s="476"/>
      <c r="C57" s="474">
        <v>-6</v>
      </c>
      <c r="D57" s="475">
        <v>-60732</v>
      </c>
    </row>
    <row r="58" spans="1:4">
      <c r="A58" s="472" t="s">
        <v>248</v>
      </c>
      <c r="B58" s="476"/>
      <c r="C58" s="474">
        <v>0</v>
      </c>
      <c r="D58" s="475">
        <v>-19699</v>
      </c>
    </row>
    <row r="59" spans="1:4">
      <c r="A59" s="472" t="s">
        <v>127</v>
      </c>
      <c r="B59" s="476"/>
      <c r="C59" s="474">
        <v>-29835</v>
      </c>
      <c r="D59" s="475">
        <v>-18969</v>
      </c>
    </row>
    <row r="60" spans="1:4">
      <c r="A60" s="472" t="s">
        <v>344</v>
      </c>
      <c r="B60" s="476"/>
      <c r="C60" s="474">
        <v>-38</v>
      </c>
      <c r="D60" s="475">
        <v>0</v>
      </c>
    </row>
    <row r="61" spans="1:4" ht="15.5" thickBot="1">
      <c r="A61" s="493" t="s">
        <v>345</v>
      </c>
      <c r="B61" s="461"/>
      <c r="C61" s="462">
        <f>SUM(C51:C60)</f>
        <v>-38589</v>
      </c>
      <c r="D61" s="463">
        <f>SUM(D51:D60)</f>
        <v>-94260</v>
      </c>
    </row>
    <row r="62" spans="1:4" ht="16" thickTop="1" thickBot="1">
      <c r="A62" s="485" t="s">
        <v>306</v>
      </c>
      <c r="B62" s="479"/>
      <c r="C62" s="480">
        <f>+C32+C49+C61</f>
        <v>-7883</v>
      </c>
      <c r="D62" s="481">
        <f>+D32+D49+D61</f>
        <v>-22498</v>
      </c>
    </row>
    <row r="63" spans="1:4" ht="15.5" thickTop="1">
      <c r="A63" s="472" t="s">
        <v>346</v>
      </c>
      <c r="B63" s="494"/>
      <c r="C63" s="474">
        <v>16237</v>
      </c>
      <c r="D63" s="495">
        <v>24148</v>
      </c>
    </row>
    <row r="64" spans="1:4">
      <c r="A64" s="477" t="s">
        <v>347</v>
      </c>
      <c r="B64" s="476"/>
      <c r="C64" s="474">
        <v>-308</v>
      </c>
      <c r="D64" s="475">
        <v>102</v>
      </c>
    </row>
    <row r="65" spans="1:4" ht="15.5" thickBot="1">
      <c r="A65" s="460" t="s">
        <v>321</v>
      </c>
      <c r="B65" s="496">
        <v>6</v>
      </c>
      <c r="C65" s="462">
        <f>SUM(C62:C64)</f>
        <v>8046</v>
      </c>
      <c r="D65" s="463">
        <f>SUM(D62:D64)</f>
        <v>1752</v>
      </c>
    </row>
    <row r="66" spans="1:4" ht="15.5" thickTop="1">
      <c r="A66" s="486"/>
      <c r="B66" s="486"/>
      <c r="C66" s="497"/>
      <c r="D66" s="488"/>
    </row>
  </sheetData>
  <pageMargins left="0.7" right="0.7" top="0.75" bottom="0.75" header="0.3" footer="0.3"/>
  <pageSetup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ESF GA Consol Q</vt:lpstr>
      <vt:lpstr>ER GA Consol Q</vt:lpstr>
      <vt:lpstr>ESF. GA separado Q</vt:lpstr>
      <vt:lpstr>ESF GA Separado Q </vt:lpstr>
      <vt:lpstr>ER GA separado Q</vt:lpstr>
      <vt:lpstr>INGRESOS</vt:lpstr>
      <vt:lpstr>EBITDA </vt:lpstr>
      <vt:lpstr>UTILIDAD NETA</vt:lpstr>
      <vt:lpstr>EFE GA separado</vt:lpstr>
      <vt:lpstr>EFE GA consolidado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Amparo Franco Lopez</dc:creator>
  <cp:lastModifiedBy>Juan Esteban Mejia</cp:lastModifiedBy>
  <cp:lastPrinted>2015-06-15T20:17:18Z</cp:lastPrinted>
  <dcterms:created xsi:type="dcterms:W3CDTF">2014-02-19T20:48:06Z</dcterms:created>
  <dcterms:modified xsi:type="dcterms:W3CDTF">2022-05-06T21:58:37Z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{308FD228-952F-40AF-B1D8-EF7EA429AFB6}</vt:lpwstr>
  </property>
</Properties>
</file>