
<file path=[Content_Types].xml><?xml version="1.0" encoding="utf-8"?>
<Types xmlns="http://schemas.openxmlformats.org/package/2006/content-types">
  <Default Extension="bin" ContentType="application/vnd.openxmlformats-officedocument.spreadsheetml.customProperty"/>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rinterSettings/printerSettings1.bin" ContentType="application/vnd.openxmlformats-officedocument.spreadsheetml.printerSettings"/>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2.xml" ContentType="application/vnd.openxmlformats-officedocument.spreadsheetml.comments+xml"/>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02. Relación con el Inversionista\01. Resultados Trimestrales\2025\02. 1Q2025\07. Kit Inversionistas\"/>
    </mc:Choice>
  </mc:AlternateContent>
  <xr:revisionPtr revIDLastSave="0" documentId="8_{CFDB0B6F-55FE-4334-A228-D67F3FBFA8BC}" xr6:coauthVersionLast="47" xr6:coauthVersionMax="47" xr10:uidLastSave="{00000000-0000-0000-0000-000000000000}"/>
  <bookViews>
    <workbookView xWindow="-120" yWindow="-120" windowWidth="20730" windowHeight="11160" activeTab="6" xr2:uid="{6EC9C44F-F2FB-462E-8174-E5AC1CB67AE8}"/>
  </bookViews>
  <sheets>
    <sheet name="ESF GA Consol Q" sheetId="1" r:id="rId1"/>
    <sheet name="ER GA Consol Q" sheetId="2" r:id="rId2"/>
    <sheet name="ESF GA Separado Q" sheetId="3" r:id="rId3"/>
    <sheet name="ER GA separado Q" sheetId="5" r:id="rId4"/>
    <sheet name="ESF GA separado" sheetId="9" r:id="rId5"/>
    <sheet name="EFE GA separado" sheetId="66" r:id="rId6"/>
    <sheet name="EFE GA Consolidado" sheetId="68" r:id="rId7"/>
  </sheets>
  <externalReferences>
    <externalReference r:id="rId8"/>
  </externalReferences>
  <definedNames>
    <definedName name="_Hlk170226459" localSheetId="5">'EFE GA separado'!#REF!</definedName>
    <definedName name="_Toc189092733" localSheetId="5">'EFE GA separado'!$A$3</definedName>
    <definedName name="CalendárioYear">#REF!</definedName>
    <definedName name="DiasDaSemana">{"SEGUNDA-FEIRA","TERÇA-FEIRA","QUARTA-FEIRA","QUINTA-FEIRA","SEXTA-FEIRA","Sábado","Domingo"}</definedName>
    <definedName name="DiasESemanas">{0,1,2,3,4,5,6} + {0;1;2;3;4;5}*7</definedName>
    <definedName name="EPMWorkbookOptions_1">"dgEAAB|LCAAAAAAABACF0MEOgjAMBuC7ie|w7C4DTTwYwINeTCQYTdRrhQKL0JFtOh9fokGjHrz|/dqmDee3pmZX1EYqinjg|ZwhZSqXVEb8YotRMOXzeDgID0qfT0qd09Z21LCuj8zsZvKIV9a2MyGcc56beEqXYuz7gTgm611WYQP8heV/PJJkLFCGvNvKWLjFQqOpUkpbpLiA2mAoPsOHW9QIegkWUtrBFXv5HT9sf8tGK4uZxbzXv4VP73I"</definedName>
    <definedName name="EPMWorkbookOptions_2" hidden="1">"mntHK7EFLONWYoC7fE37y7nXi63fxHS3iv392AQAA"</definedName>
    <definedName name="InícioDeSemana">#REF!</definedName>
    <definedName name="Lista1">[1]ERI!$A$2:$A$4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68" l="1"/>
  <c r="D6" i="68"/>
  <c r="E69" i="68"/>
  <c r="D69" i="68"/>
  <c r="F65" i="66" l="1"/>
  <c r="E65" i="66"/>
  <c r="F7" i="66"/>
  <c r="E7" i="66"/>
  <c r="D61" i="66"/>
  <c r="C61" i="66"/>
  <c r="D48" i="66"/>
  <c r="C48" i="66"/>
  <c r="D29" i="66"/>
  <c r="D32" i="66" s="1"/>
  <c r="C29" i="66"/>
  <c r="C32" i="66" s="1"/>
  <c r="D21" i="66"/>
  <c r="C21" i="66"/>
  <c r="C62" i="66" l="1"/>
  <c r="C65" i="66" s="1"/>
  <c r="D62" i="66"/>
  <c r="D65" i="66" s="1"/>
  <c r="C93" i="9"/>
  <c r="BO81" i="3" l="1"/>
  <c r="BN81" i="3"/>
  <c r="BQ57" i="5"/>
  <c r="BQ55" i="5"/>
  <c r="BP55" i="5"/>
  <c r="BQ54" i="5"/>
  <c r="BP54" i="5"/>
  <c r="BO57" i="5"/>
  <c r="BM57" i="5"/>
  <c r="BL57" i="5"/>
  <c r="BK57" i="5"/>
  <c r="BJ57" i="5"/>
  <c r="BJ54" i="5"/>
  <c r="BO54" i="5"/>
  <c r="C68" i="5"/>
  <c r="D68" i="5"/>
  <c r="BQ53" i="5"/>
  <c r="BP53" i="5"/>
  <c r="BQ46" i="5"/>
  <c r="BQ45" i="5"/>
  <c r="BQ44" i="5"/>
  <c r="BP46" i="5"/>
  <c r="BP45" i="5"/>
  <c r="BP44" i="5"/>
  <c r="BQ32" i="5"/>
  <c r="BQ31" i="5"/>
  <c r="BQ30" i="5"/>
  <c r="BP32" i="5"/>
  <c r="BP31" i="5"/>
  <c r="BP30" i="5"/>
  <c r="BQ26" i="5"/>
  <c r="BQ25" i="5"/>
  <c r="BQ24" i="5"/>
  <c r="BP26" i="5"/>
  <c r="BP25" i="5"/>
  <c r="BP24" i="5"/>
  <c r="BQ18" i="5"/>
  <c r="BQ17" i="5"/>
  <c r="BP18" i="5"/>
  <c r="BP17" i="5"/>
  <c r="BQ14" i="5"/>
  <c r="BQ13" i="5"/>
  <c r="BQ12" i="5"/>
  <c r="BP14" i="5"/>
  <c r="BP13" i="5"/>
  <c r="BP12" i="5"/>
  <c r="BJ43" i="5"/>
  <c r="BQ43" i="5" s="1"/>
  <c r="BJ29" i="5"/>
  <c r="BQ29" i="5" s="1"/>
  <c r="BJ23" i="5"/>
  <c r="BQ23" i="5" s="1"/>
  <c r="BJ16" i="5"/>
  <c r="BQ16" i="5" s="1"/>
  <c r="BJ10" i="5"/>
  <c r="BO43" i="5"/>
  <c r="BP43" i="5" s="1"/>
  <c r="BO29" i="5"/>
  <c r="BP29" i="5" s="1"/>
  <c r="BO23" i="5"/>
  <c r="BP23" i="5" s="1"/>
  <c r="BO16" i="5"/>
  <c r="BP16" i="5" s="1"/>
  <c r="BO10" i="5"/>
  <c r="BM80" i="3"/>
  <c r="BM79" i="3"/>
  <c r="BM78" i="3"/>
  <c r="BM77" i="3"/>
  <c r="BM76" i="3"/>
  <c r="BM75" i="3"/>
  <c r="BM74" i="3"/>
  <c r="BM67" i="3"/>
  <c r="BM66" i="3"/>
  <c r="BM64" i="3"/>
  <c r="BM62" i="3"/>
  <c r="BM61" i="3"/>
  <c r="BM60" i="3"/>
  <c r="BM59" i="3"/>
  <c r="BM58" i="3"/>
  <c r="BM57" i="3"/>
  <c r="BM56" i="3"/>
  <c r="BM55" i="3"/>
  <c r="BM54" i="3"/>
  <c r="BM53" i="3"/>
  <c r="BM51" i="3"/>
  <c r="BM49" i="3"/>
  <c r="BM48" i="3"/>
  <c r="BM47" i="3"/>
  <c r="BM46" i="3"/>
  <c r="BM45" i="3"/>
  <c r="BM44" i="3"/>
  <c r="BM43" i="3"/>
  <c r="BM42" i="3"/>
  <c r="BM41" i="3"/>
  <c r="BM40" i="3"/>
  <c r="BM39" i="3"/>
  <c r="BM38" i="3"/>
  <c r="BM36" i="3"/>
  <c r="BM35" i="3"/>
  <c r="BM33" i="3"/>
  <c r="BM31" i="3"/>
  <c r="BM30" i="3"/>
  <c r="BM29" i="3"/>
  <c r="BM28" i="3"/>
  <c r="BM27" i="3"/>
  <c r="BM26" i="3"/>
  <c r="BM25" i="3"/>
  <c r="BM24" i="3"/>
  <c r="BM23" i="3"/>
  <c r="BM22" i="3"/>
  <c r="BM21" i="3"/>
  <c r="BM19" i="3"/>
  <c r="BM17" i="3"/>
  <c r="BM16" i="3"/>
  <c r="BM15" i="3"/>
  <c r="BM14" i="3"/>
  <c r="BM13" i="3"/>
  <c r="BM12" i="3"/>
  <c r="BM11" i="3"/>
  <c r="BM10" i="3"/>
  <c r="BL81" i="3"/>
  <c r="BL80" i="3"/>
  <c r="BL79" i="3"/>
  <c r="BL78" i="3"/>
  <c r="BL77" i="3"/>
  <c r="BL76" i="3"/>
  <c r="BL75" i="3"/>
  <c r="BL74" i="3"/>
  <c r="BL69" i="3"/>
  <c r="BL62" i="3"/>
  <c r="BL61" i="3"/>
  <c r="BL60" i="3"/>
  <c r="BL59" i="3"/>
  <c r="BL58" i="3"/>
  <c r="BL57" i="3"/>
  <c r="BL56" i="3"/>
  <c r="BL55" i="3"/>
  <c r="BL54" i="3"/>
  <c r="BL53" i="3"/>
  <c r="BL49" i="3"/>
  <c r="BL48" i="3"/>
  <c r="BL47" i="3"/>
  <c r="BL46" i="3"/>
  <c r="BL45" i="3"/>
  <c r="BL44" i="3"/>
  <c r="BL43" i="3"/>
  <c r="BL42" i="3"/>
  <c r="BL41" i="3"/>
  <c r="BL40" i="3"/>
  <c r="BL39" i="3"/>
  <c r="BL38" i="3"/>
  <c r="BL36" i="3"/>
  <c r="BL35" i="3"/>
  <c r="BL33" i="3"/>
  <c r="BL31" i="3"/>
  <c r="BL30" i="3"/>
  <c r="BL29" i="3"/>
  <c r="BL28" i="3"/>
  <c r="BL27" i="3"/>
  <c r="BL26" i="3"/>
  <c r="BL25" i="3"/>
  <c r="BL24" i="3"/>
  <c r="BL23" i="3"/>
  <c r="BL22" i="3"/>
  <c r="BL21" i="3"/>
  <c r="BL19" i="3"/>
  <c r="BL17" i="3"/>
  <c r="BL16" i="3"/>
  <c r="BL15" i="3"/>
  <c r="BL14" i="3"/>
  <c r="BL13" i="3"/>
  <c r="BL12" i="3"/>
  <c r="BL11" i="3"/>
  <c r="BL10" i="3"/>
  <c r="D87" i="9"/>
  <c r="D69" i="9" s="1"/>
  <c r="BM69" i="3" s="1"/>
  <c r="C87" i="9"/>
  <c r="C69" i="9" s="1"/>
  <c r="E85" i="9"/>
  <c r="D85" i="9"/>
  <c r="BM81" i="3" s="1"/>
  <c r="F84" i="9"/>
  <c r="F83" i="9"/>
  <c r="F82" i="9"/>
  <c r="E82" i="9"/>
  <c r="F81" i="9"/>
  <c r="F80" i="9"/>
  <c r="F79" i="9"/>
  <c r="E79" i="9"/>
  <c r="F78" i="9"/>
  <c r="E78" i="9"/>
  <c r="E66" i="9"/>
  <c r="E64" i="9"/>
  <c r="C64" i="9"/>
  <c r="E60" i="9"/>
  <c r="F59" i="9"/>
  <c r="F58" i="9"/>
  <c r="F57" i="9"/>
  <c r="F56" i="9"/>
  <c r="D55" i="9"/>
  <c r="F55" i="9" s="1"/>
  <c r="F54" i="9"/>
  <c r="F53" i="9"/>
  <c r="F52" i="9"/>
  <c r="E52" i="9"/>
  <c r="E50" i="9"/>
  <c r="C50" i="9"/>
  <c r="C66" i="9" s="1"/>
  <c r="E49" i="9"/>
  <c r="E48" i="9"/>
  <c r="F47" i="9"/>
  <c r="E47" i="9"/>
  <c r="D47" i="9"/>
  <c r="D50" i="9" s="1"/>
  <c r="F45" i="9"/>
  <c r="E45" i="9"/>
  <c r="F44" i="9"/>
  <c r="F43" i="9"/>
  <c r="E43" i="9"/>
  <c r="F42" i="9"/>
  <c r="E42" i="9"/>
  <c r="F41" i="9"/>
  <c r="E41" i="9"/>
  <c r="F40" i="9"/>
  <c r="E40" i="9"/>
  <c r="F39" i="9"/>
  <c r="F38" i="9"/>
  <c r="F37" i="9"/>
  <c r="E37" i="9"/>
  <c r="E34" i="9"/>
  <c r="F32" i="9"/>
  <c r="E32" i="9"/>
  <c r="D32" i="9"/>
  <c r="C32" i="9"/>
  <c r="F30" i="9"/>
  <c r="F28" i="9"/>
  <c r="F26" i="9"/>
  <c r="E26" i="9"/>
  <c r="F25" i="9"/>
  <c r="E25" i="9"/>
  <c r="F24" i="9"/>
  <c r="E24" i="9"/>
  <c r="E23" i="9"/>
  <c r="F22" i="9"/>
  <c r="F20" i="9"/>
  <c r="E20" i="9"/>
  <c r="F19" i="9"/>
  <c r="E19" i="9"/>
  <c r="E17" i="9"/>
  <c r="D17" i="9"/>
  <c r="D34" i="9" s="1"/>
  <c r="D35" i="9" s="1"/>
  <c r="C17" i="9"/>
  <c r="F15" i="9"/>
  <c r="E15" i="9"/>
  <c r="F14" i="9"/>
  <c r="E14" i="9"/>
  <c r="F12" i="9"/>
  <c r="F11" i="9"/>
  <c r="E11" i="9"/>
  <c r="F10" i="9"/>
  <c r="F9" i="9"/>
  <c r="F8" i="9"/>
  <c r="E8" i="9"/>
  <c r="D76" i="9"/>
  <c r="C76" i="9"/>
  <c r="BK83" i="3"/>
  <c r="BK69" i="3"/>
  <c r="BK70" i="3" s="1"/>
  <c r="BK64" i="3"/>
  <c r="BK51" i="3"/>
  <c r="BK33" i="3"/>
  <c r="BK19" i="3"/>
  <c r="BK35" i="3" s="1"/>
  <c r="BL64" i="3" l="1"/>
  <c r="BK66" i="3"/>
  <c r="BL66" i="3" s="1"/>
  <c r="BL51" i="3"/>
  <c r="BL83" i="3"/>
  <c r="F85" i="9"/>
  <c r="F17" i="9"/>
  <c r="BM83" i="3"/>
  <c r="C34" i="9"/>
  <c r="F34" i="9" s="1"/>
  <c r="BO20" i="5"/>
  <c r="BP20" i="5" s="1"/>
  <c r="BJ20" i="5"/>
  <c r="BQ20" i="5" s="1"/>
  <c r="BQ10" i="5"/>
  <c r="BP10" i="5"/>
  <c r="D70" i="9"/>
  <c r="BM70" i="3" s="1"/>
  <c r="D73" i="9"/>
  <c r="C67" i="9"/>
  <c r="BL67" i="3" s="1"/>
  <c r="C72" i="9"/>
  <c r="C74" i="9"/>
  <c r="D66" i="9"/>
  <c r="C73" i="9"/>
  <c r="F69" i="9"/>
  <c r="C70" i="9"/>
  <c r="BL70" i="3" s="1"/>
  <c r="D64" i="9"/>
  <c r="F64" i="9" s="1"/>
  <c r="F87" i="9"/>
  <c r="C35" i="9"/>
  <c r="C89" i="9"/>
  <c r="F50" i="9"/>
  <c r="BK87" i="3"/>
  <c r="BK36" i="3"/>
  <c r="BK67" i="3"/>
  <c r="BK72" i="3"/>
  <c r="BK88" i="3" l="1"/>
  <c r="BL72" i="3"/>
  <c r="BO35" i="5"/>
  <c r="BP35" i="5" s="1"/>
  <c r="BO21" i="5"/>
  <c r="BJ35" i="5"/>
  <c r="BQ35" i="5" s="1"/>
  <c r="BJ21" i="5"/>
  <c r="D67" i="9"/>
  <c r="F67" i="9" s="1"/>
  <c r="D74" i="9"/>
  <c r="D72" i="9"/>
  <c r="BM72" i="3" s="1"/>
  <c r="F35" i="9"/>
  <c r="C90" i="9"/>
  <c r="F66" i="9"/>
  <c r="F70" i="9"/>
  <c r="F72" i="9" l="1"/>
  <c r="BO39" i="5"/>
  <c r="BP39" i="5" s="1"/>
  <c r="BJ39" i="5"/>
  <c r="BQ39" i="5" s="1"/>
  <c r="BO50" i="5"/>
  <c r="BP50" i="5" s="1"/>
  <c r="BO37" i="5"/>
  <c r="BJ50" i="5"/>
  <c r="BQ50" i="5" s="1"/>
  <c r="BJ37" i="5"/>
  <c r="BJ41" i="5" l="1"/>
  <c r="BO41" i="5"/>
  <c r="BJ59" i="5"/>
  <c r="BO59" i="5"/>
  <c r="BP57" i="5"/>
  <c r="CD64" i="2" l="1"/>
  <c r="CD63" i="2"/>
  <c r="CC64" i="2"/>
  <c r="CC63" i="2"/>
  <c r="BW57" i="2"/>
  <c r="CD57" i="2" s="1"/>
  <c r="CC57" i="2"/>
  <c r="CD56" i="2"/>
  <c r="CC56" i="2"/>
  <c r="CB54" i="2"/>
  <c r="CC54" i="2" s="1"/>
  <c r="CD54" i="2"/>
  <c r="CD51" i="2"/>
  <c r="CC51" i="2"/>
  <c r="CD48" i="2"/>
  <c r="CD47" i="2"/>
  <c r="CD46" i="2"/>
  <c r="CC48" i="2"/>
  <c r="CC47" i="2"/>
  <c r="CC46" i="2"/>
  <c r="CD42" i="2"/>
  <c r="CC42" i="2"/>
  <c r="CD38" i="2"/>
  <c r="CC38" i="2"/>
  <c r="CD36" i="2"/>
  <c r="CD35" i="2"/>
  <c r="CD34" i="2"/>
  <c r="CD33" i="2"/>
  <c r="CC36" i="2"/>
  <c r="CC35" i="2"/>
  <c r="CC34" i="2"/>
  <c r="CC33" i="2"/>
  <c r="BW31" i="2"/>
  <c r="CD31" i="2" s="1"/>
  <c r="BW30" i="2"/>
  <c r="CB28" i="2"/>
  <c r="CC28" i="2" s="1"/>
  <c r="CD30" i="2"/>
  <c r="CD29" i="2"/>
  <c r="CD28" i="2"/>
  <c r="CC31" i="2"/>
  <c r="CC30" i="2"/>
  <c r="CC29" i="2"/>
  <c r="CD24" i="2"/>
  <c r="CC24" i="2"/>
  <c r="BW19" i="2"/>
  <c r="CB19" i="2"/>
  <c r="CC19" i="2" s="1"/>
  <c r="CD22" i="2"/>
  <c r="CD21" i="2"/>
  <c r="CD20" i="2"/>
  <c r="CD19" i="2"/>
  <c r="CD18" i="2"/>
  <c r="CC22" i="2"/>
  <c r="CC21" i="2"/>
  <c r="CC20" i="2"/>
  <c r="CD16" i="2"/>
  <c r="CD15" i="2"/>
  <c r="CD14" i="2"/>
  <c r="CD13" i="2"/>
  <c r="CC16" i="2"/>
  <c r="CC15" i="2"/>
  <c r="CC14" i="2"/>
  <c r="CC13" i="2"/>
  <c r="CD12" i="2"/>
  <c r="CC12" i="2"/>
  <c r="BW46" i="2"/>
  <c r="BW33" i="2"/>
  <c r="BW18" i="2"/>
  <c r="BW10" i="2"/>
  <c r="BW27" i="2" l="1"/>
  <c r="CD27" i="2" s="1"/>
  <c r="BW24" i="2"/>
  <c r="CD10" i="2"/>
  <c r="BW25" i="2"/>
  <c r="CB46" i="2"/>
  <c r="CB33" i="2"/>
  <c r="CB27" i="2"/>
  <c r="CC27" i="2" s="1"/>
  <c r="CB18" i="2"/>
  <c r="CC18" i="2" s="1"/>
  <c r="CB10" i="2"/>
  <c r="CC10" i="2" s="1"/>
  <c r="BO95" i="1"/>
  <c r="BO92" i="1"/>
  <c r="BO89" i="1"/>
  <c r="BO87" i="1"/>
  <c r="BO85" i="1"/>
  <c r="BO84" i="1"/>
  <c r="BO83" i="1"/>
  <c r="BO82" i="1"/>
  <c r="BO81" i="1"/>
  <c r="BO80" i="1"/>
  <c r="BO79" i="1"/>
  <c r="BO78" i="1"/>
  <c r="BO76" i="1"/>
  <c r="BO74" i="1"/>
  <c r="BO73" i="1"/>
  <c r="BO71" i="1"/>
  <c r="BO70" i="1"/>
  <c r="BO68" i="1"/>
  <c r="BO66" i="1"/>
  <c r="BO65" i="1"/>
  <c r="BO64" i="1"/>
  <c r="BO63" i="1"/>
  <c r="BO62" i="1"/>
  <c r="BO61" i="1"/>
  <c r="BO60" i="1"/>
  <c r="BO59" i="1"/>
  <c r="BO58" i="1"/>
  <c r="BO57" i="1"/>
  <c r="BO56" i="1"/>
  <c r="BO54" i="1"/>
  <c r="BO52" i="1"/>
  <c r="BO51" i="1"/>
  <c r="BO50" i="1"/>
  <c r="BO49" i="1"/>
  <c r="BO48" i="1"/>
  <c r="BO47" i="1"/>
  <c r="BO46" i="1"/>
  <c r="BO45" i="1"/>
  <c r="BO44" i="1"/>
  <c r="BO43" i="1"/>
  <c r="BO42" i="1"/>
  <c r="BO41" i="1"/>
  <c r="BO40" i="1"/>
  <c r="BO38" i="1"/>
  <c r="BO37" i="1"/>
  <c r="BO35" i="1"/>
  <c r="BO33" i="1"/>
  <c r="BO32" i="1"/>
  <c r="BO31" i="1"/>
  <c r="BO30" i="1"/>
  <c r="BO29" i="1"/>
  <c r="BO28" i="1"/>
  <c r="BO27" i="1"/>
  <c r="BO26" i="1"/>
  <c r="BO25" i="1"/>
  <c r="BO24" i="1"/>
  <c r="BO23" i="1"/>
  <c r="BO22" i="1"/>
  <c r="BO21" i="1"/>
  <c r="BO19" i="1"/>
  <c r="BO17" i="1"/>
  <c r="BO16" i="1"/>
  <c r="BO15" i="1"/>
  <c r="BO14" i="1"/>
  <c r="BO13" i="1"/>
  <c r="BO12" i="1"/>
  <c r="BO11" i="1"/>
  <c r="BO10" i="1"/>
  <c r="BN95" i="1"/>
  <c r="BN92" i="1"/>
  <c r="BN89" i="1"/>
  <c r="BN87" i="1"/>
  <c r="BN85" i="1"/>
  <c r="BN84" i="1"/>
  <c r="BN83" i="1"/>
  <c r="BN82" i="1"/>
  <c r="BN81" i="1"/>
  <c r="BN80" i="1"/>
  <c r="BN79" i="1"/>
  <c r="BN78" i="1"/>
  <c r="BN74" i="1"/>
  <c r="BN73" i="1"/>
  <c r="BN66" i="1"/>
  <c r="BN65" i="1"/>
  <c r="BN64" i="1"/>
  <c r="BN63" i="1"/>
  <c r="BN62" i="1"/>
  <c r="BN61" i="1"/>
  <c r="BN60" i="1"/>
  <c r="BN59" i="1"/>
  <c r="BN58" i="1"/>
  <c r="BN57" i="1"/>
  <c r="BN56" i="1"/>
  <c r="BN52" i="1"/>
  <c r="BN51" i="1"/>
  <c r="BN50" i="1"/>
  <c r="BN49" i="1"/>
  <c r="BN48" i="1"/>
  <c r="BN47" i="1"/>
  <c r="BN46" i="1"/>
  <c r="BN45" i="1"/>
  <c r="BN44" i="1"/>
  <c r="BN43" i="1"/>
  <c r="BN42" i="1"/>
  <c r="BN41" i="1"/>
  <c r="BN40" i="1"/>
  <c r="BN38" i="1"/>
  <c r="BN37" i="1"/>
  <c r="BN35" i="1"/>
  <c r="BN33" i="1"/>
  <c r="BN32" i="1"/>
  <c r="BN31" i="1"/>
  <c r="BN30" i="1"/>
  <c r="BN29" i="1"/>
  <c r="BN28" i="1"/>
  <c r="BN27" i="1"/>
  <c r="BN26" i="1"/>
  <c r="BN25" i="1"/>
  <c r="BN24" i="1"/>
  <c r="BN23" i="1"/>
  <c r="BN22" i="1"/>
  <c r="BN21" i="1"/>
  <c r="BN19" i="1"/>
  <c r="BN17" i="1"/>
  <c r="BN16" i="1"/>
  <c r="BN15" i="1"/>
  <c r="BN14" i="1"/>
  <c r="BN13" i="1"/>
  <c r="BN12" i="1"/>
  <c r="BN11" i="1"/>
  <c r="BN10" i="1"/>
  <c r="BW38" i="2" l="1"/>
  <c r="BW42" i="2"/>
  <c r="BW44" i="2" s="1"/>
  <c r="BW40" i="2"/>
  <c r="BW51" i="2"/>
  <c r="BW56" i="2" s="1"/>
  <c r="BW58" i="2" s="1"/>
  <c r="CD58" i="2" s="1"/>
  <c r="CB24" i="2"/>
  <c r="CB25" i="2" s="1"/>
  <c r="CB38" i="2" l="1"/>
  <c r="CB51" i="2" s="1"/>
  <c r="CB56" i="2" s="1"/>
  <c r="CB58" i="2" s="1"/>
  <c r="CC58" i="2" s="1"/>
  <c r="BW64" i="2"/>
  <c r="BW66" i="2" s="1"/>
  <c r="BW60" i="2"/>
  <c r="CB42" i="2" l="1"/>
  <c r="CB44" i="2" s="1"/>
  <c r="CB40" i="2"/>
  <c r="CB60" i="2"/>
  <c r="CB64" i="2"/>
  <c r="CB66" i="2" s="1"/>
  <c r="BM93" i="1" l="1"/>
  <c r="BM89" i="1"/>
  <c r="BM90" i="1" s="1"/>
  <c r="BM87" i="1"/>
  <c r="BM102" i="1" s="1"/>
  <c r="BM68" i="1"/>
  <c r="BN68" i="1" s="1"/>
  <c r="BM54" i="1"/>
  <c r="BN54" i="1" s="1"/>
  <c r="BM35" i="1"/>
  <c r="BM19" i="1"/>
  <c r="BM73" i="1" l="1"/>
  <c r="BM74" i="1" s="1"/>
  <c r="BM70" i="1"/>
  <c r="BN70" i="1" s="1"/>
  <c r="BM37" i="1"/>
  <c r="BM38" i="1"/>
  <c r="BM76" i="1"/>
  <c r="BN76" i="1" s="1"/>
  <c r="BM71" i="1" l="1"/>
  <c r="BN71" i="1" s="1"/>
  <c r="BM99" i="1"/>
  <c r="BM100" i="1"/>
  <c r="BZ63" i="2" l="1"/>
  <c r="BQ85" i="1" l="1"/>
  <c r="BP85" i="1" l="1"/>
  <c r="BQ19" i="5" l="1"/>
  <c r="BM43" i="5"/>
  <c r="BM29" i="5"/>
  <c r="BM23" i="5"/>
  <c r="BM16" i="5"/>
  <c r="BM10" i="5"/>
  <c r="BI83" i="3"/>
  <c r="BI69" i="3"/>
  <c r="BI64" i="3"/>
  <c r="BI51" i="3"/>
  <c r="BM20" i="5" l="1"/>
  <c r="BI66" i="3"/>
  <c r="BI72" i="3"/>
  <c r="BI67" i="3"/>
  <c r="BM21" i="5"/>
  <c r="BM35" i="5"/>
  <c r="BI70" i="3"/>
  <c r="BI33" i="3"/>
  <c r="BI19" i="3"/>
  <c r="BI35" i="3" l="1"/>
  <c r="BM50" i="5"/>
  <c r="BM59" i="5" s="1"/>
  <c r="BM39" i="5"/>
  <c r="BM41" i="5" s="1"/>
  <c r="BM37" i="5"/>
  <c r="BI87" i="3" l="1"/>
  <c r="BI36" i="3"/>
  <c r="BI88" i="3" l="1"/>
  <c r="BT48" i="2" l="1"/>
  <c r="BT35" i="2"/>
  <c r="BT34" i="2"/>
  <c r="BT31" i="2"/>
  <c r="BT30" i="2"/>
  <c r="BZ30" i="2"/>
  <c r="BZ27" i="2" s="1"/>
  <c r="BT22" i="2"/>
  <c r="BT19" i="2"/>
  <c r="BT14" i="2"/>
  <c r="BZ57" i="2"/>
  <c r="BZ54" i="2"/>
  <c r="BZ48" i="2"/>
  <c r="BZ47" i="2"/>
  <c r="BZ35" i="2"/>
  <c r="BZ34" i="2"/>
  <c r="BZ22" i="2"/>
  <c r="BZ20" i="2"/>
  <c r="BZ19" i="2"/>
  <c r="BZ14" i="2"/>
  <c r="BZ12" i="2"/>
  <c r="BZ10" i="2" s="1"/>
  <c r="BZ46" i="2"/>
  <c r="BZ18" i="2" l="1"/>
  <c r="BZ33" i="2"/>
  <c r="BZ24" i="2"/>
  <c r="BZ38" i="2" l="1"/>
  <c r="BZ42" i="2" s="1"/>
  <c r="BZ25" i="2"/>
  <c r="BZ40" i="2" l="1"/>
  <c r="BZ51" i="2"/>
  <c r="BZ56" i="2"/>
  <c r="BZ58" i="2" s="1"/>
  <c r="BZ64" i="2" s="1"/>
  <c r="BZ44" i="2"/>
  <c r="BZ66" i="2" l="1"/>
  <c r="BZ60" i="2"/>
  <c r="BT46" i="2" l="1"/>
  <c r="BT33" i="2"/>
  <c r="BT27" i="2"/>
  <c r="BT18" i="2"/>
  <c r="BT15" i="2"/>
  <c r="BT10" i="2"/>
  <c r="BK93" i="1"/>
  <c r="BK89" i="1"/>
  <c r="BK87" i="1"/>
  <c r="BK68" i="1"/>
  <c r="BK54" i="1"/>
  <c r="BK35" i="1"/>
  <c r="BK19" i="1"/>
  <c r="BK73" i="1" l="1"/>
  <c r="BK102" i="1"/>
  <c r="BK70" i="1"/>
  <c r="BK37" i="1"/>
  <c r="BT24" i="2"/>
  <c r="BT25" i="2" s="1"/>
  <c r="BK90" i="1"/>
  <c r="BK74" i="1" l="1"/>
  <c r="BK76" i="1"/>
  <c r="BK71" i="1"/>
  <c r="BK99" i="1"/>
  <c r="BK38" i="1"/>
  <c r="BT38" i="2"/>
  <c r="BT42" i="2" s="1"/>
  <c r="BT44" i="2" s="1"/>
  <c r="BK100" i="1" l="1"/>
  <c r="BT51" i="2"/>
  <c r="BT56" i="2" s="1"/>
  <c r="BT58" i="2" s="1"/>
  <c r="BT64" i="2" s="1"/>
  <c r="BT66" i="2" s="1"/>
  <c r="BT40" i="2"/>
  <c r="BT60" i="2" l="1"/>
  <c r="BY63" i="2" l="1"/>
  <c r="BY15" i="2"/>
  <c r="BL43" i="5" l="1"/>
  <c r="BL29" i="5"/>
  <c r="BL23" i="5"/>
  <c r="BL16" i="5"/>
  <c r="BL10" i="5"/>
  <c r="BH83" i="3"/>
  <c r="BH69" i="3"/>
  <c r="BH70" i="3" s="1"/>
  <c r="BH64" i="3"/>
  <c r="BH51" i="3"/>
  <c r="BH33" i="3"/>
  <c r="BH19" i="3"/>
  <c r="BL20" i="5" l="1"/>
  <c r="BL35" i="5" s="1"/>
  <c r="BH66" i="3"/>
  <c r="BH72" i="3" s="1"/>
  <c r="BH35" i="3"/>
  <c r="BH36" i="3" s="1"/>
  <c r="BL21" i="5" l="1"/>
  <c r="BL50" i="5"/>
  <c r="BL59" i="5" s="1"/>
  <c r="BL37" i="5"/>
  <c r="BL39" i="5"/>
  <c r="BL41" i="5" s="1"/>
  <c r="BH87" i="3"/>
  <c r="BH67" i="3"/>
  <c r="BH88" i="3" s="1"/>
  <c r="BR63" i="2" l="1"/>
  <c r="BR48" i="2"/>
  <c r="BR47" i="2"/>
  <c r="BR46" i="2" s="1"/>
  <c r="BR31" i="2"/>
  <c r="BR30" i="2"/>
  <c r="BY31" i="2"/>
  <c r="BY30" i="2"/>
  <c r="BY28" i="2"/>
  <c r="BR22" i="2"/>
  <c r="BR19" i="2"/>
  <c r="BR18" i="2" s="1"/>
  <c r="BR12" i="2"/>
  <c r="BR10" i="2" s="1"/>
  <c r="BY14" i="2"/>
  <c r="BY12" i="2"/>
  <c r="BR33" i="2"/>
  <c r="BY46" i="2"/>
  <c r="BY33" i="2"/>
  <c r="BY18" i="2"/>
  <c r="BJ93" i="1"/>
  <c r="BJ89" i="1"/>
  <c r="BJ90" i="1" s="1"/>
  <c r="BJ87" i="1"/>
  <c r="BJ68" i="1"/>
  <c r="BJ54" i="1"/>
  <c r="BJ35" i="1"/>
  <c r="BJ19" i="1"/>
  <c r="BR27" i="2" l="1"/>
  <c r="BY10" i="2"/>
  <c r="BY24" i="2" s="1"/>
  <c r="BJ73" i="1"/>
  <c r="BJ74" i="1" s="1"/>
  <c r="BJ102" i="1"/>
  <c r="BY27" i="2"/>
  <c r="BR24" i="2"/>
  <c r="BR38" i="2" s="1"/>
  <c r="BJ70" i="1"/>
  <c r="BJ37" i="1"/>
  <c r="BJ38" i="1" l="1"/>
  <c r="BJ99" i="1"/>
  <c r="BJ76" i="1"/>
  <c r="BR25" i="2"/>
  <c r="BR42" i="2"/>
  <c r="BR44" i="2" s="1"/>
  <c r="BR40" i="2"/>
  <c r="BR51" i="2"/>
  <c r="BR56" i="2" s="1"/>
  <c r="BR58" i="2" s="1"/>
  <c r="BY38" i="2"/>
  <c r="BY51" i="2" s="1"/>
  <c r="BY56" i="2" s="1"/>
  <c r="BY58" i="2" s="1"/>
  <c r="BY60" i="2" s="1"/>
  <c r="BY25" i="2"/>
  <c r="BJ71" i="1"/>
  <c r="BJ100" i="1" l="1"/>
  <c r="BY40" i="2"/>
  <c r="BY42" i="2"/>
  <c r="BY44" i="2" s="1"/>
  <c r="BR64" i="2"/>
  <c r="BR60" i="2"/>
  <c r="BY64" i="2"/>
  <c r="BY66" i="2" s="1"/>
  <c r="BR66" i="2" l="1"/>
  <c r="BX63" i="2" l="1"/>
  <c r="BX15" i="2"/>
  <c r="BK43" i="5" l="1"/>
  <c r="BK29" i="5"/>
  <c r="BK23" i="5"/>
  <c r="BK16" i="5"/>
  <c r="BK10" i="5"/>
  <c r="BK20" i="5" s="1"/>
  <c r="BK35" i="5" l="1"/>
  <c r="BK21" i="5"/>
  <c r="BK50" i="5" l="1"/>
  <c r="BK59" i="5" s="1"/>
  <c r="BK39" i="5"/>
  <c r="BK41" i="5" s="1"/>
  <c r="BK37" i="5"/>
  <c r="BG83" i="3" l="1"/>
  <c r="BG69" i="3"/>
  <c r="BG70" i="3" s="1"/>
  <c r="BG64" i="3"/>
  <c r="BG51" i="3"/>
  <c r="BG33" i="3"/>
  <c r="BG19" i="3"/>
  <c r="BP63" i="2"/>
  <c r="BP54" i="2"/>
  <c r="BP48" i="2"/>
  <c r="BP47" i="2"/>
  <c r="BX48" i="2"/>
  <c r="BP35" i="2"/>
  <c r="BP31" i="2"/>
  <c r="BP30" i="2"/>
  <c r="BX31" i="2"/>
  <c r="BV31" i="2"/>
  <c r="BX30" i="2"/>
  <c r="BX29" i="2"/>
  <c r="BX28" i="2"/>
  <c r="BP19" i="2"/>
  <c r="BP14" i="2"/>
  <c r="BP12" i="2"/>
  <c r="BP13" i="2"/>
  <c r="BX12" i="2"/>
  <c r="BX33" i="2"/>
  <c r="BX18" i="2"/>
  <c r="BP10" i="2" l="1"/>
  <c r="BP46" i="2"/>
  <c r="BX10" i="2"/>
  <c r="BX24" i="2" s="1"/>
  <c r="BP33" i="2"/>
  <c r="BP27" i="2"/>
  <c r="BX27" i="2"/>
  <c r="BG66" i="3"/>
  <c r="BG35" i="3"/>
  <c r="BG36" i="3" s="1"/>
  <c r="BX46" i="2"/>
  <c r="BP18" i="2"/>
  <c r="BX38" i="2" l="1"/>
  <c r="BX42" i="2" s="1"/>
  <c r="BX44" i="2" s="1"/>
  <c r="BG67" i="3"/>
  <c r="BG87" i="3"/>
  <c r="BG72" i="3"/>
  <c r="BP24" i="2"/>
  <c r="BX25" i="2"/>
  <c r="BX40" i="2" l="1"/>
  <c r="BX51" i="2"/>
  <c r="BX56" i="2" s="1"/>
  <c r="BX58" i="2" s="1"/>
  <c r="BG88" i="3"/>
  <c r="BP25" i="2"/>
  <c r="BP38" i="2"/>
  <c r="BX60" i="2"/>
  <c r="BX64" i="2"/>
  <c r="BX66" i="2" s="1"/>
  <c r="BP51" i="2" l="1"/>
  <c r="BP56" i="2" s="1"/>
  <c r="BP40" i="2"/>
  <c r="BP42" i="2"/>
  <c r="BP44" i="2" s="1"/>
  <c r="BP58" i="2" l="1"/>
  <c r="BP60" i="2" l="1"/>
  <c r="BP64" i="2"/>
  <c r="BP66" i="2" l="1"/>
  <c r="BI93" i="1" l="1"/>
  <c r="BI89" i="1"/>
  <c r="BI87" i="1"/>
  <c r="BI68" i="1"/>
  <c r="BI54" i="1"/>
  <c r="BI35" i="1"/>
  <c r="BI19" i="1"/>
  <c r="BI90" i="1" l="1"/>
  <c r="BI70" i="1"/>
  <c r="BI37" i="1"/>
  <c r="BI102" i="1"/>
  <c r="BI71" i="1"/>
  <c r="BI73" i="1"/>
  <c r="BI74" i="1" l="1"/>
  <c r="BI38" i="1"/>
  <c r="BI99" i="1"/>
  <c r="BI76" i="1"/>
  <c r="BI100" i="1" l="1"/>
  <c r="BI16" i="5" l="1"/>
  <c r="BN54" i="2" l="1"/>
  <c r="BN30" i="2"/>
  <c r="BV30" i="2"/>
  <c r="BN19" i="2"/>
  <c r="BV19" i="2"/>
  <c r="BH93" i="1" l="1"/>
  <c r="BH89" i="1"/>
  <c r="BH90" i="1" s="1"/>
  <c r="BH87" i="1"/>
  <c r="BH102" i="1" s="1"/>
  <c r="BH68" i="1"/>
  <c r="BH54" i="1"/>
  <c r="BH35" i="1"/>
  <c r="BH19" i="1"/>
  <c r="BH73" i="1" l="1"/>
  <c r="BH74" i="1" s="1"/>
  <c r="BH37" i="1"/>
  <c r="BH38" i="1" s="1"/>
  <c r="BH70" i="1"/>
  <c r="BH76" i="1" s="1"/>
  <c r="BH71" i="1" l="1"/>
  <c r="BH99" i="1"/>
  <c r="BH100" i="1"/>
  <c r="BI43" i="5" l="1"/>
  <c r="BI29" i="5"/>
  <c r="BI23" i="5"/>
  <c r="BI10" i="5"/>
  <c r="BF83" i="3"/>
  <c r="BF69" i="3"/>
  <c r="BF64" i="3"/>
  <c r="BF51" i="3"/>
  <c r="BF33" i="3"/>
  <c r="BF19" i="3"/>
  <c r="BI20" i="5" l="1"/>
  <c r="BF70" i="3"/>
  <c r="BF66" i="3"/>
  <c r="BF35" i="3"/>
  <c r="BF87" i="3" s="1"/>
  <c r="BV46" i="2"/>
  <c r="BV33" i="2"/>
  <c r="BV27" i="2"/>
  <c r="BV18" i="2"/>
  <c r="BV10" i="2"/>
  <c r="BN46" i="2"/>
  <c r="BN33" i="2"/>
  <c r="BN27" i="2"/>
  <c r="BN18" i="2"/>
  <c r="BN10" i="2"/>
  <c r="BI21" i="5" l="1"/>
  <c r="BI35" i="5"/>
  <c r="BF67" i="3"/>
  <c r="BF72" i="3"/>
  <c r="BF36" i="3"/>
  <c r="BN24" i="2"/>
  <c r="BV24" i="2"/>
  <c r="BI50" i="5" l="1"/>
  <c r="BI37" i="5"/>
  <c r="BI39" i="5"/>
  <c r="BN25" i="2"/>
  <c r="BN38" i="2"/>
  <c r="BI57" i="5"/>
  <c r="BF88" i="3"/>
  <c r="BV25" i="2"/>
  <c r="BV38" i="2"/>
  <c r="BI41" i="5" l="1"/>
  <c r="BN51" i="2"/>
  <c r="BN40" i="2"/>
  <c r="BN42" i="2"/>
  <c r="BI59" i="5"/>
  <c r="BV40" i="2"/>
  <c r="BV51" i="2"/>
  <c r="BV42" i="2"/>
  <c r="BN44" i="2" l="1"/>
  <c r="BN56" i="2"/>
  <c r="BV56" i="2"/>
  <c r="BV44" i="2"/>
  <c r="BN58" i="2" l="1"/>
  <c r="BN60" i="2"/>
  <c r="BV58" i="2"/>
  <c r="BN64" i="2" l="1"/>
  <c r="BN66" i="2"/>
  <c r="BV60" i="2"/>
  <c r="BV64" i="2"/>
  <c r="BV66" i="2" l="1"/>
  <c r="BG43" i="5" l="1"/>
  <c r="BG29" i="5"/>
  <c r="BG23" i="5"/>
  <c r="BG16" i="5"/>
  <c r="BG10" i="5"/>
  <c r="BD83" i="3"/>
  <c r="BD69" i="3"/>
  <c r="BD64" i="3"/>
  <c r="BD51" i="3"/>
  <c r="BD33" i="3"/>
  <c r="BD19" i="3"/>
  <c r="BD70" i="3" l="1"/>
  <c r="BG20" i="5"/>
  <c r="BG21" i="5" s="1"/>
  <c r="BD66" i="3"/>
  <c r="BD35" i="3"/>
  <c r="BG35" i="5" l="1"/>
  <c r="BG39" i="5" s="1"/>
  <c r="BG41" i="5" s="1"/>
  <c r="BD72" i="3"/>
  <c r="BD87" i="3"/>
  <c r="BD67" i="3"/>
  <c r="BD36" i="3"/>
  <c r="BG37" i="5" l="1"/>
  <c r="BG50" i="5"/>
  <c r="BG57" i="5" s="1"/>
  <c r="BG59" i="5" s="1"/>
  <c r="BD88" i="3"/>
  <c r="BS47" i="2"/>
  <c r="BS31" i="2"/>
  <c r="BS30" i="2"/>
  <c r="BS29" i="2"/>
  <c r="BS22" i="2"/>
  <c r="BS15" i="2"/>
  <c r="BS46" i="2" l="1"/>
  <c r="BS33" i="2"/>
  <c r="BS27" i="2"/>
  <c r="BS18" i="2"/>
  <c r="BS10" i="2"/>
  <c r="BS24" i="2" l="1"/>
  <c r="BS38" i="2" s="1"/>
  <c r="BS40" i="2" s="1"/>
  <c r="BF93" i="1"/>
  <c r="BF89" i="1"/>
  <c r="BF87" i="1"/>
  <c r="BF68" i="1"/>
  <c r="BF54" i="1"/>
  <c r="BF35" i="1"/>
  <c r="BF19" i="1"/>
  <c r="BS25" i="2" l="1"/>
  <c r="BS42" i="2"/>
  <c r="BS44" i="2" s="1"/>
  <c r="BS51" i="2"/>
  <c r="BS56" i="2" s="1"/>
  <c r="BS58" i="2" s="1"/>
  <c r="BS60" i="2" s="1"/>
  <c r="BF102" i="1"/>
  <c r="BF90" i="1"/>
  <c r="BF73" i="1"/>
  <c r="BF70" i="1"/>
  <c r="BF37" i="1"/>
  <c r="BF71" i="1" l="1"/>
  <c r="BS64" i="2"/>
  <c r="BS66" i="2" s="1"/>
  <c r="BF99" i="1"/>
  <c r="BF38" i="1"/>
  <c r="BF74" i="1"/>
  <c r="BF76" i="1"/>
  <c r="BF100" i="1" l="1"/>
  <c r="BQ33" i="5" l="1"/>
  <c r="BF43" i="5"/>
  <c r="BF29" i="5"/>
  <c r="BF23" i="5"/>
  <c r="BF16" i="5"/>
  <c r="BF10" i="5"/>
  <c r="BC83" i="3"/>
  <c r="BC69" i="3"/>
  <c r="BC70" i="3" s="1"/>
  <c r="BC64" i="3"/>
  <c r="BC51" i="3"/>
  <c r="BC33" i="3"/>
  <c r="BC19" i="3"/>
  <c r="BC66" i="3" l="1"/>
  <c r="BC67" i="3" s="1"/>
  <c r="BC35" i="3"/>
  <c r="BF20" i="5"/>
  <c r="BF21" i="5" s="1"/>
  <c r="BC72" i="3" l="1"/>
  <c r="BC87" i="3"/>
  <c r="BC36" i="3"/>
  <c r="BF35" i="5"/>
  <c r="BC88" i="3"/>
  <c r="BF50" i="5" l="1"/>
  <c r="BF37" i="5"/>
  <c r="BF39" i="5"/>
  <c r="BF57" i="5" l="1"/>
  <c r="BF41" i="5"/>
  <c r="BF59" i="5" l="1"/>
  <c r="BQ63" i="2" l="1"/>
  <c r="BQ54" i="2"/>
  <c r="BQ47" i="2"/>
  <c r="CC59" i="2"/>
  <c r="CC52" i="2"/>
  <c r="CC43" i="2"/>
  <c r="CC39" i="2"/>
  <c r="BQ22" i="2"/>
  <c r="BQ19" i="2"/>
  <c r="BQ46" i="2" l="1"/>
  <c r="BQ33" i="2"/>
  <c r="BQ27" i="2"/>
  <c r="BQ18" i="2"/>
  <c r="BQ10" i="2"/>
  <c r="BE93" i="1"/>
  <c r="BE89" i="1"/>
  <c r="BE87" i="1"/>
  <c r="BE68" i="1"/>
  <c r="BE54" i="1"/>
  <c r="BE35" i="1"/>
  <c r="BE19" i="1"/>
  <c r="BE73" i="1" l="1"/>
  <c r="BE90" i="1"/>
  <c r="BQ24" i="2"/>
  <c r="BE102" i="1"/>
  <c r="BE70" i="1"/>
  <c r="BE37" i="1"/>
  <c r="BE71" i="1" l="1"/>
  <c r="BE76" i="1"/>
  <c r="BE38" i="1"/>
  <c r="BE99" i="1"/>
  <c r="BE74" i="1"/>
  <c r="BQ25" i="2"/>
  <c r="BQ38" i="2"/>
  <c r="BE100" i="1" l="1"/>
  <c r="BQ42" i="2"/>
  <c r="BQ40" i="2"/>
  <c r="BQ51" i="2"/>
  <c r="BQ51" i="5"/>
  <c r="BQ47" i="5"/>
  <c r="BQ40" i="5"/>
  <c r="BQ36" i="5"/>
  <c r="BQ27" i="5"/>
  <c r="BE43" i="5"/>
  <c r="BE29" i="5"/>
  <c r="BE23" i="5"/>
  <c r="BE16" i="5"/>
  <c r="BE10" i="5"/>
  <c r="BB83" i="3"/>
  <c r="BB69" i="3"/>
  <c r="BB70" i="3" s="1"/>
  <c r="BB64" i="3"/>
  <c r="BB51" i="3"/>
  <c r="BB33" i="3"/>
  <c r="BB19" i="3"/>
  <c r="BB35" i="3" l="1"/>
  <c r="BB36" i="3" s="1"/>
  <c r="BQ56" i="2"/>
  <c r="BQ44" i="2"/>
  <c r="BE20" i="5"/>
  <c r="BE21" i="5" s="1"/>
  <c r="BB66" i="3"/>
  <c r="BE35" i="5" l="1"/>
  <c r="BE50" i="5" s="1"/>
  <c r="BE57" i="5" s="1"/>
  <c r="BE59" i="5" s="1"/>
  <c r="BQ58" i="2"/>
  <c r="BB87" i="3"/>
  <c r="BB67" i="3"/>
  <c r="BB72" i="3"/>
  <c r="BE37" i="5" l="1"/>
  <c r="BE39" i="5"/>
  <c r="BE41" i="5" s="1"/>
  <c r="BQ60" i="2"/>
  <c r="BQ64" i="2"/>
  <c r="BB88" i="3"/>
  <c r="BQ66" i="2" l="1"/>
  <c r="CD59" i="2" l="1"/>
  <c r="CD52" i="2"/>
  <c r="CD43" i="2"/>
  <c r="CD39" i="2"/>
  <c r="BO63" i="2"/>
  <c r="BO47" i="2"/>
  <c r="BO34" i="2"/>
  <c r="BO28" i="2"/>
  <c r="BO13" i="2"/>
  <c r="BO46" i="2" l="1"/>
  <c r="BO33" i="2"/>
  <c r="BO27" i="2"/>
  <c r="BO18" i="2"/>
  <c r="BO10" i="2"/>
  <c r="BD93" i="1"/>
  <c r="BD89" i="1"/>
  <c r="BD87" i="1"/>
  <c r="BD68" i="1"/>
  <c r="BD54" i="1"/>
  <c r="BD35" i="1"/>
  <c r="BD19" i="1"/>
  <c r="BD37" i="1" l="1"/>
  <c r="BD38" i="1" s="1"/>
  <c r="BO24" i="2"/>
  <c r="BD90" i="1"/>
  <c r="BD102" i="1"/>
  <c r="BD73" i="1"/>
  <c r="BD70" i="1"/>
  <c r="BO25" i="2" l="1"/>
  <c r="BO38" i="2"/>
  <c r="BD74" i="1"/>
  <c r="BD99" i="1"/>
  <c r="BD76" i="1"/>
  <c r="BD71" i="1"/>
  <c r="BD100" i="1" l="1"/>
  <c r="BO42" i="2"/>
  <c r="BO51" i="2"/>
  <c r="BO40" i="2"/>
  <c r="BO44" i="2" l="1"/>
  <c r="BO56" i="2"/>
  <c r="BO58" i="2" l="1"/>
  <c r="BO64" i="2" l="1"/>
  <c r="BO60" i="2"/>
  <c r="BO66" i="2" l="1"/>
  <c r="BP27" i="5" l="1"/>
  <c r="BD43" i="5"/>
  <c r="BD29" i="5"/>
  <c r="BD23" i="5"/>
  <c r="BD16" i="5"/>
  <c r="BD10" i="5"/>
  <c r="BA83" i="3"/>
  <c r="BA69" i="3"/>
  <c r="BA70" i="3" s="1"/>
  <c r="BA64" i="3"/>
  <c r="BA51" i="3"/>
  <c r="BA33" i="3"/>
  <c r="BA19" i="3"/>
  <c r="BM54" i="2"/>
  <c r="BM35" i="2"/>
  <c r="BM31" i="2"/>
  <c r="BM19" i="2"/>
  <c r="BM46" i="2"/>
  <c r="BA66" i="3" l="1"/>
  <c r="BA72" i="3" s="1"/>
  <c r="BM18" i="2"/>
  <c r="BM27" i="2"/>
  <c r="BD20" i="5"/>
  <c r="BA35" i="3"/>
  <c r="BM33" i="2"/>
  <c r="BM10" i="2"/>
  <c r="BA67" i="3" l="1"/>
  <c r="BA87" i="3"/>
  <c r="BD35" i="5"/>
  <c r="BD21" i="5"/>
  <c r="BA36" i="3"/>
  <c r="BM24" i="2"/>
  <c r="BA88" i="3" l="1"/>
  <c r="BD37" i="5"/>
  <c r="BD39" i="5"/>
  <c r="BD50" i="5"/>
  <c r="BM25" i="2"/>
  <c r="BM38" i="2"/>
  <c r="BD57" i="5" l="1"/>
  <c r="BD41" i="5"/>
  <c r="BM40" i="2"/>
  <c r="BM42" i="2"/>
  <c r="BM51" i="2"/>
  <c r="BD59" i="5" l="1"/>
  <c r="BM56" i="2"/>
  <c r="BM44" i="2"/>
  <c r="BM58" i="2" l="1"/>
  <c r="BM60" i="2" l="1"/>
  <c r="BM64" i="2"/>
  <c r="BM66" i="2" l="1"/>
  <c r="BC87" i="1" l="1"/>
  <c r="BC93" i="1" l="1"/>
  <c r="BC89" i="1"/>
  <c r="BC68" i="1"/>
  <c r="BC54" i="1"/>
  <c r="BC35" i="1"/>
  <c r="BC19" i="1"/>
  <c r="BC37" i="1" l="1"/>
  <c r="BC90" i="1"/>
  <c r="BC102" i="1"/>
  <c r="BC70" i="1"/>
  <c r="BC73" i="1"/>
  <c r="BC74" i="1" s="1"/>
  <c r="BC71" i="1" l="1"/>
  <c r="BC38" i="1"/>
  <c r="BC99" i="1"/>
  <c r="BC76" i="1"/>
  <c r="BC100" i="1" l="1"/>
  <c r="BK63" i="2"/>
  <c r="BK15" i="2"/>
  <c r="BK12" i="2" l="1"/>
  <c r="BP51" i="5" l="1"/>
  <c r="BP47" i="5"/>
  <c r="BP40" i="5"/>
  <c r="BP36" i="5"/>
  <c r="BP34" i="5"/>
  <c r="BB43" i="5"/>
  <c r="BB29" i="5"/>
  <c r="BB23" i="5"/>
  <c r="BB16" i="5"/>
  <c r="BB10" i="5"/>
  <c r="AY83" i="3"/>
  <c r="AY69" i="3"/>
  <c r="AY64" i="3"/>
  <c r="AY51" i="3"/>
  <c r="AY33" i="3"/>
  <c r="AY19" i="3"/>
  <c r="BB20" i="5" l="1"/>
  <c r="BB35" i="5" s="1"/>
  <c r="AY35" i="3"/>
  <c r="AY66" i="3"/>
  <c r="AY70" i="3"/>
  <c r="AY72" i="3" l="1"/>
  <c r="BB21" i="5"/>
  <c r="AY36" i="3"/>
  <c r="AY87" i="3"/>
  <c r="AY67" i="3"/>
  <c r="BB50" i="5"/>
  <c r="BB57" i="5" s="1"/>
  <c r="BB59" i="5" s="1"/>
  <c r="BB39" i="5"/>
  <c r="BB41" i="5" s="1"/>
  <c r="BB37" i="5"/>
  <c r="AY88" i="3" l="1"/>
  <c r="BK54" i="2" l="1"/>
  <c r="BK35" i="2"/>
  <c r="BK31" i="2"/>
  <c r="BK30" i="2"/>
  <c r="BK28" i="2"/>
  <c r="BK22" i="2"/>
  <c r="BK16" i="2"/>
  <c r="BK46" i="2" l="1"/>
  <c r="BK33" i="2"/>
  <c r="BK27" i="2"/>
  <c r="BK18" i="2"/>
  <c r="BK10" i="2"/>
  <c r="BK24" i="2" l="1"/>
  <c r="BK25" i="2" l="1"/>
  <c r="BK38" i="2"/>
  <c r="BK40" i="2" l="1"/>
  <c r="BK42" i="2"/>
  <c r="BK51" i="2"/>
  <c r="BK44" i="2" l="1"/>
  <c r="BK56" i="2"/>
  <c r="BK58" i="2" l="1"/>
  <c r="BK64" i="2" l="1"/>
  <c r="BK60" i="2"/>
  <c r="BK66" i="2" l="1"/>
  <c r="BA93" i="1" l="1"/>
  <c r="BA89" i="1"/>
  <c r="BA87" i="1"/>
  <c r="BA68" i="1"/>
  <c r="BA54" i="1"/>
  <c r="BA35" i="1"/>
  <c r="BA19" i="1"/>
  <c r="BA73" i="1" l="1"/>
  <c r="BA90" i="1"/>
  <c r="BA102" i="1"/>
  <c r="BA70" i="1"/>
  <c r="BA37" i="1"/>
  <c r="BA74" i="1" l="1"/>
  <c r="BA38" i="1"/>
  <c r="BA71" i="1"/>
  <c r="BA76" i="1"/>
  <c r="BA99" i="1"/>
  <c r="BA100" i="1" l="1"/>
  <c r="BJ54" i="2" l="1"/>
  <c r="BJ48" i="2"/>
  <c r="BJ30" i="2"/>
  <c r="BJ15" i="2"/>
  <c r="BJ35" i="2" l="1"/>
  <c r="K58" i="5" l="1"/>
  <c r="AR53" i="5"/>
  <c r="AB53" i="5"/>
  <c r="Z53" i="5"/>
  <c r="U53" i="5"/>
  <c r="U46" i="5"/>
  <c r="H46" i="5"/>
  <c r="H43" i="5" s="1"/>
  <c r="AP44" i="5"/>
  <c r="AP43" i="5" s="1"/>
  <c r="AB44" i="5"/>
  <c r="AB43" i="5" s="1"/>
  <c r="Z44" i="5"/>
  <c r="Z43" i="5" s="1"/>
  <c r="U44" i="5"/>
  <c r="J44" i="5"/>
  <c r="J43" i="5" s="1"/>
  <c r="I44" i="5"/>
  <c r="I43" i="5" s="1"/>
  <c r="E44" i="5"/>
  <c r="E43" i="5" s="1"/>
  <c r="BA43" i="5"/>
  <c r="AZ43" i="5"/>
  <c r="AY43" i="5"/>
  <c r="AW43" i="5"/>
  <c r="AV43" i="5"/>
  <c r="AU43" i="5"/>
  <c r="AT43" i="5"/>
  <c r="AR43" i="5"/>
  <c r="AQ43" i="5"/>
  <c r="AO43" i="5"/>
  <c r="AM43" i="5"/>
  <c r="AL43" i="5"/>
  <c r="AK43" i="5"/>
  <c r="AJ43" i="5"/>
  <c r="AH43" i="5"/>
  <c r="AG43" i="5"/>
  <c r="AF43" i="5"/>
  <c r="AE43" i="5"/>
  <c r="AC43" i="5"/>
  <c r="AA43" i="5"/>
  <c r="Y43" i="5"/>
  <c r="X43" i="5"/>
  <c r="W43" i="5"/>
  <c r="T43" i="5"/>
  <c r="S43" i="5"/>
  <c r="R43" i="5"/>
  <c r="Q43" i="5"/>
  <c r="P43" i="5"/>
  <c r="O43" i="5"/>
  <c r="N43" i="5"/>
  <c r="L43" i="5"/>
  <c r="K43" i="5"/>
  <c r="F43" i="5"/>
  <c r="D43" i="5"/>
  <c r="C43" i="5"/>
  <c r="K40" i="5"/>
  <c r="K36" i="5"/>
  <c r="AB32" i="5"/>
  <c r="AB31" i="5"/>
  <c r="U31" i="5"/>
  <c r="I31" i="5"/>
  <c r="AB30" i="5"/>
  <c r="Z30" i="5"/>
  <c r="Z29" i="5" s="1"/>
  <c r="U30" i="5"/>
  <c r="I30" i="5"/>
  <c r="H30" i="5"/>
  <c r="H29" i="5" s="1"/>
  <c r="BA29" i="5"/>
  <c r="AZ29" i="5"/>
  <c r="AY29" i="5"/>
  <c r="AW29" i="5"/>
  <c r="AV29" i="5"/>
  <c r="AU29" i="5"/>
  <c r="AT29" i="5"/>
  <c r="AR29" i="5"/>
  <c r="AQ29" i="5"/>
  <c r="AP29" i="5"/>
  <c r="AO29" i="5"/>
  <c r="AM29" i="5"/>
  <c r="AL29" i="5"/>
  <c r="AK29" i="5"/>
  <c r="AJ29" i="5"/>
  <c r="AH29" i="5"/>
  <c r="AG29" i="5"/>
  <c r="AF29" i="5"/>
  <c r="AE29" i="5"/>
  <c r="AC29" i="5"/>
  <c r="AA29" i="5"/>
  <c r="Y29" i="5"/>
  <c r="X29" i="5"/>
  <c r="W29" i="5"/>
  <c r="T29" i="5"/>
  <c r="S29" i="5"/>
  <c r="R29" i="5"/>
  <c r="Q29" i="5"/>
  <c r="P29" i="5"/>
  <c r="O29" i="5"/>
  <c r="N29" i="5"/>
  <c r="L29" i="5"/>
  <c r="K29" i="5"/>
  <c r="J29" i="5"/>
  <c r="F29" i="5"/>
  <c r="E29" i="5"/>
  <c r="D29" i="5"/>
  <c r="C29" i="5"/>
  <c r="AB26" i="5"/>
  <c r="U26" i="5"/>
  <c r="AB25" i="5"/>
  <c r="Z25" i="5"/>
  <c r="U25" i="5"/>
  <c r="AG24" i="5"/>
  <c r="AG23" i="5" s="1"/>
  <c r="AF24" i="5"/>
  <c r="AF23" i="5" s="1"/>
  <c r="AB24" i="5"/>
  <c r="Z24" i="5"/>
  <c r="U24" i="5"/>
  <c r="I24" i="5"/>
  <c r="I23" i="5" s="1"/>
  <c r="F24" i="5"/>
  <c r="F23" i="5" s="1"/>
  <c r="BA23" i="5"/>
  <c r="AZ23" i="5"/>
  <c r="AY23" i="5"/>
  <c r="AW23" i="5"/>
  <c r="AV23" i="5"/>
  <c r="AU23" i="5"/>
  <c r="AT23" i="5"/>
  <c r="AR23" i="5"/>
  <c r="AQ23" i="5"/>
  <c r="AP23" i="5"/>
  <c r="AO23" i="5"/>
  <c r="AM23" i="5"/>
  <c r="AL23" i="5"/>
  <c r="AK23" i="5"/>
  <c r="AJ23" i="5"/>
  <c r="AH23" i="5"/>
  <c r="AE23" i="5"/>
  <c r="AC23" i="5"/>
  <c r="AA23" i="5"/>
  <c r="Y23" i="5"/>
  <c r="X23" i="5"/>
  <c r="W23" i="5"/>
  <c r="T23" i="5"/>
  <c r="S23" i="5"/>
  <c r="R23" i="5"/>
  <c r="Q23" i="5"/>
  <c r="P23" i="5"/>
  <c r="O23" i="5"/>
  <c r="N23" i="5"/>
  <c r="L23" i="5"/>
  <c r="K23" i="5"/>
  <c r="J23" i="5"/>
  <c r="H23" i="5"/>
  <c r="E23" i="5"/>
  <c r="D23" i="5"/>
  <c r="C23" i="5"/>
  <c r="BA16" i="5"/>
  <c r="AZ16" i="5"/>
  <c r="AY16" i="5"/>
  <c r="AW16" i="5"/>
  <c r="AV16" i="5"/>
  <c r="AU16" i="5"/>
  <c r="AT16" i="5"/>
  <c r="AR16" i="5"/>
  <c r="AQ16" i="5"/>
  <c r="AP16" i="5"/>
  <c r="AO16" i="5"/>
  <c r="AM16" i="5"/>
  <c r="AL16" i="5"/>
  <c r="AK16" i="5"/>
  <c r="AJ16" i="5"/>
  <c r="AH16" i="5"/>
  <c r="AG16" i="5"/>
  <c r="AF16" i="5"/>
  <c r="AE16" i="5"/>
  <c r="AC16" i="5"/>
  <c r="AB16" i="5"/>
  <c r="AA16" i="5"/>
  <c r="Z16" i="5"/>
  <c r="Y16" i="5"/>
  <c r="X16" i="5"/>
  <c r="W16" i="5"/>
  <c r="U16" i="5"/>
  <c r="T16" i="5"/>
  <c r="S16" i="5"/>
  <c r="R16" i="5"/>
  <c r="Q16" i="5"/>
  <c r="P16" i="5"/>
  <c r="O16" i="5"/>
  <c r="N16" i="5"/>
  <c r="M16" i="5"/>
  <c r="L16" i="5"/>
  <c r="K16" i="5"/>
  <c r="J16" i="5"/>
  <c r="I16" i="5"/>
  <c r="H16" i="5"/>
  <c r="F16" i="5"/>
  <c r="E16" i="5"/>
  <c r="D16" i="5"/>
  <c r="C16" i="5"/>
  <c r="AR14" i="5"/>
  <c r="AR10" i="5" s="1"/>
  <c r="AM14" i="5"/>
  <c r="AM10" i="5" s="1"/>
  <c r="AG14" i="5"/>
  <c r="AG10" i="5" s="1"/>
  <c r="AB14" i="5"/>
  <c r="Z14" i="5"/>
  <c r="U14" i="5"/>
  <c r="K14" i="5"/>
  <c r="K10" i="5" s="1"/>
  <c r="I14" i="5"/>
  <c r="H14" i="5"/>
  <c r="AB13" i="5"/>
  <c r="Z13" i="5"/>
  <c r="U13" i="5"/>
  <c r="I13" i="5"/>
  <c r="H13" i="5"/>
  <c r="AB12" i="5"/>
  <c r="F12" i="5"/>
  <c r="F10" i="5" s="1"/>
  <c r="K11" i="5"/>
  <c r="BA10" i="5"/>
  <c r="AZ10" i="5"/>
  <c r="AY10" i="5"/>
  <c r="AW10" i="5"/>
  <c r="AV10" i="5"/>
  <c r="AU10" i="5"/>
  <c r="AT10" i="5"/>
  <c r="AQ10" i="5"/>
  <c r="AQ20" i="5" s="1"/>
  <c r="AP10" i="5"/>
  <c r="AO10" i="5"/>
  <c r="AL10" i="5"/>
  <c r="AK10" i="5"/>
  <c r="AJ10" i="5"/>
  <c r="AH10" i="5"/>
  <c r="AF10" i="5"/>
  <c r="AE10" i="5"/>
  <c r="AC10" i="5"/>
  <c r="AA10" i="5"/>
  <c r="Y10" i="5"/>
  <c r="X10" i="5"/>
  <c r="W10" i="5"/>
  <c r="W20" i="5" s="1"/>
  <c r="T10" i="5"/>
  <c r="S10" i="5"/>
  <c r="R10" i="5"/>
  <c r="Q10" i="5"/>
  <c r="P10" i="5"/>
  <c r="O10" i="5"/>
  <c r="N10" i="5"/>
  <c r="L10" i="5"/>
  <c r="J10" i="5"/>
  <c r="E10" i="5"/>
  <c r="D10" i="5"/>
  <c r="C10" i="5"/>
  <c r="Y88" i="3"/>
  <c r="X88" i="3"/>
  <c r="W88" i="3"/>
  <c r="U88" i="3"/>
  <c r="S88" i="3"/>
  <c r="R88" i="3"/>
  <c r="Q88" i="3"/>
  <c r="P88" i="3"/>
  <c r="N88" i="3"/>
  <c r="M88" i="3"/>
  <c r="L88" i="3"/>
  <c r="K88" i="3"/>
  <c r="J88" i="3"/>
  <c r="H88" i="3"/>
  <c r="G88" i="3"/>
  <c r="F88" i="3"/>
  <c r="E88" i="3"/>
  <c r="C88" i="3"/>
  <c r="AX83" i="3"/>
  <c r="AW83" i="3"/>
  <c r="AV83" i="3"/>
  <c r="AT83" i="3"/>
  <c r="AS83" i="3"/>
  <c r="AR83" i="3"/>
  <c r="AQ83" i="3"/>
  <c r="AO83" i="3"/>
  <c r="AN83" i="3"/>
  <c r="AM83" i="3"/>
  <c r="AL83" i="3"/>
  <c r="AJ83" i="3"/>
  <c r="AI83" i="3"/>
  <c r="AH83" i="3"/>
  <c r="AG83" i="3"/>
  <c r="AE83" i="3"/>
  <c r="AD83" i="3"/>
  <c r="AC83" i="3"/>
  <c r="AB83" i="3"/>
  <c r="Z83" i="3"/>
  <c r="Y83" i="3"/>
  <c r="U83" i="3"/>
  <c r="S83" i="3"/>
  <c r="R83" i="3"/>
  <c r="Q83" i="3"/>
  <c r="P83" i="3"/>
  <c r="J83" i="3"/>
  <c r="H83" i="3"/>
  <c r="G83" i="3"/>
  <c r="F83" i="3"/>
  <c r="E83" i="3"/>
  <c r="C83" i="3"/>
  <c r="T80" i="3"/>
  <c r="N80" i="3"/>
  <c r="L80" i="3"/>
  <c r="K80" i="3"/>
  <c r="T79" i="3"/>
  <c r="N79" i="3"/>
  <c r="M78" i="3"/>
  <c r="M69" i="3" s="1"/>
  <c r="L77" i="3"/>
  <c r="K77" i="3"/>
  <c r="X75" i="3"/>
  <c r="X69" i="3" s="1"/>
  <c r="W75" i="3"/>
  <c r="W83" i="3" s="1"/>
  <c r="T75" i="3"/>
  <c r="AX69" i="3"/>
  <c r="AW69" i="3"/>
  <c r="AW70" i="3" s="1"/>
  <c r="AV69" i="3"/>
  <c r="AV70" i="3" s="1"/>
  <c r="AT69" i="3"/>
  <c r="AS69" i="3"/>
  <c r="AS70" i="3" s="1"/>
  <c r="AR69" i="3"/>
  <c r="AR70" i="3" s="1"/>
  <c r="AQ69" i="3"/>
  <c r="AQ70" i="3" s="1"/>
  <c r="AO69" i="3"/>
  <c r="AO70" i="3" s="1"/>
  <c r="AN69" i="3"/>
  <c r="AN70" i="3" s="1"/>
  <c r="AM69" i="3"/>
  <c r="AM70" i="3" s="1"/>
  <c r="AL69" i="3"/>
  <c r="AL70" i="3" s="1"/>
  <c r="AJ69" i="3"/>
  <c r="AJ70" i="3" s="1"/>
  <c r="AI69" i="3"/>
  <c r="AI70" i="3" s="1"/>
  <c r="AH69" i="3"/>
  <c r="AH70" i="3" s="1"/>
  <c r="AG69" i="3"/>
  <c r="AG70" i="3" s="1"/>
  <c r="AE69" i="3"/>
  <c r="AE70" i="3" s="1"/>
  <c r="AD69" i="3"/>
  <c r="AD70" i="3" s="1"/>
  <c r="AC69" i="3"/>
  <c r="AC70" i="3" s="1"/>
  <c r="AB69" i="3"/>
  <c r="AB70" i="3" s="1"/>
  <c r="Z69" i="3"/>
  <c r="Z70" i="3" s="1"/>
  <c r="Y69" i="3"/>
  <c r="U69" i="3"/>
  <c r="S69" i="3"/>
  <c r="R69" i="3"/>
  <c r="Q69" i="3"/>
  <c r="P69" i="3"/>
  <c r="J69" i="3"/>
  <c r="H69" i="3"/>
  <c r="G69" i="3"/>
  <c r="F69" i="3"/>
  <c r="E69" i="3"/>
  <c r="C69" i="3"/>
  <c r="AX64" i="3"/>
  <c r="AW64" i="3"/>
  <c r="AV64" i="3"/>
  <c r="AT64" i="3"/>
  <c r="AS64" i="3"/>
  <c r="AR64" i="3"/>
  <c r="AQ64" i="3"/>
  <c r="AO64" i="3"/>
  <c r="AN64" i="3"/>
  <c r="AM64" i="3"/>
  <c r="AL64" i="3"/>
  <c r="AJ64" i="3"/>
  <c r="AI64" i="3"/>
  <c r="AH64" i="3"/>
  <c r="AG64" i="3"/>
  <c r="AE64" i="3"/>
  <c r="AD64" i="3"/>
  <c r="AC64" i="3"/>
  <c r="AB64" i="3"/>
  <c r="Z64" i="3"/>
  <c r="Y64" i="3"/>
  <c r="X64" i="3"/>
  <c r="W64" i="3"/>
  <c r="U64" i="3"/>
  <c r="T64" i="3"/>
  <c r="S64" i="3"/>
  <c r="P64" i="3"/>
  <c r="N64" i="3"/>
  <c r="M64" i="3"/>
  <c r="L64" i="3"/>
  <c r="K64" i="3"/>
  <c r="J64" i="3"/>
  <c r="H64" i="3"/>
  <c r="G64" i="3"/>
  <c r="E64" i="3"/>
  <c r="C64" i="3"/>
  <c r="F62" i="3"/>
  <c r="F64" i="3" s="1"/>
  <c r="R59" i="3"/>
  <c r="R64" i="3" s="1"/>
  <c r="Q59" i="3"/>
  <c r="Q64" i="3" s="1"/>
  <c r="AX51" i="3"/>
  <c r="AW51" i="3"/>
  <c r="AW66" i="3" s="1"/>
  <c r="AV51" i="3"/>
  <c r="AV66" i="3" s="1"/>
  <c r="AT51" i="3"/>
  <c r="AS51" i="3"/>
  <c r="AR51" i="3"/>
  <c r="AQ51" i="3"/>
  <c r="AO51" i="3"/>
  <c r="AN51" i="3"/>
  <c r="AM51" i="3"/>
  <c r="AM66" i="3" s="1"/>
  <c r="AL51" i="3"/>
  <c r="AL66" i="3" s="1"/>
  <c r="AJ51" i="3"/>
  <c r="AI51" i="3"/>
  <c r="AH51" i="3"/>
  <c r="AG51" i="3"/>
  <c r="AG66" i="3" s="1"/>
  <c r="AE51" i="3"/>
  <c r="AD51" i="3"/>
  <c r="AC51" i="3"/>
  <c r="AC66" i="3" s="1"/>
  <c r="AC67" i="3" s="1"/>
  <c r="AB51" i="3"/>
  <c r="AB66" i="3" s="1"/>
  <c r="Z51" i="3"/>
  <c r="Y51" i="3"/>
  <c r="X51" i="3"/>
  <c r="W51" i="3"/>
  <c r="W66" i="3" s="1"/>
  <c r="U51" i="3"/>
  <c r="S51" i="3"/>
  <c r="S66" i="3" s="1"/>
  <c r="S72" i="3" s="1"/>
  <c r="M47" i="3"/>
  <c r="F47" i="3"/>
  <c r="T44" i="3"/>
  <c r="T51" i="3" s="1"/>
  <c r="R44" i="3"/>
  <c r="R51" i="3" s="1"/>
  <c r="Q44" i="3"/>
  <c r="Q51" i="3" s="1"/>
  <c r="P44" i="3"/>
  <c r="P51" i="3" s="1"/>
  <c r="P66" i="3" s="1"/>
  <c r="P72" i="3" s="1"/>
  <c r="N44" i="3"/>
  <c r="M44" i="3"/>
  <c r="L44" i="3"/>
  <c r="L51" i="3" s="1"/>
  <c r="L66" i="3" s="1"/>
  <c r="K44" i="3"/>
  <c r="K51" i="3" s="1"/>
  <c r="K66" i="3" s="1"/>
  <c r="J44" i="3"/>
  <c r="H44" i="3"/>
  <c r="H51" i="3" s="1"/>
  <c r="G44" i="3"/>
  <c r="G51" i="3" s="1"/>
  <c r="G66" i="3" s="1"/>
  <c r="F44" i="3"/>
  <c r="F51" i="3" s="1"/>
  <c r="E44" i="3"/>
  <c r="E51" i="3" s="1"/>
  <c r="E66" i="3" s="1"/>
  <c r="C44" i="3"/>
  <c r="C51" i="3" s="1"/>
  <c r="M43" i="3"/>
  <c r="N42" i="3"/>
  <c r="M42" i="3"/>
  <c r="N41" i="3"/>
  <c r="M41" i="3"/>
  <c r="J41" i="3"/>
  <c r="J51" i="3" s="1"/>
  <c r="N40" i="3"/>
  <c r="M40" i="3"/>
  <c r="AX33" i="3"/>
  <c r="AW33" i="3"/>
  <c r="AV33" i="3"/>
  <c r="AT33" i="3"/>
  <c r="AS33" i="3"/>
  <c r="AR33" i="3"/>
  <c r="AQ33" i="3"/>
  <c r="AO33" i="3"/>
  <c r="AN33" i="3"/>
  <c r="AM33" i="3"/>
  <c r="AL33" i="3"/>
  <c r="AJ33" i="3"/>
  <c r="AI33" i="3"/>
  <c r="AH33" i="3"/>
  <c r="AG33" i="3"/>
  <c r="AE33" i="3"/>
  <c r="AD33" i="3"/>
  <c r="AC33" i="3"/>
  <c r="AB33" i="3"/>
  <c r="Z33" i="3"/>
  <c r="Y33" i="3"/>
  <c r="X33" i="3"/>
  <c r="W33" i="3"/>
  <c r="T33" i="3"/>
  <c r="S33" i="3"/>
  <c r="R33" i="3"/>
  <c r="Q33" i="3"/>
  <c r="P33" i="3"/>
  <c r="N33" i="3"/>
  <c r="L33" i="3"/>
  <c r="K33" i="3"/>
  <c r="J33" i="3"/>
  <c r="H33" i="3"/>
  <c r="G33" i="3"/>
  <c r="E33" i="3"/>
  <c r="U27" i="3"/>
  <c r="U33" i="3" s="1"/>
  <c r="F22" i="3"/>
  <c r="F33" i="3" s="1"/>
  <c r="M21" i="3"/>
  <c r="M33" i="3" s="1"/>
  <c r="C21" i="3"/>
  <c r="C33" i="3" s="1"/>
  <c r="AX19" i="3"/>
  <c r="AW19" i="3"/>
  <c r="AV19" i="3"/>
  <c r="AV35" i="3" s="1"/>
  <c r="AV87" i="3" s="1"/>
  <c r="AT19" i="3"/>
  <c r="AS19" i="3"/>
  <c r="AR19" i="3"/>
  <c r="AR35" i="3" s="1"/>
  <c r="AR36" i="3" s="1"/>
  <c r="AQ19" i="3"/>
  <c r="AO19" i="3"/>
  <c r="AN19" i="3"/>
  <c r="AM19" i="3"/>
  <c r="AL19" i="3"/>
  <c r="AL35" i="3" s="1"/>
  <c r="AJ19" i="3"/>
  <c r="AI19" i="3"/>
  <c r="AH19" i="3"/>
  <c r="AH35" i="3" s="1"/>
  <c r="AH36" i="3" s="1"/>
  <c r="AG19" i="3"/>
  <c r="AE19" i="3"/>
  <c r="AD19" i="3"/>
  <c r="AC19" i="3"/>
  <c r="AB19" i="3"/>
  <c r="AB35" i="3" s="1"/>
  <c r="Y19" i="3"/>
  <c r="X19" i="3"/>
  <c r="X35" i="3" s="1"/>
  <c r="W19" i="3"/>
  <c r="W35" i="3" s="1"/>
  <c r="U19" i="3"/>
  <c r="T19" i="3"/>
  <c r="S19" i="3"/>
  <c r="R19" i="3"/>
  <c r="Q19" i="3"/>
  <c r="P19" i="3"/>
  <c r="N19" i="3"/>
  <c r="M19" i="3"/>
  <c r="M35" i="3" s="1"/>
  <c r="L19" i="3"/>
  <c r="L35" i="3" s="1"/>
  <c r="K19" i="3"/>
  <c r="K35" i="3" s="1"/>
  <c r="J19" i="3"/>
  <c r="J35" i="3" s="1"/>
  <c r="H19" i="3"/>
  <c r="H35" i="3" s="1"/>
  <c r="F19" i="3"/>
  <c r="E19" i="3"/>
  <c r="E35" i="3" s="1"/>
  <c r="C19" i="3"/>
  <c r="G13" i="3"/>
  <c r="G19" i="3" s="1"/>
  <c r="Z10" i="3"/>
  <c r="Z19" i="3" s="1"/>
  <c r="C89" i="2"/>
  <c r="C88" i="2"/>
  <c r="C87" i="2"/>
  <c r="C81" i="2"/>
  <c r="C77" i="2"/>
  <c r="C68" i="2"/>
  <c r="L65" i="2"/>
  <c r="BE63" i="2"/>
  <c r="BD63" i="2"/>
  <c r="AZ63" i="2"/>
  <c r="AY63" i="2"/>
  <c r="AU63" i="2"/>
  <c r="AT63" i="2"/>
  <c r="AS63" i="2"/>
  <c r="AR63" i="2"/>
  <c r="AQ63" i="2"/>
  <c r="AO63" i="2"/>
  <c r="AN63" i="2"/>
  <c r="AB63" i="2"/>
  <c r="AA63" i="2"/>
  <c r="Q63" i="2"/>
  <c r="I63" i="2"/>
  <c r="E63" i="2"/>
  <c r="M60" i="2"/>
  <c r="G60" i="2"/>
  <c r="L59" i="2"/>
  <c r="F57" i="2"/>
  <c r="E57" i="2"/>
  <c r="D57" i="2"/>
  <c r="AY54" i="2"/>
  <c r="AI54" i="2"/>
  <c r="AH54" i="2"/>
  <c r="AD54" i="2"/>
  <c r="AC54" i="2"/>
  <c r="AB54" i="2"/>
  <c r="AA54" i="2"/>
  <c r="Z54" i="2"/>
  <c r="Y54" i="2"/>
  <c r="W54" i="2"/>
  <c r="U54" i="2"/>
  <c r="S54" i="2"/>
  <c r="Q54" i="2"/>
  <c r="O54" i="2"/>
  <c r="L52" i="2"/>
  <c r="BI48" i="2"/>
  <c r="BA48" i="2"/>
  <c r="AT48" i="2"/>
  <c r="AT46" i="2" s="1"/>
  <c r="AR48" i="2"/>
  <c r="AR46" i="2" s="1"/>
  <c r="AO48" i="2"/>
  <c r="AO46" i="2" s="1"/>
  <c r="AB48" i="2"/>
  <c r="AA48" i="2"/>
  <c r="Q48" i="2"/>
  <c r="K48" i="2"/>
  <c r="BJ47" i="2"/>
  <c r="BJ46" i="2" s="1"/>
  <c r="BI47" i="2"/>
  <c r="BF47" i="2"/>
  <c r="BF46" i="2" s="1"/>
  <c r="BE47" i="2"/>
  <c r="BA47" i="2"/>
  <c r="AV47" i="2"/>
  <c r="AV46" i="2" s="1"/>
  <c r="AU47" i="2"/>
  <c r="AU46" i="2" s="1"/>
  <c r="AK47" i="2"/>
  <c r="AK46" i="2" s="1"/>
  <c r="AJ47" i="2"/>
  <c r="AJ46" i="2" s="1"/>
  <c r="AB47" i="2"/>
  <c r="AA47" i="2"/>
  <c r="T47" i="2"/>
  <c r="T46" i="2" s="1"/>
  <c r="Q47" i="2"/>
  <c r="P47" i="2"/>
  <c r="P46" i="2" s="1"/>
  <c r="K47" i="2"/>
  <c r="I47" i="2"/>
  <c r="I46" i="2" s="1"/>
  <c r="H47" i="2"/>
  <c r="H46" i="2" s="1"/>
  <c r="D47" i="2"/>
  <c r="D46" i="2" s="1"/>
  <c r="BH46" i="2"/>
  <c r="BD46" i="2"/>
  <c r="BC46" i="2"/>
  <c r="AZ46" i="2"/>
  <c r="AY46" i="2"/>
  <c r="AX46" i="2"/>
  <c r="AS46" i="2"/>
  <c r="AQ46" i="2"/>
  <c r="AN46" i="2"/>
  <c r="AI46" i="2"/>
  <c r="AH46" i="2"/>
  <c r="AG46" i="2"/>
  <c r="AF46" i="2"/>
  <c r="AD46" i="2"/>
  <c r="AC46" i="2"/>
  <c r="Z46" i="2"/>
  <c r="Y46" i="2"/>
  <c r="X46" i="2"/>
  <c r="W46" i="2"/>
  <c r="U46" i="2"/>
  <c r="S46" i="2"/>
  <c r="R46" i="2"/>
  <c r="O46" i="2"/>
  <c r="N46" i="2"/>
  <c r="L46" i="2"/>
  <c r="J46" i="2"/>
  <c r="F46" i="2"/>
  <c r="E46" i="2"/>
  <c r="C46" i="2"/>
  <c r="L43" i="2"/>
  <c r="L39" i="2"/>
  <c r="Z36" i="2"/>
  <c r="I36" i="2"/>
  <c r="AZ35" i="2"/>
  <c r="AZ33" i="2" s="1"/>
  <c r="AY35" i="2"/>
  <c r="AY33" i="2" s="1"/>
  <c r="AV35" i="2"/>
  <c r="AV33" i="2" s="1"/>
  <c r="AT35" i="2"/>
  <c r="AT33" i="2" s="1"/>
  <c r="AS35" i="2"/>
  <c r="AS33" i="2" s="1"/>
  <c r="AB35" i="2"/>
  <c r="AB33" i="2" s="1"/>
  <c r="AA35" i="2"/>
  <c r="AA33" i="2" s="1"/>
  <c r="Z35" i="2"/>
  <c r="Y35" i="2"/>
  <c r="Y33" i="2" s="1"/>
  <c r="X35" i="2"/>
  <c r="X33" i="2" s="1"/>
  <c r="W35" i="2"/>
  <c r="W33" i="2" s="1"/>
  <c r="U35" i="2"/>
  <c r="S35" i="2"/>
  <c r="S33" i="2" s="1"/>
  <c r="Q35" i="2"/>
  <c r="Q33" i="2" s="1"/>
  <c r="O35" i="2"/>
  <c r="O33" i="2" s="1"/>
  <c r="K35" i="2"/>
  <c r="K33" i="2" s="1"/>
  <c r="F35" i="2"/>
  <c r="F33" i="2" s="1"/>
  <c r="BD34" i="2"/>
  <c r="Z34" i="2"/>
  <c r="U34" i="2"/>
  <c r="T34" i="2"/>
  <c r="T33" i="2" s="1"/>
  <c r="J34" i="2"/>
  <c r="J33" i="2" s="1"/>
  <c r="I34" i="2"/>
  <c r="H34" i="2"/>
  <c r="H33" i="2" s="1"/>
  <c r="BI33" i="2"/>
  <c r="BH33" i="2"/>
  <c r="BF33" i="2"/>
  <c r="BE33" i="2"/>
  <c r="BC33" i="2"/>
  <c r="BA33" i="2"/>
  <c r="AX33" i="2"/>
  <c r="AU33" i="2"/>
  <c r="AR33" i="2"/>
  <c r="AQ33" i="2"/>
  <c r="AO33" i="2"/>
  <c r="AN33" i="2"/>
  <c r="AK33" i="2"/>
  <c r="AJ33" i="2"/>
  <c r="AI33" i="2"/>
  <c r="AH33" i="2"/>
  <c r="AG33" i="2"/>
  <c r="AF33" i="2"/>
  <c r="AD33" i="2"/>
  <c r="AC33" i="2"/>
  <c r="R33" i="2"/>
  <c r="P33" i="2"/>
  <c r="N33" i="2"/>
  <c r="M33" i="2"/>
  <c r="L33" i="2"/>
  <c r="E33" i="2"/>
  <c r="D33" i="2"/>
  <c r="C33" i="2"/>
  <c r="BF31" i="2"/>
  <c r="BE31" i="2"/>
  <c r="AV31" i="2"/>
  <c r="AV27" i="2" s="1"/>
  <c r="AI31" i="2"/>
  <c r="AH31" i="2"/>
  <c r="AB31" i="2"/>
  <c r="AA31" i="2"/>
  <c r="Z31" i="2"/>
  <c r="K31" i="2"/>
  <c r="BF30" i="2"/>
  <c r="BE30" i="2"/>
  <c r="BD30" i="2"/>
  <c r="BA30" i="2"/>
  <c r="BA27" i="2" s="1"/>
  <c r="AU30" i="2"/>
  <c r="AU27" i="2" s="1"/>
  <c r="AT30" i="2"/>
  <c r="AT27" i="2" s="1"/>
  <c r="AS30" i="2"/>
  <c r="AS27" i="2" s="1"/>
  <c r="AK30" i="2"/>
  <c r="AJ30" i="2"/>
  <c r="AD30" i="2"/>
  <c r="AD27" i="2" s="1"/>
  <c r="AC30" i="2"/>
  <c r="AB30" i="2"/>
  <c r="AA30" i="2"/>
  <c r="Z30" i="2"/>
  <c r="W30" i="2"/>
  <c r="W27" i="2" s="1"/>
  <c r="BH29" i="2"/>
  <c r="BF29" i="2"/>
  <c r="BE29" i="2"/>
  <c r="AO29" i="2"/>
  <c r="AO27" i="2" s="1"/>
  <c r="AN29" i="2"/>
  <c r="AN27" i="2" s="1"/>
  <c r="AK29" i="2"/>
  <c r="AJ29" i="2"/>
  <c r="AI29" i="2"/>
  <c r="AH29" i="2"/>
  <c r="AG29" i="2"/>
  <c r="AL29" i="2" s="1"/>
  <c r="AC29" i="2"/>
  <c r="K29" i="2"/>
  <c r="BJ28" i="2"/>
  <c r="BJ27" i="2" s="1"/>
  <c r="BI28" i="2"/>
  <c r="BF28" i="2"/>
  <c r="AZ28" i="2"/>
  <c r="AZ27" i="2" s="1"/>
  <c r="AY28" i="2"/>
  <c r="AY27" i="2" s="1"/>
  <c r="AC28" i="2"/>
  <c r="Q28" i="2"/>
  <c r="Q27" i="2" s="1"/>
  <c r="I28" i="2"/>
  <c r="I27" i="2" s="1"/>
  <c r="F28" i="2"/>
  <c r="F27" i="2" s="1"/>
  <c r="BC27" i="2"/>
  <c r="AX27" i="2"/>
  <c r="AR27" i="2"/>
  <c r="AQ27" i="2"/>
  <c r="AF27" i="2"/>
  <c r="Y27" i="2"/>
  <c r="X27" i="2"/>
  <c r="U27" i="2"/>
  <c r="T27" i="2"/>
  <c r="S27" i="2"/>
  <c r="R27" i="2"/>
  <c r="P27" i="2"/>
  <c r="O27" i="2"/>
  <c r="N27" i="2"/>
  <c r="L27" i="2"/>
  <c r="J27" i="2"/>
  <c r="H27" i="2"/>
  <c r="E27" i="2"/>
  <c r="D27" i="2"/>
  <c r="C27" i="2"/>
  <c r="BJ22" i="2"/>
  <c r="BI22" i="2"/>
  <c r="BD22" i="2"/>
  <c r="BA22" i="2"/>
  <c r="BA18" i="2" s="1"/>
  <c r="AK22" i="2"/>
  <c r="AJ22" i="2"/>
  <c r="AB22" i="2"/>
  <c r="AA22" i="2"/>
  <c r="Z22" i="2"/>
  <c r="AB21" i="2"/>
  <c r="AA21" i="2"/>
  <c r="P21" i="2"/>
  <c r="P18" i="2" s="1"/>
  <c r="BJ20" i="2"/>
  <c r="BI20" i="2"/>
  <c r="BF20" i="2"/>
  <c r="AO20" i="2"/>
  <c r="AO18" i="2" s="1"/>
  <c r="AN20" i="2"/>
  <c r="AN18" i="2" s="1"/>
  <c r="AL20" i="2"/>
  <c r="AK20" i="2"/>
  <c r="AJ20" i="2"/>
  <c r="AI20" i="2"/>
  <c r="AD20" i="2"/>
  <c r="Z20" i="2"/>
  <c r="Y20" i="2"/>
  <c r="F20" i="2"/>
  <c r="BJ19" i="2"/>
  <c r="BD19" i="2"/>
  <c r="BD18" i="2" s="1"/>
  <c r="AU19" i="2"/>
  <c r="AU18" i="2" s="1"/>
  <c r="AT19" i="2"/>
  <c r="AT18" i="2" s="1"/>
  <c r="AS19" i="2"/>
  <c r="AS18" i="2" s="1"/>
  <c r="AI19" i="2"/>
  <c r="AH19" i="2"/>
  <c r="AH18" i="2" s="1"/>
  <c r="AD19" i="2"/>
  <c r="AC19" i="2"/>
  <c r="AC18" i="2" s="1"/>
  <c r="Z19" i="2"/>
  <c r="Y19" i="2"/>
  <c r="I19" i="2"/>
  <c r="I18" i="2" s="1"/>
  <c r="H19" i="2"/>
  <c r="H18" i="2" s="1"/>
  <c r="F19" i="2"/>
  <c r="BH18" i="2"/>
  <c r="BE18" i="2"/>
  <c r="BC18" i="2"/>
  <c r="AZ18" i="2"/>
  <c r="AY18" i="2"/>
  <c r="AX18" i="2"/>
  <c r="AV18" i="2"/>
  <c r="AR18" i="2"/>
  <c r="AQ18" i="2"/>
  <c r="AG18" i="2"/>
  <c r="AF18" i="2"/>
  <c r="X18" i="2"/>
  <c r="W18" i="2"/>
  <c r="U18" i="2"/>
  <c r="T18" i="2"/>
  <c r="S18" i="2"/>
  <c r="R18" i="2"/>
  <c r="Q18" i="2"/>
  <c r="O18" i="2"/>
  <c r="N18" i="2"/>
  <c r="M18" i="2"/>
  <c r="L18" i="2"/>
  <c r="K18" i="2"/>
  <c r="J18" i="2"/>
  <c r="E18" i="2"/>
  <c r="D18" i="2"/>
  <c r="C18" i="2"/>
  <c r="BI16" i="2"/>
  <c r="AI16" i="2"/>
  <c r="AG16" i="2"/>
  <c r="AD16" i="2"/>
  <c r="Q16" i="2"/>
  <c r="K16" i="2"/>
  <c r="AZ15" i="2"/>
  <c r="AT15" i="2"/>
  <c r="AS15" i="2"/>
  <c r="AO15" i="2"/>
  <c r="AN15" i="2"/>
  <c r="AK15" i="2"/>
  <c r="AK10" i="2" s="1"/>
  <c r="AJ15" i="2"/>
  <c r="AJ10" i="2" s="1"/>
  <c r="AD15" i="2"/>
  <c r="AC15" i="2"/>
  <c r="Z15" i="2"/>
  <c r="Y15" i="2"/>
  <c r="U15" i="2"/>
  <c r="S15" i="2"/>
  <c r="R15" i="2"/>
  <c r="P15" i="2"/>
  <c r="P10" i="2" s="1"/>
  <c r="K15" i="2"/>
  <c r="J15" i="2"/>
  <c r="I15" i="2"/>
  <c r="F15" i="2"/>
  <c r="E15" i="2"/>
  <c r="D15" i="2"/>
  <c r="C15" i="2"/>
  <c r="BF14" i="2"/>
  <c r="BE14" i="2"/>
  <c r="AI14" i="2"/>
  <c r="AH14" i="2"/>
  <c r="AG14" i="2"/>
  <c r="F14" i="2"/>
  <c r="BJ13" i="2"/>
  <c r="BI13" i="2"/>
  <c r="BF13" i="2"/>
  <c r="AZ13" i="2"/>
  <c r="AY13" i="2"/>
  <c r="AY10" i="2" s="1"/>
  <c r="AO13" i="2"/>
  <c r="AN13" i="2"/>
  <c r="AD13" i="2"/>
  <c r="AC13" i="2"/>
  <c r="AB13" i="2"/>
  <c r="AB10" i="2" s="1"/>
  <c r="Z13" i="2"/>
  <c r="Y13" i="2"/>
  <c r="U13" i="2"/>
  <c r="T13" i="2"/>
  <c r="T10" i="2" s="1"/>
  <c r="S13" i="2"/>
  <c r="R13" i="2"/>
  <c r="Q13" i="2"/>
  <c r="K13" i="2"/>
  <c r="J13" i="2"/>
  <c r="I13" i="2"/>
  <c r="H13" i="2"/>
  <c r="F13" i="2"/>
  <c r="E13" i="2"/>
  <c r="D13" i="2"/>
  <c r="C13" i="2"/>
  <c r="BJ12" i="2"/>
  <c r="BI12" i="2"/>
  <c r="AT12" i="2"/>
  <c r="AS12" i="2"/>
  <c r="AO12" i="2"/>
  <c r="AN12" i="2"/>
  <c r="AH12" i="2"/>
  <c r="AD12" i="2"/>
  <c r="Q12" i="2"/>
  <c r="K12" i="2"/>
  <c r="I12" i="2"/>
  <c r="H12" i="2"/>
  <c r="F12" i="2"/>
  <c r="L11" i="2"/>
  <c r="BH10" i="2"/>
  <c r="BD10" i="2"/>
  <c r="BC10" i="2"/>
  <c r="BA10" i="2"/>
  <c r="AX10" i="2"/>
  <c r="AV10" i="2"/>
  <c r="AU10" i="2"/>
  <c r="AR10" i="2"/>
  <c r="AQ10" i="2"/>
  <c r="AF10" i="2"/>
  <c r="AA10" i="2"/>
  <c r="X10" i="2"/>
  <c r="W10" i="2"/>
  <c r="O10" i="2"/>
  <c r="N10" i="2"/>
  <c r="L10" i="2"/>
  <c r="AZ93" i="1"/>
  <c r="AY93" i="1"/>
  <c r="AX93" i="1"/>
  <c r="AV93" i="1"/>
  <c r="AU93" i="1"/>
  <c r="AT93" i="1"/>
  <c r="AS93" i="1"/>
  <c r="AQ93" i="1"/>
  <c r="AP93" i="1"/>
  <c r="AO93" i="1"/>
  <c r="AN93" i="1"/>
  <c r="AL93" i="1"/>
  <c r="AK93" i="1"/>
  <c r="AJ93" i="1"/>
  <c r="AI93" i="1"/>
  <c r="AG93" i="1"/>
  <c r="AF93" i="1"/>
  <c r="AE93" i="1"/>
  <c r="AD93" i="1"/>
  <c r="AC93" i="1"/>
  <c r="AA93" i="1"/>
  <c r="Z93" i="1"/>
  <c r="Y93" i="1"/>
  <c r="X93" i="1"/>
  <c r="V93" i="1"/>
  <c r="U93" i="1"/>
  <c r="T93" i="1"/>
  <c r="S93" i="1"/>
  <c r="R93" i="1"/>
  <c r="Q93" i="1"/>
  <c r="P93" i="1"/>
  <c r="N93" i="1"/>
  <c r="M93" i="1"/>
  <c r="L93" i="1"/>
  <c r="K93" i="1"/>
  <c r="J93" i="1"/>
  <c r="H93" i="1"/>
  <c r="G93" i="1"/>
  <c r="F93" i="1"/>
  <c r="E93" i="1"/>
  <c r="C93" i="1"/>
  <c r="AZ89" i="1"/>
  <c r="AZ90" i="1" s="1"/>
  <c r="AY89" i="1"/>
  <c r="AY90" i="1" s="1"/>
  <c r="AX89" i="1"/>
  <c r="AX90" i="1" s="1"/>
  <c r="AV89" i="1"/>
  <c r="AU89" i="1"/>
  <c r="AU90" i="1" s="1"/>
  <c r="AT89" i="1"/>
  <c r="AT90" i="1" s="1"/>
  <c r="AS89" i="1"/>
  <c r="AS90" i="1" s="1"/>
  <c r="AQ89" i="1"/>
  <c r="AQ90" i="1" s="1"/>
  <c r="AP89" i="1"/>
  <c r="AP90" i="1" s="1"/>
  <c r="AO89" i="1"/>
  <c r="AO90" i="1" s="1"/>
  <c r="AN89" i="1"/>
  <c r="AN90" i="1" s="1"/>
  <c r="AL89" i="1"/>
  <c r="AL90" i="1" s="1"/>
  <c r="AK89" i="1"/>
  <c r="AK90" i="1" s="1"/>
  <c r="AJ89" i="1"/>
  <c r="AJ90" i="1" s="1"/>
  <c r="AI89" i="1"/>
  <c r="AI90" i="1" s="1"/>
  <c r="AG89" i="1"/>
  <c r="AG90" i="1" s="1"/>
  <c r="AF89" i="1"/>
  <c r="AF90" i="1" s="1"/>
  <c r="AE89" i="1"/>
  <c r="AE90" i="1" s="1"/>
  <c r="AD89" i="1"/>
  <c r="AD90" i="1" s="1"/>
  <c r="AC89" i="1"/>
  <c r="AC90" i="1" s="1"/>
  <c r="AA89" i="1"/>
  <c r="AA90" i="1" s="1"/>
  <c r="Z89" i="1"/>
  <c r="Z90" i="1" s="1"/>
  <c r="Y89" i="1"/>
  <c r="Y90" i="1" s="1"/>
  <c r="X89" i="1"/>
  <c r="X90" i="1" s="1"/>
  <c r="T89" i="1"/>
  <c r="T90" i="1" s="1"/>
  <c r="R89" i="1"/>
  <c r="R90" i="1" s="1"/>
  <c r="P89" i="1"/>
  <c r="P90" i="1" s="1"/>
  <c r="L89" i="1"/>
  <c r="L90" i="1" s="1"/>
  <c r="K89" i="1"/>
  <c r="K90" i="1" s="1"/>
  <c r="J89" i="1"/>
  <c r="J90" i="1" s="1"/>
  <c r="G89" i="1"/>
  <c r="G90" i="1" s="1"/>
  <c r="F89" i="1"/>
  <c r="F90" i="1" s="1"/>
  <c r="E89" i="1"/>
  <c r="E90" i="1" s="1"/>
  <c r="C89" i="1"/>
  <c r="C90" i="1" s="1"/>
  <c r="AZ87" i="1"/>
  <c r="AY87" i="1"/>
  <c r="AX87" i="1"/>
  <c r="AV87" i="1"/>
  <c r="AU87" i="1"/>
  <c r="AU73" i="1" s="1"/>
  <c r="AU74" i="1" s="1"/>
  <c r="AT87" i="1"/>
  <c r="AT73" i="1" s="1"/>
  <c r="AT74" i="1" s="1"/>
  <c r="AS87" i="1"/>
  <c r="AQ87" i="1"/>
  <c r="AP87" i="1"/>
  <c r="AP73" i="1" s="1"/>
  <c r="AP74" i="1" s="1"/>
  <c r="AO87" i="1"/>
  <c r="AN87" i="1"/>
  <c r="AL87" i="1"/>
  <c r="AK87" i="1"/>
  <c r="AK73" i="1" s="1"/>
  <c r="AK74" i="1" s="1"/>
  <c r="AJ87" i="1"/>
  <c r="AJ73" i="1" s="1"/>
  <c r="AJ74" i="1" s="1"/>
  <c r="AI87" i="1"/>
  <c r="AG87" i="1"/>
  <c r="AF87" i="1"/>
  <c r="AF73" i="1" s="1"/>
  <c r="AF74" i="1" s="1"/>
  <c r="AE87" i="1"/>
  <c r="AD87" i="1"/>
  <c r="AC87" i="1"/>
  <c r="AA87" i="1"/>
  <c r="AA73" i="1" s="1"/>
  <c r="AA74" i="1" s="1"/>
  <c r="Z87" i="1"/>
  <c r="Z73" i="1" s="1"/>
  <c r="Z74" i="1" s="1"/>
  <c r="Y87" i="1"/>
  <c r="X87" i="1"/>
  <c r="X73" i="1" s="1"/>
  <c r="X74" i="1" s="1"/>
  <c r="T87" i="1"/>
  <c r="T73" i="1" s="1"/>
  <c r="T74" i="1" s="1"/>
  <c r="R87" i="1"/>
  <c r="R73" i="1" s="1"/>
  <c r="R74" i="1" s="1"/>
  <c r="P87" i="1"/>
  <c r="L87" i="1"/>
  <c r="K87" i="1"/>
  <c r="K73" i="1" s="1"/>
  <c r="K74" i="1" s="1"/>
  <c r="J87" i="1"/>
  <c r="G87" i="1"/>
  <c r="G73" i="1" s="1"/>
  <c r="G74" i="1" s="1"/>
  <c r="F87" i="1"/>
  <c r="E87" i="1"/>
  <c r="E102" i="1" s="1"/>
  <c r="C87" i="1"/>
  <c r="C73" i="1" s="1"/>
  <c r="C74" i="1" s="1"/>
  <c r="N85" i="1"/>
  <c r="V84" i="1"/>
  <c r="N84" i="1"/>
  <c r="M84" i="1"/>
  <c r="H84" i="1"/>
  <c r="V83" i="1"/>
  <c r="U83" i="1"/>
  <c r="U89" i="1" s="1"/>
  <c r="U90" i="1" s="1"/>
  <c r="Q83" i="1"/>
  <c r="N83" i="1"/>
  <c r="M82" i="1"/>
  <c r="H82" i="1"/>
  <c r="H87" i="1" s="1"/>
  <c r="H73" i="1" s="1"/>
  <c r="H74" i="1" s="1"/>
  <c r="S81" i="1"/>
  <c r="S87" i="1" s="1"/>
  <c r="S73" i="1" s="1"/>
  <c r="S74" i="1" s="1"/>
  <c r="M81" i="1"/>
  <c r="AS73" i="1"/>
  <c r="AS74" i="1" s="1"/>
  <c r="AI73" i="1"/>
  <c r="AI74" i="1" s="1"/>
  <c r="Y73" i="1"/>
  <c r="Y74" i="1" s="1"/>
  <c r="AZ68" i="1"/>
  <c r="AY68" i="1"/>
  <c r="AX68" i="1"/>
  <c r="AV68" i="1"/>
  <c r="AU68" i="1"/>
  <c r="AT68" i="1"/>
  <c r="AS68" i="1"/>
  <c r="AQ68" i="1"/>
  <c r="AP68" i="1"/>
  <c r="AO68" i="1"/>
  <c r="AN68" i="1"/>
  <c r="AL68" i="1"/>
  <c r="AK68" i="1"/>
  <c r="AJ68" i="1"/>
  <c r="AI68" i="1"/>
  <c r="AE68" i="1"/>
  <c r="AD68" i="1"/>
  <c r="AC68" i="1"/>
  <c r="AA68" i="1"/>
  <c r="Z68" i="1"/>
  <c r="Y68" i="1"/>
  <c r="X68" i="1"/>
  <c r="L66" i="1"/>
  <c r="K66" i="1"/>
  <c r="J66" i="1"/>
  <c r="H66" i="1"/>
  <c r="E66" i="1"/>
  <c r="H65" i="1"/>
  <c r="U62" i="1"/>
  <c r="U68" i="1" s="1"/>
  <c r="T62" i="1"/>
  <c r="T68" i="1" s="1"/>
  <c r="S62" i="1"/>
  <c r="R62" i="1"/>
  <c r="R68" i="1" s="1"/>
  <c r="Q62" i="1"/>
  <c r="Q68" i="1" s="1"/>
  <c r="P62" i="1"/>
  <c r="P68" i="1" s="1"/>
  <c r="M62" i="1"/>
  <c r="L62" i="1"/>
  <c r="K62" i="1"/>
  <c r="J62" i="1"/>
  <c r="H62" i="1"/>
  <c r="G62" i="1"/>
  <c r="G68" i="1" s="1"/>
  <c r="F62" i="1"/>
  <c r="F68" i="1" s="1"/>
  <c r="E62" i="1"/>
  <c r="C62" i="1"/>
  <c r="AG61" i="1"/>
  <c r="AG68" i="1" s="1"/>
  <c r="AF61" i="1"/>
  <c r="AF68" i="1" s="1"/>
  <c r="V61" i="1"/>
  <c r="V68" i="1" s="1"/>
  <c r="S61" i="1"/>
  <c r="S68" i="1" s="1"/>
  <c r="N61" i="1"/>
  <c r="N68" i="1" s="1"/>
  <c r="M61" i="1"/>
  <c r="H61" i="1"/>
  <c r="C61" i="1"/>
  <c r="M58" i="1"/>
  <c r="H58" i="1"/>
  <c r="C58" i="1"/>
  <c r="C56" i="1"/>
  <c r="AZ54" i="1"/>
  <c r="AY54" i="1"/>
  <c r="AX54" i="1"/>
  <c r="AV54" i="1"/>
  <c r="AU54" i="1"/>
  <c r="AT54" i="1"/>
  <c r="AT70" i="1" s="1"/>
  <c r="AS54" i="1"/>
  <c r="AQ54" i="1"/>
  <c r="AP54" i="1"/>
  <c r="AO54" i="1"/>
  <c r="AN54" i="1"/>
  <c r="AL54" i="1"/>
  <c r="AJ54" i="1"/>
  <c r="AI54" i="1"/>
  <c r="AE54" i="1"/>
  <c r="AD54" i="1"/>
  <c r="AC54" i="1"/>
  <c r="AA54" i="1"/>
  <c r="Z54" i="1"/>
  <c r="Y54" i="1"/>
  <c r="X54" i="1"/>
  <c r="X70" i="1" s="1"/>
  <c r="X71" i="1" s="1"/>
  <c r="AK50" i="1"/>
  <c r="AK54" i="1" s="1"/>
  <c r="AK70" i="1" s="1"/>
  <c r="M50" i="1"/>
  <c r="K50" i="1"/>
  <c r="J50" i="1"/>
  <c r="U46" i="1"/>
  <c r="U54" i="1" s="1"/>
  <c r="T46" i="1"/>
  <c r="T54" i="1" s="1"/>
  <c r="S46" i="1"/>
  <c r="S54" i="1" s="1"/>
  <c r="R46" i="1"/>
  <c r="R54" i="1" s="1"/>
  <c r="Q46" i="1"/>
  <c r="Q54" i="1" s="1"/>
  <c r="P46" i="1"/>
  <c r="P54" i="1" s="1"/>
  <c r="M46" i="1"/>
  <c r="L46" i="1"/>
  <c r="L54" i="1" s="1"/>
  <c r="K46" i="1"/>
  <c r="J46" i="1"/>
  <c r="H46" i="1"/>
  <c r="G46" i="1"/>
  <c r="F46" i="1"/>
  <c r="E46" i="1"/>
  <c r="E54" i="1" s="1"/>
  <c r="C46" i="1"/>
  <c r="V43" i="1"/>
  <c r="V54" i="1" s="1"/>
  <c r="N43" i="1"/>
  <c r="N54" i="1" s="1"/>
  <c r="M43" i="1"/>
  <c r="K43" i="1"/>
  <c r="H43" i="1"/>
  <c r="G43" i="1"/>
  <c r="F43" i="1"/>
  <c r="C43" i="1"/>
  <c r="M42" i="1"/>
  <c r="H42" i="1"/>
  <c r="C42" i="1"/>
  <c r="AG40" i="1"/>
  <c r="AG54" i="1" s="1"/>
  <c r="AF40" i="1"/>
  <c r="AF54" i="1" s="1"/>
  <c r="C40" i="1"/>
  <c r="AZ35" i="1"/>
  <c r="AY35" i="1"/>
  <c r="AX35" i="1"/>
  <c r="AV35" i="1"/>
  <c r="AU35" i="1"/>
  <c r="AT35" i="1"/>
  <c r="AS35" i="1"/>
  <c r="AP35" i="1"/>
  <c r="AO35" i="1"/>
  <c r="AN35" i="1"/>
  <c r="AL35" i="1"/>
  <c r="AK35" i="1"/>
  <c r="AJ35" i="1"/>
  <c r="AI35" i="1"/>
  <c r="AE35" i="1"/>
  <c r="AD35" i="1"/>
  <c r="AC35" i="1"/>
  <c r="Z35" i="1"/>
  <c r="Y35" i="1"/>
  <c r="X35" i="1"/>
  <c r="T35" i="1"/>
  <c r="R35" i="1"/>
  <c r="Q35" i="1"/>
  <c r="P35" i="1"/>
  <c r="M35" i="1"/>
  <c r="L35" i="1"/>
  <c r="K35" i="1"/>
  <c r="H35" i="1"/>
  <c r="E35" i="1"/>
  <c r="C35" i="1"/>
  <c r="V33" i="1"/>
  <c r="N33" i="1"/>
  <c r="J33" i="1"/>
  <c r="J35" i="1" s="1"/>
  <c r="G33" i="1"/>
  <c r="G35" i="1" s="1"/>
  <c r="F33" i="1"/>
  <c r="F35" i="1" s="1"/>
  <c r="N25" i="1"/>
  <c r="AQ22" i="1"/>
  <c r="AQ35" i="1" s="1"/>
  <c r="AG22" i="1"/>
  <c r="AG35" i="1" s="1"/>
  <c r="AF22" i="1"/>
  <c r="AF35" i="1" s="1"/>
  <c r="AA22" i="1"/>
  <c r="AA35" i="1" s="1"/>
  <c r="V22" i="1"/>
  <c r="U22" i="1"/>
  <c r="U35" i="1" s="1"/>
  <c r="S22" i="1"/>
  <c r="S35" i="1" s="1"/>
  <c r="N22" i="1"/>
  <c r="AZ19" i="1"/>
  <c r="AY19" i="1"/>
  <c r="AX19" i="1"/>
  <c r="AV19" i="1"/>
  <c r="AU19" i="1"/>
  <c r="AT19" i="1"/>
  <c r="AS19" i="1"/>
  <c r="AQ19" i="1"/>
  <c r="AP19" i="1"/>
  <c r="AO19" i="1"/>
  <c r="AN19" i="1"/>
  <c r="AL19" i="1"/>
  <c r="AK19" i="1"/>
  <c r="AJ19" i="1"/>
  <c r="AI19" i="1"/>
  <c r="AE19" i="1"/>
  <c r="AD19" i="1"/>
  <c r="AC19" i="1"/>
  <c r="AC37" i="1" s="1"/>
  <c r="AA19" i="1"/>
  <c r="Z19" i="1"/>
  <c r="Y19" i="1"/>
  <c r="X19" i="1"/>
  <c r="U19" i="1"/>
  <c r="T19" i="1"/>
  <c r="S19" i="1"/>
  <c r="R19" i="1"/>
  <c r="R37" i="1" s="1"/>
  <c r="Q19" i="1"/>
  <c r="Q37" i="1" s="1"/>
  <c r="P19" i="1"/>
  <c r="K19" i="1"/>
  <c r="H19" i="1"/>
  <c r="G19" i="1"/>
  <c r="F19" i="1"/>
  <c r="E19" i="1"/>
  <c r="C19" i="1"/>
  <c r="C37" i="1" s="1"/>
  <c r="V16" i="1"/>
  <c r="N16" i="1"/>
  <c r="M16" i="1"/>
  <c r="V13" i="1"/>
  <c r="N13" i="1"/>
  <c r="M13" i="1"/>
  <c r="L13" i="1"/>
  <c r="L19" i="1" s="1"/>
  <c r="J13" i="1"/>
  <c r="J19" i="1" s="1"/>
  <c r="AG12" i="1"/>
  <c r="AG19" i="1" s="1"/>
  <c r="AF12" i="1"/>
  <c r="AF19" i="1" s="1"/>
  <c r="V12" i="1"/>
  <c r="N12" i="1"/>
  <c r="V10" i="1"/>
  <c r="N10" i="1"/>
  <c r="M10" i="1"/>
  <c r="AG35" i="3" l="1"/>
  <c r="AQ35" i="3"/>
  <c r="AQ66" i="3"/>
  <c r="C35" i="3"/>
  <c r="H66" i="3"/>
  <c r="T66" i="3"/>
  <c r="AG70" i="1"/>
  <c r="AG71" i="1" s="1"/>
  <c r="AO70" i="1"/>
  <c r="AO71" i="1" s="1"/>
  <c r="AY70" i="1"/>
  <c r="AY71" i="1" s="1"/>
  <c r="G37" i="1"/>
  <c r="G38" i="1" s="1"/>
  <c r="AJ37" i="1"/>
  <c r="AU37" i="1"/>
  <c r="Z37" i="1"/>
  <c r="Z38" i="1" s="1"/>
  <c r="AE66" i="3"/>
  <c r="AE87" i="3" s="1"/>
  <c r="J66" i="3"/>
  <c r="J72" i="3" s="1"/>
  <c r="AS70" i="1"/>
  <c r="AK76" i="1"/>
  <c r="S70" i="1"/>
  <c r="F102" i="1"/>
  <c r="BI27" i="2"/>
  <c r="AP37" i="1"/>
  <c r="T69" i="3"/>
  <c r="T70" i="3" s="1"/>
  <c r="U33" i="2"/>
  <c r="AF24" i="2"/>
  <c r="AF25" i="2" s="1"/>
  <c r="N24" i="2"/>
  <c r="N25" i="2" s="1"/>
  <c r="X24" i="2"/>
  <c r="X25" i="2" s="1"/>
  <c r="AX24" i="2"/>
  <c r="AX38" i="2" s="1"/>
  <c r="AG27" i="2"/>
  <c r="R10" i="2"/>
  <c r="R24" i="2" s="1"/>
  <c r="R38" i="2" s="1"/>
  <c r="R42" i="2" s="1"/>
  <c r="R44" i="2" s="1"/>
  <c r="AA18" i="2"/>
  <c r="AA24" i="2" s="1"/>
  <c r="AQ24" i="2"/>
  <c r="AQ25" i="2" s="1"/>
  <c r="E10" i="2"/>
  <c r="E24" i="2" s="1"/>
  <c r="E38" i="2" s="1"/>
  <c r="BH27" i="2"/>
  <c r="U10" i="2"/>
  <c r="U24" i="2" s="1"/>
  <c r="U25" i="2" s="1"/>
  <c r="H10" i="2"/>
  <c r="H24" i="2" s="1"/>
  <c r="I33" i="2"/>
  <c r="AB18" i="2"/>
  <c r="AB24" i="2" s="1"/>
  <c r="T24" i="2"/>
  <c r="T38" i="2" s="1"/>
  <c r="AH10" i="2"/>
  <c r="AH24" i="2" s="1"/>
  <c r="AH25" i="2" s="1"/>
  <c r="AZ20" i="5"/>
  <c r="AZ35" i="5" s="1"/>
  <c r="E20" i="5"/>
  <c r="E35" i="5" s="1"/>
  <c r="AF20" i="5"/>
  <c r="N20" i="5"/>
  <c r="N35" i="5" s="1"/>
  <c r="R20" i="5"/>
  <c r="R21" i="5" s="1"/>
  <c r="L20" i="5"/>
  <c r="Z23" i="5"/>
  <c r="U10" i="5"/>
  <c r="U20" i="5" s="1"/>
  <c r="U23" i="5"/>
  <c r="I29" i="5"/>
  <c r="AU20" i="5"/>
  <c r="AU35" i="5" s="1"/>
  <c r="K20" i="5"/>
  <c r="K21" i="5" s="1"/>
  <c r="AK20" i="5"/>
  <c r="AK35" i="5" s="1"/>
  <c r="AK39" i="5" s="1"/>
  <c r="AK41" i="5" s="1"/>
  <c r="AA20" i="5"/>
  <c r="AA21" i="5" s="1"/>
  <c r="U29" i="5"/>
  <c r="AS35" i="3"/>
  <c r="AS36" i="3" s="1"/>
  <c r="Z35" i="3"/>
  <c r="Z36" i="3" s="1"/>
  <c r="AI66" i="3"/>
  <c r="AI72" i="3" s="1"/>
  <c r="P35" i="3"/>
  <c r="P87" i="3" s="1"/>
  <c r="Y35" i="3"/>
  <c r="Z66" i="3"/>
  <c r="Z67" i="3" s="1"/>
  <c r="AJ66" i="3"/>
  <c r="AJ72" i="3" s="1"/>
  <c r="AI35" i="3"/>
  <c r="AI36" i="3" s="1"/>
  <c r="N69" i="3"/>
  <c r="AS66" i="3"/>
  <c r="AS72" i="3" s="1"/>
  <c r="C66" i="3"/>
  <c r="C72" i="3" s="1"/>
  <c r="Y66" i="3"/>
  <c r="Y72" i="3" s="1"/>
  <c r="AB27" i="2"/>
  <c r="K46" i="2"/>
  <c r="I10" i="2"/>
  <c r="I24" i="2" s="1"/>
  <c r="I25" i="2" s="1"/>
  <c r="AT10" i="2"/>
  <c r="AT24" i="2" s="1"/>
  <c r="Z10" i="2"/>
  <c r="O24" i="2"/>
  <c r="O25" i="2" s="1"/>
  <c r="E73" i="1"/>
  <c r="E74" i="1" s="1"/>
  <c r="AE102" i="1"/>
  <c r="AO102" i="1"/>
  <c r="AY102" i="1"/>
  <c r="H37" i="1"/>
  <c r="AD70" i="1"/>
  <c r="F73" i="1"/>
  <c r="F74" i="1" s="1"/>
  <c r="AP70" i="1"/>
  <c r="AP71" i="1" s="1"/>
  <c r="AK37" i="1"/>
  <c r="AK38" i="1" s="1"/>
  <c r="K54" i="1"/>
  <c r="E68" i="1"/>
  <c r="E70" i="1" s="1"/>
  <c r="E71" i="1" s="1"/>
  <c r="P102" i="1"/>
  <c r="AD102" i="1"/>
  <c r="AN102" i="1"/>
  <c r="AX102" i="1"/>
  <c r="AE37" i="1"/>
  <c r="AE38" i="1" s="1"/>
  <c r="AT37" i="1"/>
  <c r="AT38" i="1" s="1"/>
  <c r="V35" i="1"/>
  <c r="AF37" i="1"/>
  <c r="AF38" i="1" s="1"/>
  <c r="AR20" i="5"/>
  <c r="AR35" i="5" s="1"/>
  <c r="U43" i="5"/>
  <c r="AB10" i="5"/>
  <c r="N51" i="3"/>
  <c r="N66" i="3" s="1"/>
  <c r="N72" i="3" s="1"/>
  <c r="L69" i="3"/>
  <c r="L72" i="3" s="1"/>
  <c r="AR24" i="2"/>
  <c r="AR38" i="2" s="1"/>
  <c r="AR40" i="2" s="1"/>
  <c r="AN10" i="2"/>
  <c r="AN24" i="2" s="1"/>
  <c r="AN25" i="2" s="1"/>
  <c r="S10" i="2"/>
  <c r="S24" i="2" s="1"/>
  <c r="AG10" i="2"/>
  <c r="AG24" i="2" s="1"/>
  <c r="AG25" i="2" s="1"/>
  <c r="AH27" i="2"/>
  <c r="J10" i="2"/>
  <c r="J24" i="2" s="1"/>
  <c r="J25" i="2" s="1"/>
  <c r="P24" i="2"/>
  <c r="P38" i="2" s="1"/>
  <c r="Z18" i="2"/>
  <c r="AB46" i="2"/>
  <c r="AC10" i="2"/>
  <c r="AC24" i="2" s="1"/>
  <c r="AC25" i="2" s="1"/>
  <c r="BF18" i="2"/>
  <c r="C73" i="2"/>
  <c r="Q46" i="2"/>
  <c r="BF10" i="2"/>
  <c r="AI18" i="2"/>
  <c r="BJ18" i="2"/>
  <c r="BH24" i="2"/>
  <c r="D10" i="2"/>
  <c r="D24" i="2" s="1"/>
  <c r="D38" i="2" s="1"/>
  <c r="BA46" i="2"/>
  <c r="AJ27" i="2"/>
  <c r="AA27" i="2"/>
  <c r="AJ18" i="2"/>
  <c r="AJ24" i="2" s="1"/>
  <c r="AQ70" i="1"/>
  <c r="AQ71" i="1" s="1"/>
  <c r="C68" i="1"/>
  <c r="Y37" i="1"/>
  <c r="Y38" i="1" s="1"/>
  <c r="AL37" i="1"/>
  <c r="AL38" i="1" s="1"/>
  <c r="R70" i="1"/>
  <c r="R76" i="1" s="1"/>
  <c r="L102" i="1"/>
  <c r="AC102" i="1"/>
  <c r="AL102" i="1"/>
  <c r="N70" i="1"/>
  <c r="N71" i="1" s="1"/>
  <c r="V87" i="1"/>
  <c r="V73" i="1" s="1"/>
  <c r="V74" i="1" s="1"/>
  <c r="U37" i="1"/>
  <c r="U38" i="1" s="1"/>
  <c r="L37" i="1"/>
  <c r="L38" i="1" s="1"/>
  <c r="AA70" i="1"/>
  <c r="AA76" i="1" s="1"/>
  <c r="L68" i="1"/>
  <c r="L70" i="1" s="1"/>
  <c r="L71" i="1" s="1"/>
  <c r="K68" i="1"/>
  <c r="P20" i="5"/>
  <c r="P21" i="5" s="1"/>
  <c r="Y20" i="5"/>
  <c r="Y35" i="5" s="1"/>
  <c r="AO20" i="5"/>
  <c r="AO35" i="5" s="1"/>
  <c r="T20" i="5"/>
  <c r="T21" i="5" s="1"/>
  <c r="AM67" i="3"/>
  <c r="AM72" i="3"/>
  <c r="W69" i="3"/>
  <c r="W72" i="3" s="1"/>
  <c r="H87" i="3"/>
  <c r="R35" i="3"/>
  <c r="U66" i="3"/>
  <c r="U72" i="3" s="1"/>
  <c r="AO66" i="3"/>
  <c r="AO72" i="3" s="1"/>
  <c r="N35" i="3"/>
  <c r="K10" i="2"/>
  <c r="K24" i="2" s="1"/>
  <c r="K27" i="2"/>
  <c r="AI10" i="2"/>
  <c r="AD18" i="2"/>
  <c r="AK27" i="2"/>
  <c r="C90" i="2"/>
  <c r="C91" i="2" s="1"/>
  <c r="AA37" i="1"/>
  <c r="AF70" i="1"/>
  <c r="U70" i="1"/>
  <c r="U71" i="1" s="1"/>
  <c r="AO73" i="1"/>
  <c r="AO74" i="1" s="1"/>
  <c r="AN73" i="1"/>
  <c r="AN74" i="1" s="1"/>
  <c r="AU70" i="1"/>
  <c r="AU71" i="1" s="1"/>
  <c r="M54" i="1"/>
  <c r="J54" i="1"/>
  <c r="AY73" i="1"/>
  <c r="AY74" i="1" s="1"/>
  <c r="N19" i="1"/>
  <c r="M19" i="1"/>
  <c r="M37" i="1" s="1"/>
  <c r="M38" i="1" s="1"/>
  <c r="F37" i="1"/>
  <c r="F38" i="1" s="1"/>
  <c r="N35" i="1"/>
  <c r="T37" i="1"/>
  <c r="V19" i="1"/>
  <c r="AS37" i="1"/>
  <c r="AS38" i="1" s="1"/>
  <c r="K102" i="1"/>
  <c r="K37" i="1"/>
  <c r="AE73" i="1"/>
  <c r="AE74" i="1" s="1"/>
  <c r="H89" i="1"/>
  <c r="H90" i="1" s="1"/>
  <c r="AW67" i="3"/>
  <c r="AW72" i="3"/>
  <c r="J37" i="1"/>
  <c r="J38" i="1" s="1"/>
  <c r="BA24" i="2"/>
  <c r="BA38" i="2" s="1"/>
  <c r="AR66" i="3"/>
  <c r="AR87" i="3" s="1"/>
  <c r="AW35" i="3"/>
  <c r="AW87" i="3" s="1"/>
  <c r="AP99" i="1"/>
  <c r="Z70" i="1"/>
  <c r="AL70" i="1"/>
  <c r="AL71" i="1" s="1"/>
  <c r="AV70" i="1"/>
  <c r="AV71" i="1" s="1"/>
  <c r="AE70" i="1"/>
  <c r="AZ70" i="1"/>
  <c r="AD73" i="1"/>
  <c r="AD74" i="1" s="1"/>
  <c r="AX73" i="1"/>
  <c r="AX74" i="1" s="1"/>
  <c r="AU24" i="2"/>
  <c r="AU38" i="2" s="1"/>
  <c r="AU42" i="2" s="1"/>
  <c r="AU44" i="2" s="1"/>
  <c r="BI18" i="2"/>
  <c r="AM20" i="2"/>
  <c r="AT70" i="3"/>
  <c r="D20" i="5"/>
  <c r="D21" i="5" s="1"/>
  <c r="AL20" i="5"/>
  <c r="AL35" i="5" s="1"/>
  <c r="AW20" i="5"/>
  <c r="F20" i="5"/>
  <c r="F35" i="5" s="1"/>
  <c r="AC72" i="3"/>
  <c r="AV37" i="1"/>
  <c r="AV38" i="1" s="1"/>
  <c r="AV102" i="1"/>
  <c r="BC24" i="2"/>
  <c r="BC25" i="2" s="1"/>
  <c r="AM35" i="3"/>
  <c r="AM87" i="3" s="1"/>
  <c r="AB23" i="5"/>
  <c r="AX37" i="1"/>
  <c r="AX38" i="1" s="1"/>
  <c r="AN70" i="1"/>
  <c r="AN71" i="1" s="1"/>
  <c r="AX70" i="1"/>
  <c r="AX71" i="1" s="1"/>
  <c r="P73" i="1"/>
  <c r="P74" i="1" s="1"/>
  <c r="J102" i="1"/>
  <c r="X102" i="1"/>
  <c r="AG102" i="1"/>
  <c r="AQ102" i="1"/>
  <c r="AV24" i="2"/>
  <c r="AV25" i="2" s="1"/>
  <c r="Y10" i="2"/>
  <c r="Y18" i="2"/>
  <c r="G35" i="3"/>
  <c r="F35" i="3"/>
  <c r="AD66" i="3"/>
  <c r="AD67" i="3" s="1"/>
  <c r="AN66" i="3"/>
  <c r="AX66" i="3"/>
  <c r="AX72" i="3" s="1"/>
  <c r="M83" i="3"/>
  <c r="AM20" i="5"/>
  <c r="AM21" i="5" s="1"/>
  <c r="AH20" i="5"/>
  <c r="AH35" i="5" s="1"/>
  <c r="AB29" i="5"/>
  <c r="P37" i="1"/>
  <c r="P38" i="1" s="1"/>
  <c r="AI37" i="1"/>
  <c r="AI38" i="1" s="1"/>
  <c r="AD37" i="1"/>
  <c r="AD38" i="1" s="1"/>
  <c r="AO37" i="1"/>
  <c r="AY37" i="1"/>
  <c r="AY38" i="1" s="1"/>
  <c r="AY100" i="1" s="1"/>
  <c r="AC70" i="1"/>
  <c r="AC71" i="1" s="1"/>
  <c r="V89" i="1"/>
  <c r="V90" i="1" s="1"/>
  <c r="Y102" i="1"/>
  <c r="AI102" i="1"/>
  <c r="AS102" i="1"/>
  <c r="W24" i="2"/>
  <c r="W25" i="2" s="1"/>
  <c r="F10" i="2"/>
  <c r="AO10" i="2"/>
  <c r="AO24" i="2" s="1"/>
  <c r="AO25" i="2" s="1"/>
  <c r="F18" i="2"/>
  <c r="BD33" i="2"/>
  <c r="AA46" i="2"/>
  <c r="AJ35" i="3"/>
  <c r="AJ36" i="3" s="1"/>
  <c r="AC20" i="5"/>
  <c r="AC21" i="5" s="1"/>
  <c r="Z10" i="5"/>
  <c r="Z20" i="5" s="1"/>
  <c r="Z21" i="5" s="1"/>
  <c r="AG20" i="5"/>
  <c r="AG21" i="5" s="1"/>
  <c r="Q20" i="5"/>
  <c r="AJ20" i="5"/>
  <c r="AT20" i="5"/>
  <c r="AT35" i="5" s="1"/>
  <c r="BE46" i="2"/>
  <c r="AH66" i="3"/>
  <c r="AH87" i="3" s="1"/>
  <c r="X76" i="1"/>
  <c r="AN37" i="1"/>
  <c r="AN38" i="1" s="1"/>
  <c r="E37" i="1"/>
  <c r="H54" i="1"/>
  <c r="AJ70" i="1"/>
  <c r="AJ99" i="1" s="1"/>
  <c r="AL73" i="1"/>
  <c r="AL74" i="1" s="1"/>
  <c r="N89" i="1"/>
  <c r="N90" i="1" s="1"/>
  <c r="S89" i="1"/>
  <c r="S90" i="1" s="1"/>
  <c r="L24" i="2"/>
  <c r="L25" i="2" s="1"/>
  <c r="AY24" i="2"/>
  <c r="AY25" i="2" s="1"/>
  <c r="AS10" i="2"/>
  <c r="AS24" i="2" s="1"/>
  <c r="AS25" i="2" s="1"/>
  <c r="AZ10" i="2"/>
  <c r="AZ24" i="2" s="1"/>
  <c r="AZ25" i="2" s="1"/>
  <c r="Q35" i="3"/>
  <c r="S20" i="5"/>
  <c r="S35" i="5" s="1"/>
  <c r="AE20" i="5"/>
  <c r="AE21" i="5" s="1"/>
  <c r="AP20" i="5"/>
  <c r="AP35" i="5" s="1"/>
  <c r="BA20" i="5"/>
  <c r="BA35" i="5" s="1"/>
  <c r="X66" i="3"/>
  <c r="X72" i="3" s="1"/>
  <c r="AC35" i="3"/>
  <c r="AC87" i="3" s="1"/>
  <c r="AK18" i="2"/>
  <c r="AK24" i="2" s="1"/>
  <c r="BI46" i="2"/>
  <c r="S35" i="3"/>
  <c r="S87" i="3" s="1"/>
  <c r="AD35" i="3"/>
  <c r="AD36" i="3" s="1"/>
  <c r="AN35" i="3"/>
  <c r="AN36" i="3" s="1"/>
  <c r="AX35" i="3"/>
  <c r="H72" i="3"/>
  <c r="AT66" i="3"/>
  <c r="AT72" i="3" s="1"/>
  <c r="AB20" i="5"/>
  <c r="AB21" i="5" s="1"/>
  <c r="V70" i="1"/>
  <c r="T70" i="1"/>
  <c r="T76" i="1" s="1"/>
  <c r="H68" i="1"/>
  <c r="T102" i="1"/>
  <c r="C54" i="1"/>
  <c r="G54" i="1"/>
  <c r="G70" i="1" s="1"/>
  <c r="G71" i="1" s="1"/>
  <c r="G100" i="1" s="1"/>
  <c r="F54" i="1"/>
  <c r="F70" i="1" s="1"/>
  <c r="M68" i="1"/>
  <c r="J73" i="1"/>
  <c r="J74" i="1" s="1"/>
  <c r="AC73" i="1"/>
  <c r="AC74" i="1" s="1"/>
  <c r="AV73" i="1"/>
  <c r="U87" i="1"/>
  <c r="C102" i="1"/>
  <c r="BE10" i="2"/>
  <c r="BE24" i="2" s="1"/>
  <c r="BE25" i="2" s="1"/>
  <c r="AD10" i="2"/>
  <c r="C10" i="2"/>
  <c r="C24" i="2" s="1"/>
  <c r="C25" i="2" s="1"/>
  <c r="Q10" i="2"/>
  <c r="Q24" i="2" s="1"/>
  <c r="Q25" i="2" s="1"/>
  <c r="Z33" i="2"/>
  <c r="T35" i="3"/>
  <c r="T36" i="3" s="1"/>
  <c r="AE35" i="3"/>
  <c r="AE36" i="3" s="1"/>
  <c r="AO35" i="3"/>
  <c r="AO36" i="3" s="1"/>
  <c r="M51" i="3"/>
  <c r="M66" i="3" s="1"/>
  <c r="M72" i="3" s="1"/>
  <c r="G72" i="3"/>
  <c r="Q66" i="3"/>
  <c r="Q72" i="3" s="1"/>
  <c r="T83" i="3"/>
  <c r="K83" i="3"/>
  <c r="C20" i="5"/>
  <c r="C35" i="5" s="1"/>
  <c r="O20" i="5"/>
  <c r="O21" i="5" s="1"/>
  <c r="X20" i="5"/>
  <c r="X35" i="5" s="1"/>
  <c r="AV20" i="5"/>
  <c r="AZ37" i="1"/>
  <c r="AZ38" i="1" s="1"/>
  <c r="AZ102" i="1"/>
  <c r="AF21" i="5"/>
  <c r="AF35" i="5"/>
  <c r="L21" i="5"/>
  <c r="L35" i="5"/>
  <c r="U21" i="5"/>
  <c r="W21" i="5"/>
  <c r="W35" i="5"/>
  <c r="C21" i="5"/>
  <c r="AL50" i="5"/>
  <c r="AL57" i="5" s="1"/>
  <c r="AL59" i="5" s="1"/>
  <c r="AL39" i="5"/>
  <c r="AL41" i="5" s="1"/>
  <c r="AL37" i="5"/>
  <c r="AQ35" i="5"/>
  <c r="AQ21" i="5"/>
  <c r="S50" i="5"/>
  <c r="S57" i="5" s="1"/>
  <c r="S59" i="5" s="1"/>
  <c r="S39" i="5"/>
  <c r="S41" i="5" s="1"/>
  <c r="S37" i="5"/>
  <c r="S21" i="5"/>
  <c r="AL21" i="5"/>
  <c r="AU21" i="5"/>
  <c r="H10" i="5"/>
  <c r="H20" i="5" s="1"/>
  <c r="J20" i="5"/>
  <c r="I10" i="5"/>
  <c r="I20" i="5" s="1"/>
  <c r="AY20" i="5"/>
  <c r="AG72" i="3"/>
  <c r="AG67" i="3"/>
  <c r="AH72" i="3"/>
  <c r="J87" i="3"/>
  <c r="T67" i="3"/>
  <c r="T72" i="3"/>
  <c r="G87" i="3"/>
  <c r="F66" i="3"/>
  <c r="F72" i="3" s="1"/>
  <c r="AW36" i="3"/>
  <c r="AB87" i="3"/>
  <c r="AQ72" i="3"/>
  <c r="AQ67" i="3"/>
  <c r="AR72" i="3"/>
  <c r="U35" i="3"/>
  <c r="U87" i="3" s="1"/>
  <c r="AG36" i="3"/>
  <c r="AG87" i="3"/>
  <c r="AQ36" i="3"/>
  <c r="AQ87" i="3"/>
  <c r="AL87" i="3"/>
  <c r="AB67" i="3"/>
  <c r="AB72" i="3"/>
  <c r="AL67" i="3"/>
  <c r="AL72" i="3"/>
  <c r="AV67" i="3"/>
  <c r="AV72" i="3"/>
  <c r="E72" i="3"/>
  <c r="E87" i="3"/>
  <c r="R66" i="3"/>
  <c r="R72" i="3" s="1"/>
  <c r="AT35" i="3"/>
  <c r="AB36" i="3"/>
  <c r="AL36" i="3"/>
  <c r="AV36" i="3"/>
  <c r="AX70" i="3"/>
  <c r="L83" i="3"/>
  <c r="K69" i="3"/>
  <c r="K87" i="3" s="1"/>
  <c r="N83" i="3"/>
  <c r="X83" i="3"/>
  <c r="BI10" i="2"/>
  <c r="BE27" i="2"/>
  <c r="BD27" i="2"/>
  <c r="BJ33" i="2"/>
  <c r="BJ10" i="2"/>
  <c r="BD24" i="2"/>
  <c r="AC27" i="2"/>
  <c r="AM29" i="2"/>
  <c r="AI27" i="2"/>
  <c r="BF27" i="2"/>
  <c r="Z27" i="2"/>
  <c r="H38" i="1"/>
  <c r="Q70" i="1"/>
  <c r="K38" i="1"/>
  <c r="V71" i="1"/>
  <c r="V76" i="1"/>
  <c r="S76" i="1"/>
  <c r="S71" i="1"/>
  <c r="R38" i="1"/>
  <c r="AT76" i="1"/>
  <c r="AT71" i="1"/>
  <c r="AP38" i="1"/>
  <c r="AP100" i="1" s="1"/>
  <c r="P70" i="1"/>
  <c r="X37" i="1"/>
  <c r="AG37" i="1"/>
  <c r="AQ37" i="1"/>
  <c r="AD71" i="1"/>
  <c r="J68" i="1"/>
  <c r="L73" i="1"/>
  <c r="L74" i="1" s="1"/>
  <c r="AQ73" i="1"/>
  <c r="AQ74" i="1" s="1"/>
  <c r="AP76" i="1"/>
  <c r="Q38" i="1"/>
  <c r="AS76" i="1"/>
  <c r="AK71" i="1"/>
  <c r="M89" i="1"/>
  <c r="M90" i="1" s="1"/>
  <c r="AU38" i="1"/>
  <c r="C38" i="1"/>
  <c r="AI70" i="1"/>
  <c r="AG73" i="1"/>
  <c r="Q89" i="1"/>
  <c r="Q90" i="1" s="1"/>
  <c r="Q87" i="1"/>
  <c r="M87" i="1"/>
  <c r="AV90" i="1"/>
  <c r="AZ73" i="1"/>
  <c r="AK99" i="1"/>
  <c r="S37" i="1"/>
  <c r="AC38" i="1"/>
  <c r="AJ38" i="1"/>
  <c r="Y70" i="1"/>
  <c r="N87" i="1"/>
  <c r="AF102" i="1"/>
  <c r="AS71" i="1"/>
  <c r="AP102" i="1"/>
  <c r="G102" i="1"/>
  <c r="Z102" i="1"/>
  <c r="AJ102" i="1"/>
  <c r="AT102" i="1"/>
  <c r="R102" i="1"/>
  <c r="AU102" i="1"/>
  <c r="AA102" i="1"/>
  <c r="AK102" i="1"/>
  <c r="P35" i="5" l="1"/>
  <c r="AZ21" i="5"/>
  <c r="AO21" i="5"/>
  <c r="AP21" i="5"/>
  <c r="AR21" i="5"/>
  <c r="D35" i="5"/>
  <c r="AK21" i="5"/>
  <c r="T35" i="5"/>
  <c r="T50" i="5" s="1"/>
  <c r="T57" i="5" s="1"/>
  <c r="T59" i="5" s="1"/>
  <c r="AE35" i="5"/>
  <c r="AE50" i="5" s="1"/>
  <c r="AE57" i="5" s="1"/>
  <c r="AE59" i="5" s="1"/>
  <c r="R35" i="5"/>
  <c r="R37" i="5" s="1"/>
  <c r="Z72" i="3"/>
  <c r="AE67" i="3"/>
  <c r="AE88" i="3" s="1"/>
  <c r="AE72" i="3"/>
  <c r="Z99" i="1"/>
  <c r="M70" i="1"/>
  <c r="M71" i="1" s="1"/>
  <c r="R71" i="1"/>
  <c r="AG35" i="5"/>
  <c r="AG50" i="5" s="1"/>
  <c r="AG57" i="5" s="1"/>
  <c r="AG59" i="5" s="1"/>
  <c r="N21" i="5"/>
  <c r="AM35" i="5"/>
  <c r="AM39" i="5" s="1"/>
  <c r="AM41" i="5" s="1"/>
  <c r="Y21" i="5"/>
  <c r="R99" i="1"/>
  <c r="E21" i="5"/>
  <c r="AD72" i="3"/>
  <c r="AM36" i="3"/>
  <c r="AI67" i="3"/>
  <c r="AI88" i="3" s="1"/>
  <c r="AH67" i="3"/>
  <c r="AH88" i="3" s="1"/>
  <c r="C87" i="3"/>
  <c r="AT99" i="1"/>
  <c r="AD76" i="1"/>
  <c r="G76" i="1"/>
  <c r="G99" i="1"/>
  <c r="E99" i="1"/>
  <c r="E76" i="1"/>
  <c r="AK100" i="1"/>
  <c r="AT100" i="1"/>
  <c r="L87" i="3"/>
  <c r="AF99" i="1"/>
  <c r="P99" i="1"/>
  <c r="S102" i="1"/>
  <c r="AE99" i="1"/>
  <c r="AX67" i="3"/>
  <c r="AS87" i="3"/>
  <c r="AT67" i="3"/>
  <c r="Z87" i="3"/>
  <c r="AM88" i="3"/>
  <c r="AC36" i="3"/>
  <c r="AC88" i="3" s="1"/>
  <c r="Y87" i="3"/>
  <c r="AS67" i="3"/>
  <c r="AS88" i="3" s="1"/>
  <c r="N38" i="2"/>
  <c r="N42" i="2" s="1"/>
  <c r="N44" i="2" s="1"/>
  <c r="AF38" i="2"/>
  <c r="AF51" i="2" s="1"/>
  <c r="AF56" i="2" s="1"/>
  <c r="AF58" i="2" s="1"/>
  <c r="AF60" i="2" s="1"/>
  <c r="AQ38" i="2"/>
  <c r="AQ40" i="2" s="1"/>
  <c r="AX25" i="2"/>
  <c r="P25" i="2"/>
  <c r="X38" i="2"/>
  <c r="X51" i="2" s="1"/>
  <c r="X56" i="2" s="1"/>
  <c r="X58" i="2" s="1"/>
  <c r="X60" i="2" s="1"/>
  <c r="D25" i="2"/>
  <c r="BC38" i="2"/>
  <c r="BC42" i="2" s="1"/>
  <c r="AR25" i="2"/>
  <c r="AC38" i="2"/>
  <c r="AC40" i="2" s="1"/>
  <c r="S25" i="2"/>
  <c r="S38" i="2"/>
  <c r="S42" i="2" s="1"/>
  <c r="S44" i="2" s="1"/>
  <c r="H38" i="2"/>
  <c r="H42" i="2" s="1"/>
  <c r="H44" i="2" s="1"/>
  <c r="H25" i="2"/>
  <c r="BA25" i="2"/>
  <c r="I38" i="2"/>
  <c r="I40" i="2" s="1"/>
  <c r="L38" i="2"/>
  <c r="L40" i="2" s="1"/>
  <c r="Z24" i="2"/>
  <c r="Z25" i="2" s="1"/>
  <c r="AI24" i="2"/>
  <c r="AI38" i="2" s="1"/>
  <c r="Q38" i="2"/>
  <c r="Q42" i="2" s="1"/>
  <c r="Q44" i="2" s="1"/>
  <c r="T25" i="2"/>
  <c r="AU51" i="2"/>
  <c r="AU56" i="2" s="1"/>
  <c r="AU58" i="2" s="1"/>
  <c r="AU60" i="2" s="1"/>
  <c r="O38" i="2"/>
  <c r="O40" i="2" s="1"/>
  <c r="AU40" i="2"/>
  <c r="AB38" i="2"/>
  <c r="AB42" i="2" s="1"/>
  <c r="AB44" i="2" s="1"/>
  <c r="AB25" i="2"/>
  <c r="E42" i="2"/>
  <c r="E44" i="2" s="1"/>
  <c r="E40" i="2"/>
  <c r="W38" i="2"/>
  <c r="W40" i="2" s="1"/>
  <c r="AH38" i="2"/>
  <c r="AH40" i="2" s="1"/>
  <c r="C38" i="2"/>
  <c r="C42" i="2" s="1"/>
  <c r="C44" i="2" s="1"/>
  <c r="BE38" i="2"/>
  <c r="BE40" i="2" s="1"/>
  <c r="C70" i="1"/>
  <c r="C71" i="1" s="1"/>
  <c r="C100" i="1" s="1"/>
  <c r="K70" i="1"/>
  <c r="K71" i="1" s="1"/>
  <c r="K100" i="1" s="1"/>
  <c r="H102" i="1"/>
  <c r="AO76" i="1"/>
  <c r="N37" i="1"/>
  <c r="N38" i="1" s="1"/>
  <c r="U35" i="5"/>
  <c r="U50" i="5" s="1"/>
  <c r="U57" i="5" s="1"/>
  <c r="U59" i="5" s="1"/>
  <c r="Z35" i="5"/>
  <c r="Z37" i="5" s="1"/>
  <c r="AU39" i="5"/>
  <c r="AU41" i="5" s="1"/>
  <c r="AU37" i="5"/>
  <c r="AU50" i="5"/>
  <c r="AU57" i="5" s="1"/>
  <c r="AU59" i="5" s="1"/>
  <c r="O35" i="5"/>
  <c r="O37" i="5" s="1"/>
  <c r="AB35" i="5"/>
  <c r="AK50" i="5"/>
  <c r="AK57" i="5" s="1"/>
  <c r="AK59" i="5" s="1"/>
  <c r="AK37" i="5"/>
  <c r="K35" i="5"/>
  <c r="K39" i="5" s="1"/>
  <c r="K41" i="5" s="1"/>
  <c r="AA35" i="5"/>
  <c r="AJ67" i="3"/>
  <c r="AJ88" i="3" s="1"/>
  <c r="AI87" i="3"/>
  <c r="N87" i="3"/>
  <c r="AR67" i="3"/>
  <c r="AR88" i="3" s="1"/>
  <c r="AT25" i="2"/>
  <c r="AT38" i="2"/>
  <c r="AT42" i="2" s="1"/>
  <c r="AT44" i="2" s="1"/>
  <c r="E51" i="2"/>
  <c r="E56" i="2" s="1"/>
  <c r="E58" i="2" s="1"/>
  <c r="E64" i="2" s="1"/>
  <c r="E66" i="2" s="1"/>
  <c r="AN38" i="2"/>
  <c r="AN40" i="2" s="1"/>
  <c r="AO38" i="2"/>
  <c r="AO40" i="2" s="1"/>
  <c r="J38" i="2"/>
  <c r="BH25" i="2"/>
  <c r="AV38" i="2"/>
  <c r="AV42" i="2" s="1"/>
  <c r="AV44" i="2" s="1"/>
  <c r="E25" i="2"/>
  <c r="K38" i="2"/>
  <c r="K51" i="2" s="1"/>
  <c r="K56" i="2" s="1"/>
  <c r="K58" i="2" s="1"/>
  <c r="BH38" i="2"/>
  <c r="AH21" i="5"/>
  <c r="AD24" i="2"/>
  <c r="AD25" i="2" s="1"/>
  <c r="V37" i="1"/>
  <c r="V38" i="1" s="1"/>
  <c r="V100" i="1" s="1"/>
  <c r="J70" i="1"/>
  <c r="T71" i="1"/>
  <c r="AV99" i="1"/>
  <c r="F21" i="5"/>
  <c r="BA21" i="5"/>
  <c r="X21" i="5"/>
  <c r="AN87" i="3"/>
  <c r="T88" i="3"/>
  <c r="AN67" i="3"/>
  <c r="X87" i="3"/>
  <c r="AD87" i="3"/>
  <c r="T87" i="3"/>
  <c r="AW88" i="3"/>
  <c r="AG38" i="2"/>
  <c r="AG42" i="2" s="1"/>
  <c r="AG44" i="2" s="1"/>
  <c r="BJ24" i="2"/>
  <c r="BJ38" i="2" s="1"/>
  <c r="Y24" i="2"/>
  <c r="Y25" i="2" s="1"/>
  <c r="U38" i="2"/>
  <c r="U40" i="2" s="1"/>
  <c r="AU25" i="2"/>
  <c r="AY38" i="2"/>
  <c r="AY40" i="2" s="1"/>
  <c r="AS38" i="2"/>
  <c r="AS42" i="2" s="1"/>
  <c r="AS44" i="2" s="1"/>
  <c r="BF24" i="2"/>
  <c r="BF25" i="2" s="1"/>
  <c r="R25" i="2"/>
  <c r="AZ38" i="2"/>
  <c r="AZ40" i="2" s="1"/>
  <c r="R51" i="2"/>
  <c r="R56" i="2" s="1"/>
  <c r="R58" i="2" s="1"/>
  <c r="R64" i="2" s="1"/>
  <c r="R66" i="2" s="1"/>
  <c r="R40" i="2"/>
  <c r="K25" i="2"/>
  <c r="AE76" i="1"/>
  <c r="AL99" i="1"/>
  <c r="AU100" i="1"/>
  <c r="AJ76" i="1"/>
  <c r="AE71" i="1"/>
  <c r="AE100" i="1" s="1"/>
  <c r="AJ71" i="1"/>
  <c r="AJ100" i="1" s="1"/>
  <c r="AA71" i="1"/>
  <c r="AA99" i="1"/>
  <c r="AN76" i="1"/>
  <c r="AV76" i="1"/>
  <c r="AI99" i="1"/>
  <c r="AO99" i="1"/>
  <c r="T99" i="1"/>
  <c r="L100" i="1"/>
  <c r="AD100" i="1"/>
  <c r="AC35" i="5"/>
  <c r="AB88" i="3"/>
  <c r="AO87" i="3"/>
  <c r="AO67" i="3"/>
  <c r="AO88" i="3" s="1"/>
  <c r="AN72" i="3"/>
  <c r="W87" i="3"/>
  <c r="Q87" i="3"/>
  <c r="AJ87" i="3"/>
  <c r="AX87" i="3"/>
  <c r="AX36" i="3"/>
  <c r="AL100" i="1"/>
  <c r="Z71" i="1"/>
  <c r="Z100" i="1" s="1"/>
  <c r="AS100" i="1"/>
  <c r="V102" i="1"/>
  <c r="E38" i="1"/>
  <c r="E100" i="1" s="1"/>
  <c r="AA38" i="1"/>
  <c r="AA100" i="1" s="1"/>
  <c r="AY99" i="1"/>
  <c r="AL76" i="1"/>
  <c r="AU76" i="1"/>
  <c r="AU99" i="1"/>
  <c r="AS99" i="1"/>
  <c r="AZ99" i="1"/>
  <c r="AY76" i="1"/>
  <c r="AO38" i="1"/>
  <c r="AO100" i="1" s="1"/>
  <c r="AN99" i="1"/>
  <c r="AF71" i="1"/>
  <c r="AF100" i="1" s="1"/>
  <c r="AX76" i="1"/>
  <c r="AF76" i="1"/>
  <c r="T38" i="1"/>
  <c r="T100" i="1" s="1"/>
  <c r="AX99" i="1"/>
  <c r="Z76" i="1"/>
  <c r="AZ76" i="1"/>
  <c r="AD99" i="1"/>
  <c r="AC76" i="1"/>
  <c r="U102" i="1"/>
  <c r="U73" i="1"/>
  <c r="AA38" i="2"/>
  <c r="AA25" i="2"/>
  <c r="AV74" i="1"/>
  <c r="AV100" i="1" s="1"/>
  <c r="AT21" i="5"/>
  <c r="AW21" i="5"/>
  <c r="AW35" i="5"/>
  <c r="AJ35" i="5"/>
  <c r="AJ21" i="5"/>
  <c r="M87" i="3"/>
  <c r="AG88" i="3"/>
  <c r="AR42" i="2"/>
  <c r="AR44" i="2" s="1"/>
  <c r="AR51" i="2"/>
  <c r="AR56" i="2" s="1"/>
  <c r="AR58" i="2" s="1"/>
  <c r="Q35" i="5"/>
  <c r="Q21" i="5"/>
  <c r="AC99" i="1"/>
  <c r="L99" i="1"/>
  <c r="AC100" i="1"/>
  <c r="AN100" i="1"/>
  <c r="H70" i="1"/>
  <c r="AZ71" i="1"/>
  <c r="AV21" i="5"/>
  <c r="AV35" i="5"/>
  <c r="AV88" i="3"/>
  <c r="R87" i="3"/>
  <c r="F24" i="2"/>
  <c r="AH37" i="5"/>
  <c r="AH39" i="5"/>
  <c r="AH41" i="5" s="1"/>
  <c r="AH50" i="5"/>
  <c r="AH57" i="5" s="1"/>
  <c r="AH59" i="5" s="1"/>
  <c r="AT50" i="5"/>
  <c r="AT37" i="5"/>
  <c r="AT39" i="5"/>
  <c r="BA37" i="5"/>
  <c r="BA39" i="5"/>
  <c r="BA50" i="5"/>
  <c r="AR37" i="5"/>
  <c r="AR50" i="5"/>
  <c r="AR57" i="5" s="1"/>
  <c r="AR59" i="5" s="1"/>
  <c r="AR39" i="5"/>
  <c r="AR41" i="5" s="1"/>
  <c r="X37" i="5"/>
  <c r="X50" i="5"/>
  <c r="X57" i="5" s="1"/>
  <c r="X59" i="5" s="1"/>
  <c r="X39" i="5"/>
  <c r="X41" i="5" s="1"/>
  <c r="AG37" i="5"/>
  <c r="AG39" i="5"/>
  <c r="AG41" i="5" s="1"/>
  <c r="H35" i="5"/>
  <c r="H21" i="5"/>
  <c r="AP37" i="5"/>
  <c r="AP39" i="5"/>
  <c r="AP41" i="5" s="1"/>
  <c r="AP50" i="5"/>
  <c r="AP57" i="5" s="1"/>
  <c r="AP59" i="5" s="1"/>
  <c r="Y37" i="5"/>
  <c r="Y39" i="5"/>
  <c r="Y41" i="5" s="1"/>
  <c r="Y50" i="5"/>
  <c r="Y57" i="5" s="1"/>
  <c r="Y59" i="5" s="1"/>
  <c r="U37" i="5"/>
  <c r="I21" i="5"/>
  <c r="I35" i="5"/>
  <c r="P37" i="5"/>
  <c r="P39" i="5"/>
  <c r="P41" i="5" s="1"/>
  <c r="P50" i="5"/>
  <c r="P57" i="5" s="1"/>
  <c r="P59" i="5" s="1"/>
  <c r="C37" i="5"/>
  <c r="C50" i="5"/>
  <c r="C57" i="5" s="1"/>
  <c r="C73" i="5" s="1"/>
  <c r="C39" i="5"/>
  <c r="C41" i="5" s="1"/>
  <c r="L50" i="5"/>
  <c r="L57" i="5" s="1"/>
  <c r="L59" i="5" s="1"/>
  <c r="L39" i="5"/>
  <c r="L41" i="5" s="1"/>
  <c r="L37" i="5"/>
  <c r="AY21" i="5"/>
  <c r="AY35" i="5"/>
  <c r="J21" i="5"/>
  <c r="J35" i="5"/>
  <c r="AO37" i="5"/>
  <c r="AO50" i="5"/>
  <c r="AO57" i="5" s="1"/>
  <c r="AO59" i="5" s="1"/>
  <c r="AO39" i="5"/>
  <c r="AO41" i="5" s="1"/>
  <c r="E37" i="5"/>
  <c r="E39" i="5"/>
  <c r="E41" i="5" s="1"/>
  <c r="E50" i="5"/>
  <c r="E57" i="5" s="1"/>
  <c r="E59" i="5" s="1"/>
  <c r="D37" i="5"/>
  <c r="D39" i="5"/>
  <c r="D41" i="5" s="1"/>
  <c r="D50" i="5"/>
  <c r="D57" i="5" s="1"/>
  <c r="W37" i="5"/>
  <c r="W39" i="5"/>
  <c r="W41" i="5" s="1"/>
  <c r="W50" i="5"/>
  <c r="W57" i="5" s="1"/>
  <c r="W59" i="5" s="1"/>
  <c r="AF37" i="5"/>
  <c r="AF39" i="5"/>
  <c r="AF41" i="5" s="1"/>
  <c r="AF50" i="5"/>
  <c r="AF57" i="5" s="1"/>
  <c r="AF59" i="5" s="1"/>
  <c r="N37" i="5"/>
  <c r="N39" i="5"/>
  <c r="N41" i="5" s="1"/>
  <c r="N50" i="5"/>
  <c r="N57" i="5" s="1"/>
  <c r="N59" i="5" s="1"/>
  <c r="AZ37" i="5"/>
  <c r="AZ39" i="5"/>
  <c r="AZ41" i="5" s="1"/>
  <c r="AZ50" i="5"/>
  <c r="AZ57" i="5" s="1"/>
  <c r="AZ59" i="5" s="1"/>
  <c r="AB50" i="5"/>
  <c r="AB57" i="5" s="1"/>
  <c r="AB59" i="5" s="1"/>
  <c r="AB39" i="5"/>
  <c r="AB41" i="5" s="1"/>
  <c r="AB37" i="5"/>
  <c r="AQ37" i="5"/>
  <c r="AQ50" i="5"/>
  <c r="AQ57" i="5" s="1"/>
  <c r="AQ59" i="5" s="1"/>
  <c r="AQ39" i="5"/>
  <c r="AQ41" i="5" s="1"/>
  <c r="F37" i="5"/>
  <c r="F39" i="5"/>
  <c r="F41" i="5" s="1"/>
  <c r="F50" i="5"/>
  <c r="F57" i="5" s="1"/>
  <c r="F59" i="5" s="1"/>
  <c r="F87" i="3"/>
  <c r="K72" i="3"/>
  <c r="Z88" i="3"/>
  <c r="AL88" i="3"/>
  <c r="AN88" i="3"/>
  <c r="AT36" i="3"/>
  <c r="AT87" i="3"/>
  <c r="AD88" i="3"/>
  <c r="AX88" i="3"/>
  <c r="AQ88" i="3"/>
  <c r="P42" i="2"/>
  <c r="P44" i="2" s="1"/>
  <c r="P40" i="2"/>
  <c r="P51" i="2"/>
  <c r="P56" i="2" s="1"/>
  <c r="P58" i="2" s="1"/>
  <c r="AK25" i="2"/>
  <c r="AK38" i="2"/>
  <c r="BD38" i="2"/>
  <c r="BD25" i="2"/>
  <c r="AX51" i="2"/>
  <c r="AX56" i="2" s="1"/>
  <c r="AX58" i="2" s="1"/>
  <c r="AX40" i="2"/>
  <c r="AX42" i="2"/>
  <c r="AX44" i="2" s="1"/>
  <c r="T51" i="2"/>
  <c r="T56" i="2" s="1"/>
  <c r="T58" i="2" s="1"/>
  <c r="T42" i="2"/>
  <c r="T44" i="2" s="1"/>
  <c r="T40" i="2"/>
  <c r="D51" i="2"/>
  <c r="D56" i="2" s="1"/>
  <c r="D58" i="2" s="1"/>
  <c r="D42" i="2"/>
  <c r="D44" i="2" s="1"/>
  <c r="D40" i="2"/>
  <c r="AJ38" i="2"/>
  <c r="AJ25" i="2"/>
  <c r="BA42" i="2"/>
  <c r="BA44" i="2" s="1"/>
  <c r="BA40" i="2"/>
  <c r="BA51" i="2"/>
  <c r="BA56" i="2" s="1"/>
  <c r="BA58" i="2" s="1"/>
  <c r="BI24" i="2"/>
  <c r="J76" i="1"/>
  <c r="J71" i="1"/>
  <c r="J100" i="1" s="1"/>
  <c r="J99" i="1"/>
  <c r="AG74" i="1"/>
  <c r="AG76" i="1"/>
  <c r="AQ99" i="1"/>
  <c r="AQ38" i="1"/>
  <c r="AQ100" i="1" s="1"/>
  <c r="AX100" i="1"/>
  <c r="Y76" i="1"/>
  <c r="Y71" i="1"/>
  <c r="Y100" i="1" s="1"/>
  <c r="F76" i="1"/>
  <c r="F71" i="1"/>
  <c r="F100" i="1" s="1"/>
  <c r="Q71" i="1"/>
  <c r="K76" i="1"/>
  <c r="AQ76" i="1"/>
  <c r="AI76" i="1"/>
  <c r="AI71" i="1"/>
  <c r="AI100" i="1" s="1"/>
  <c r="AG99" i="1"/>
  <c r="AG38" i="1"/>
  <c r="L76" i="1"/>
  <c r="M73" i="1"/>
  <c r="M102" i="1"/>
  <c r="R100" i="1"/>
  <c r="Y99" i="1"/>
  <c r="N102" i="1"/>
  <c r="N73" i="1"/>
  <c r="Q73" i="1"/>
  <c r="Q74" i="1" s="1"/>
  <c r="Q102" i="1"/>
  <c r="S38" i="1"/>
  <c r="S100" i="1" s="1"/>
  <c r="S99" i="1"/>
  <c r="X99" i="1"/>
  <c r="X38" i="1"/>
  <c r="X100" i="1" s="1"/>
  <c r="AZ74" i="1"/>
  <c r="F99" i="1"/>
  <c r="P76" i="1"/>
  <c r="P71" i="1"/>
  <c r="P100" i="1" s="1"/>
  <c r="T39" i="5" l="1"/>
  <c r="T41" i="5" s="1"/>
  <c r="T37" i="5"/>
  <c r="AE37" i="5"/>
  <c r="AE39" i="5"/>
  <c r="AE41" i="5" s="1"/>
  <c r="D73" i="5"/>
  <c r="D76" i="5"/>
  <c r="AM37" i="5"/>
  <c r="AM50" i="5"/>
  <c r="AM57" i="5" s="1"/>
  <c r="AM59" i="5" s="1"/>
  <c r="R50" i="5"/>
  <c r="R57" i="5" s="1"/>
  <c r="R59" i="5" s="1"/>
  <c r="R39" i="5"/>
  <c r="R41" i="5" s="1"/>
  <c r="O50" i="5"/>
  <c r="O57" i="5" s="1"/>
  <c r="O59" i="5" s="1"/>
  <c r="O39" i="5"/>
  <c r="O41" i="5" s="1"/>
  <c r="AC42" i="2"/>
  <c r="AC44" i="2" s="1"/>
  <c r="AF64" i="2"/>
  <c r="AF66" i="2" s="1"/>
  <c r="C99" i="1"/>
  <c r="C76" i="1"/>
  <c r="K37" i="5"/>
  <c r="U39" i="5"/>
  <c r="U41" i="5" s="1"/>
  <c r="AQ42" i="2"/>
  <c r="AQ44" i="2" s="1"/>
  <c r="AQ51" i="2"/>
  <c r="AQ56" i="2" s="1"/>
  <c r="AQ58" i="2" s="1"/>
  <c r="BH51" i="2"/>
  <c r="BH56" i="2" s="1"/>
  <c r="K99" i="1"/>
  <c r="AF42" i="2"/>
  <c r="AF44" i="2" s="1"/>
  <c r="Q51" i="2"/>
  <c r="Q56" i="2" s="1"/>
  <c r="Q58" i="2" s="1"/>
  <c r="Q60" i="2" s="1"/>
  <c r="AI25" i="2"/>
  <c r="AD38" i="2"/>
  <c r="AD51" i="2" s="1"/>
  <c r="AD56" i="2" s="1"/>
  <c r="AD58" i="2" s="1"/>
  <c r="C51" i="2"/>
  <c r="C56" i="2" s="1"/>
  <c r="C58" i="2" s="1"/>
  <c r="C64" i="2" s="1"/>
  <c r="W51" i="2"/>
  <c r="W56" i="2" s="1"/>
  <c r="W58" i="2" s="1"/>
  <c r="W64" i="2" s="1"/>
  <c r="W66" i="2" s="1"/>
  <c r="W42" i="2"/>
  <c r="W44" i="2" s="1"/>
  <c r="AG40" i="2"/>
  <c r="Q40" i="2"/>
  <c r="BJ25" i="2"/>
  <c r="AZ42" i="2"/>
  <c r="AZ44" i="2" s="1"/>
  <c r="AZ51" i="2"/>
  <c r="AZ56" i="2" s="1"/>
  <c r="AZ58" i="2" s="1"/>
  <c r="AZ64" i="2" s="1"/>
  <c r="AZ66" i="2" s="1"/>
  <c r="N40" i="2"/>
  <c r="S51" i="2"/>
  <c r="S56" i="2" s="1"/>
  <c r="S58" i="2" s="1"/>
  <c r="S64" i="2" s="1"/>
  <c r="S66" i="2" s="1"/>
  <c r="N51" i="2"/>
  <c r="N56" i="2" s="1"/>
  <c r="N58" i="2" s="1"/>
  <c r="N64" i="2" s="1"/>
  <c r="N66" i="2" s="1"/>
  <c r="S40" i="2"/>
  <c r="C40" i="2"/>
  <c r="I42" i="2"/>
  <c r="I44" i="2" s="1"/>
  <c r="BC51" i="2"/>
  <c r="BC56" i="2" s="1"/>
  <c r="I51" i="2"/>
  <c r="I56" i="2" s="1"/>
  <c r="I58" i="2" s="1"/>
  <c r="I64" i="2" s="1"/>
  <c r="I66" i="2" s="1"/>
  <c r="BC40" i="2"/>
  <c r="AF40" i="2"/>
  <c r="AC51" i="2"/>
  <c r="AC56" i="2" s="1"/>
  <c r="AC58" i="2" s="1"/>
  <c r="AC64" i="2" s="1"/>
  <c r="AC66" i="2" s="1"/>
  <c r="L42" i="2"/>
  <c r="L44" i="2" s="1"/>
  <c r="BE51" i="2"/>
  <c r="BE56" i="2" s="1"/>
  <c r="BE58" i="2" s="1"/>
  <c r="BE64" i="2" s="1"/>
  <c r="BE66" i="2" s="1"/>
  <c r="AG51" i="2"/>
  <c r="AG56" i="2" s="1"/>
  <c r="AG58" i="2" s="1"/>
  <c r="AG64" i="2" s="1"/>
  <c r="AG66" i="2" s="1"/>
  <c r="O51" i="2"/>
  <c r="O56" i="2" s="1"/>
  <c r="O58" i="2" s="1"/>
  <c r="O60" i="2" s="1"/>
  <c r="AO51" i="2"/>
  <c r="AO56" i="2" s="1"/>
  <c r="AO58" i="2" s="1"/>
  <c r="AO64" i="2" s="1"/>
  <c r="AO66" i="2" s="1"/>
  <c r="X42" i="2"/>
  <c r="X44" i="2" s="1"/>
  <c r="X40" i="2"/>
  <c r="AH51" i="2"/>
  <c r="AH56" i="2" s="1"/>
  <c r="AH58" i="2" s="1"/>
  <c r="AH60" i="2" s="1"/>
  <c r="H51" i="2"/>
  <c r="H56" i="2" s="1"/>
  <c r="H58" i="2" s="1"/>
  <c r="H60" i="2" s="1"/>
  <c r="AH42" i="2"/>
  <c r="AH44" i="2" s="1"/>
  <c r="BH42" i="2"/>
  <c r="AN42" i="2"/>
  <c r="AN44" i="2" s="1"/>
  <c r="BH40" i="2"/>
  <c r="H40" i="2"/>
  <c r="K40" i="2"/>
  <c r="AN51" i="2"/>
  <c r="AN56" i="2" s="1"/>
  <c r="AN58" i="2" s="1"/>
  <c r="AN60" i="2" s="1"/>
  <c r="AU64" i="2"/>
  <c r="AU66" i="2" s="1"/>
  <c r="K42" i="2"/>
  <c r="K44" i="2" s="1"/>
  <c r="Y38" i="2"/>
  <c r="Y42" i="2" s="1"/>
  <c r="Y44" i="2" s="1"/>
  <c r="BE42" i="2"/>
  <c r="BE44" i="2" s="1"/>
  <c r="L51" i="2"/>
  <c r="L56" i="2" s="1"/>
  <c r="L58" i="2" s="1"/>
  <c r="L64" i="2" s="1"/>
  <c r="L66" i="2" s="1"/>
  <c r="Z38" i="2"/>
  <c r="Z51" i="2" s="1"/>
  <c r="Z56" i="2" s="1"/>
  <c r="Z58" i="2" s="1"/>
  <c r="O42" i="2"/>
  <c r="O44" i="2" s="1"/>
  <c r="AB51" i="2"/>
  <c r="AB56" i="2" s="1"/>
  <c r="AB58" i="2" s="1"/>
  <c r="AB64" i="2" s="1"/>
  <c r="AB66" i="2" s="1"/>
  <c r="AB40" i="2"/>
  <c r="U42" i="2"/>
  <c r="U44" i="2" s="1"/>
  <c r="AV51" i="2"/>
  <c r="AV56" i="2" s="1"/>
  <c r="AV58" i="2" s="1"/>
  <c r="AV60" i="2" s="1"/>
  <c r="U51" i="2"/>
  <c r="U56" i="2" s="1"/>
  <c r="U58" i="2" s="1"/>
  <c r="U60" i="2" s="1"/>
  <c r="AV40" i="2"/>
  <c r="AT51" i="2"/>
  <c r="AT56" i="2" s="1"/>
  <c r="AT58" i="2" s="1"/>
  <c r="AT60" i="2" s="1"/>
  <c r="AT40" i="2"/>
  <c r="E60" i="2"/>
  <c r="V99" i="1"/>
  <c r="Z50" i="5"/>
  <c r="Z57" i="5" s="1"/>
  <c r="Z59" i="5" s="1"/>
  <c r="Z39" i="5"/>
  <c r="Z41" i="5" s="1"/>
  <c r="K50" i="5"/>
  <c r="K57" i="5" s="1"/>
  <c r="K59" i="5" s="1"/>
  <c r="BA41" i="5"/>
  <c r="BA57" i="5"/>
  <c r="AA39" i="5"/>
  <c r="AA41" i="5" s="1"/>
  <c r="AA37" i="5"/>
  <c r="AA50" i="5"/>
  <c r="AA57" i="5" s="1"/>
  <c r="AA59" i="5" s="1"/>
  <c r="R60" i="2"/>
  <c r="AO42" i="2"/>
  <c r="AO44" i="2" s="1"/>
  <c r="X64" i="2"/>
  <c r="X66" i="2" s="1"/>
  <c r="J51" i="2"/>
  <c r="J56" i="2" s="1"/>
  <c r="J58" i="2" s="1"/>
  <c r="J40" i="2"/>
  <c r="J42" i="2"/>
  <c r="J44" i="2" s="1"/>
  <c r="AS51" i="2"/>
  <c r="AS56" i="2" s="1"/>
  <c r="AS58" i="2" s="1"/>
  <c r="AS64" i="2" s="1"/>
  <c r="AS66" i="2" s="1"/>
  <c r="AS40" i="2"/>
  <c r="AY42" i="2"/>
  <c r="AY44" i="2" s="1"/>
  <c r="AY51" i="2"/>
  <c r="AY56" i="2" s="1"/>
  <c r="AY58" i="2" s="1"/>
  <c r="AY64" i="2" s="1"/>
  <c r="AY66" i="2" s="1"/>
  <c r="BF38" i="2"/>
  <c r="AC39" i="5"/>
  <c r="AC41" i="5" s="1"/>
  <c r="AC50" i="5"/>
  <c r="AC57" i="5" s="1"/>
  <c r="AC59" i="5" s="1"/>
  <c r="AC37" i="5"/>
  <c r="AJ50" i="5"/>
  <c r="AJ57" i="5" s="1"/>
  <c r="AJ59" i="5" s="1"/>
  <c r="AJ37" i="5"/>
  <c r="AJ39" i="5"/>
  <c r="AJ41" i="5" s="1"/>
  <c r="U74" i="1"/>
  <c r="U100" i="1" s="1"/>
  <c r="U99" i="1"/>
  <c r="U76" i="1"/>
  <c r="Q39" i="5"/>
  <c r="Q41" i="5" s="1"/>
  <c r="Q37" i="5"/>
  <c r="Q50" i="5"/>
  <c r="Q57" i="5" s="1"/>
  <c r="Q59" i="5" s="1"/>
  <c r="AV37" i="5"/>
  <c r="AV50" i="5"/>
  <c r="AV57" i="5" s="1"/>
  <c r="AV59" i="5" s="1"/>
  <c r="AV39" i="5"/>
  <c r="AV41" i="5" s="1"/>
  <c r="AR64" i="2"/>
  <c r="AR66" i="2" s="1"/>
  <c r="AR60" i="2"/>
  <c r="H71" i="1"/>
  <c r="H100" i="1" s="1"/>
  <c r="H99" i="1"/>
  <c r="H76" i="1"/>
  <c r="AA42" i="2"/>
  <c r="AA44" i="2" s="1"/>
  <c r="AA51" i="2"/>
  <c r="AA56" i="2" s="1"/>
  <c r="AA58" i="2" s="1"/>
  <c r="AA40" i="2"/>
  <c r="AW39" i="5"/>
  <c r="AW41" i="5" s="1"/>
  <c r="AW37" i="5"/>
  <c r="AW50" i="5"/>
  <c r="AW57" i="5" s="1"/>
  <c r="AW59" i="5" s="1"/>
  <c r="AG100" i="1"/>
  <c r="Q100" i="1"/>
  <c r="Q76" i="1"/>
  <c r="F25" i="2"/>
  <c r="F38" i="2"/>
  <c r="H50" i="5"/>
  <c r="H57" i="5" s="1"/>
  <c r="H59" i="5" s="1"/>
  <c r="H37" i="5"/>
  <c r="H39" i="5"/>
  <c r="H41" i="5" s="1"/>
  <c r="AT57" i="5"/>
  <c r="J50" i="5"/>
  <c r="J57" i="5" s="1"/>
  <c r="J59" i="5" s="1"/>
  <c r="J39" i="5"/>
  <c r="J41" i="5" s="1"/>
  <c r="J37" i="5"/>
  <c r="C59" i="5"/>
  <c r="I50" i="5"/>
  <c r="I57" i="5" s="1"/>
  <c r="I59" i="5" s="1"/>
  <c r="I39" i="5"/>
  <c r="I41" i="5" s="1"/>
  <c r="I37" i="5"/>
  <c r="D59" i="5"/>
  <c r="AT41" i="5"/>
  <c r="AY50" i="5"/>
  <c r="AY39" i="5"/>
  <c r="AY37" i="5"/>
  <c r="AT88" i="3"/>
  <c r="BA60" i="2"/>
  <c r="BA64" i="2"/>
  <c r="BA66" i="2" s="1"/>
  <c r="AK42" i="2"/>
  <c r="AK44" i="2" s="1"/>
  <c r="AK40" i="2"/>
  <c r="AK51" i="2"/>
  <c r="AK56" i="2" s="1"/>
  <c r="AK58" i="2" s="1"/>
  <c r="BJ51" i="2"/>
  <c r="BJ42" i="2"/>
  <c r="BJ40" i="2"/>
  <c r="AX60" i="2"/>
  <c r="AX64" i="2"/>
  <c r="AX66" i="2" s="1"/>
  <c r="P64" i="2"/>
  <c r="P66" i="2" s="1"/>
  <c r="P60" i="2"/>
  <c r="BC44" i="2"/>
  <c r="T60" i="2"/>
  <c r="T64" i="2"/>
  <c r="T66" i="2" s="1"/>
  <c r="AJ40" i="2"/>
  <c r="AJ51" i="2"/>
  <c r="AJ56" i="2" s="1"/>
  <c r="AJ58" i="2" s="1"/>
  <c r="AJ42" i="2"/>
  <c r="AJ44" i="2" s="1"/>
  <c r="K64" i="2"/>
  <c r="K66" i="2" s="1"/>
  <c r="K60" i="2"/>
  <c r="AI42" i="2"/>
  <c r="AI44" i="2" s="1"/>
  <c r="AI40" i="2"/>
  <c r="AI51" i="2"/>
  <c r="AI56" i="2" s="1"/>
  <c r="AI58" i="2" s="1"/>
  <c r="BI25" i="2"/>
  <c r="BI38" i="2"/>
  <c r="D60" i="2"/>
  <c r="D64" i="2"/>
  <c r="AQ64" i="2"/>
  <c r="AQ66" i="2" s="1"/>
  <c r="AQ60" i="2"/>
  <c r="BD42" i="2"/>
  <c r="BD44" i="2" s="1"/>
  <c r="BD40" i="2"/>
  <c r="BD51" i="2"/>
  <c r="BD56" i="2" s="1"/>
  <c r="BD58" i="2" s="1"/>
  <c r="M74" i="1"/>
  <c r="M100" i="1" s="1"/>
  <c r="M99" i="1"/>
  <c r="M76" i="1"/>
  <c r="N74" i="1"/>
  <c r="N100" i="1" s="1"/>
  <c r="N76" i="1"/>
  <c r="N99" i="1"/>
  <c r="Q99" i="1"/>
  <c r="AZ100" i="1"/>
  <c r="BH44" i="2" l="1"/>
  <c r="AD42" i="2"/>
  <c r="AD44" i="2" s="1"/>
  <c r="AD40" i="2"/>
  <c r="AG60" i="2"/>
  <c r="AV64" i="2"/>
  <c r="AV66" i="2" s="1"/>
  <c r="BE60" i="2"/>
  <c r="Q64" i="2"/>
  <c r="Q66" i="2" s="1"/>
  <c r="N60" i="2"/>
  <c r="C60" i="2"/>
  <c r="W60" i="2"/>
  <c r="Z40" i="2"/>
  <c r="AZ60" i="2"/>
  <c r="S60" i="2"/>
  <c r="AO60" i="2"/>
  <c r="I60" i="2"/>
  <c r="L60" i="2"/>
  <c r="Y51" i="2"/>
  <c r="Y56" i="2" s="1"/>
  <c r="Y58" i="2" s="1"/>
  <c r="Y60" i="2" s="1"/>
  <c r="Y40" i="2"/>
  <c r="AY60" i="2"/>
  <c r="AC60" i="2"/>
  <c r="AT64" i="2"/>
  <c r="AT66" i="2" s="1"/>
  <c r="AH64" i="2"/>
  <c r="AH66" i="2" s="1"/>
  <c r="AB60" i="2"/>
  <c r="Z42" i="2"/>
  <c r="Z44" i="2" s="1"/>
  <c r="H64" i="2"/>
  <c r="H66" i="2" s="1"/>
  <c r="O64" i="2"/>
  <c r="O66" i="2" s="1"/>
  <c r="U64" i="2"/>
  <c r="U66" i="2" s="1"/>
  <c r="AN64" i="2"/>
  <c r="AN66" i="2" s="1"/>
  <c r="AS60" i="2"/>
  <c r="BJ44" i="2"/>
  <c r="BJ56" i="2"/>
  <c r="BJ58" i="2" s="1"/>
  <c r="BA59" i="5"/>
  <c r="J60" i="2"/>
  <c r="J64" i="2"/>
  <c r="J66" i="2" s="1"/>
  <c r="BF42" i="2"/>
  <c r="BF44" i="2" s="1"/>
  <c r="BF40" i="2"/>
  <c r="BF51" i="2"/>
  <c r="BF56" i="2" s="1"/>
  <c r="BF58" i="2" s="1"/>
  <c r="F40" i="2"/>
  <c r="F51" i="2"/>
  <c r="F56" i="2" s="1"/>
  <c r="F58" i="2" s="1"/>
  <c r="F42" i="2"/>
  <c r="F44" i="2" s="1"/>
  <c r="AA64" i="2"/>
  <c r="AA66" i="2" s="1"/>
  <c r="AA60" i="2"/>
  <c r="AT59" i="5"/>
  <c r="AY41" i="5"/>
  <c r="AY57" i="5"/>
  <c r="BC58" i="2"/>
  <c r="Z60" i="2"/>
  <c r="Z64" i="2"/>
  <c r="Z66" i="2" s="1"/>
  <c r="AD64" i="2"/>
  <c r="AD66" i="2" s="1"/>
  <c r="AD60" i="2"/>
  <c r="C66" i="2"/>
  <c r="C69" i="2"/>
  <c r="BI40" i="2"/>
  <c r="BI42" i="2"/>
  <c r="BI51" i="2"/>
  <c r="BH58" i="2"/>
  <c r="AK64" i="2"/>
  <c r="AK66" i="2" s="1"/>
  <c r="AK60" i="2"/>
  <c r="BD60" i="2"/>
  <c r="BD64" i="2"/>
  <c r="BD66" i="2" s="1"/>
  <c r="D69" i="2"/>
  <c r="D66" i="2"/>
  <c r="AI60" i="2"/>
  <c r="AI64" i="2"/>
  <c r="AI66" i="2" s="1"/>
  <c r="AJ60" i="2"/>
  <c r="AJ64" i="2"/>
  <c r="AJ66" i="2" s="1"/>
  <c r="Y64" i="2"/>
  <c r="Y66" i="2" s="1"/>
  <c r="BJ64" i="2" l="1"/>
  <c r="BJ60" i="2"/>
  <c r="BF64" i="2"/>
  <c r="BF66" i="2" s="1"/>
  <c r="BF60" i="2"/>
  <c r="F64" i="2"/>
  <c r="F66" i="2" s="1"/>
  <c r="F60" i="2"/>
  <c r="AY59" i="5"/>
  <c r="BH60" i="2"/>
  <c r="BH64" i="2"/>
  <c r="BC64" i="2"/>
  <c r="BC60" i="2"/>
  <c r="BI56" i="2"/>
  <c r="BI44" i="2"/>
  <c r="BJ66" i="2" l="1"/>
  <c r="BC66" i="2"/>
  <c r="BI58" i="2"/>
  <c r="BH66" i="2"/>
  <c r="BI64" i="2" l="1"/>
  <c r="BI60" i="2"/>
  <c r="BI6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Elena Moreno</author>
  </authors>
  <commentList>
    <comment ref="B25" authorId="0" shapeId="0" xr:uid="{BB79EE5E-2D5F-4BA1-A358-514619672D07}">
      <text>
        <r>
          <rPr>
            <b/>
            <sz val="9"/>
            <color indexed="81"/>
            <rFont val="Tahoma"/>
            <family val="2"/>
          </rPr>
          <t>María Elena Moreno:</t>
        </r>
        <r>
          <rPr>
            <sz val="9"/>
            <color indexed="81"/>
            <rFont val="Tahoma"/>
            <family val="2"/>
          </rPr>
          <t xml:space="preserve">
intangibles + crédito mercantil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Elena Moreno</author>
    <author>Juan Aristizabal</author>
  </authors>
  <commentList>
    <comment ref="B62" authorId="0" shapeId="0" xr:uid="{44E63462-6F41-4224-80E2-30B3FCEE34BF}">
      <text>
        <r>
          <rPr>
            <b/>
            <sz val="9"/>
            <color indexed="81"/>
            <rFont val="Tahoma"/>
            <family val="2"/>
          </rPr>
          <t>María Elena Moreno:</t>
        </r>
        <r>
          <rPr>
            <sz val="9"/>
            <color indexed="81"/>
            <rFont val="Tahoma"/>
            <family val="2"/>
          </rPr>
          <t xml:space="preserve">
incluye otros pasivos no fros</t>
        </r>
      </text>
    </comment>
    <comment ref="BK77" authorId="1" shapeId="0" xr:uid="{CE091391-0ADF-4E9D-BFC4-224CBECE5F5D}">
      <text>
        <r>
          <rPr>
            <b/>
            <sz val="9"/>
            <color indexed="81"/>
            <rFont val="Tahoma"/>
            <family val="2"/>
          </rPr>
          <t>Otro Resultado Integral:</t>
        </r>
        <r>
          <rPr>
            <sz val="9"/>
            <color indexed="81"/>
            <rFont val="Tahoma"/>
            <family val="2"/>
          </rPr>
          <t xml:space="preserve">
MPP dif cam x conversión de negocios en el extranjero
Ganancias y pérdidas de inversiones patrimoniales
Otros componentes del ORI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Luisa Fernanda Monsalve</author>
    <author>Juan Aristizabal</author>
    <author xml:space="preserve">Mayestty Nagles Vergara  </author>
    <author>Juan Esteban Aristizabal Restrepo</author>
    <author>Luz Cenelia Hernandez</author>
  </authors>
  <commentList>
    <comment ref="C8" authorId="0" shapeId="0" xr:uid="{F609A36B-D4C7-410C-9342-AC242A02FD82}">
      <text>
        <r>
          <rPr>
            <b/>
            <sz val="9"/>
            <color indexed="81"/>
            <rFont val="Tahoma"/>
            <family val="2"/>
          </rPr>
          <t>Corresponde a:
-</t>
        </r>
        <r>
          <rPr>
            <sz val="9"/>
            <color indexed="81"/>
            <rFont val="Tahoma"/>
            <family val="2"/>
          </rPr>
          <t xml:space="preserve">CDT (Time deposit en USD)  
-Fondos de inversión y carteras colectivas
-Caja y bancos </t>
        </r>
      </text>
    </comment>
    <comment ref="D8" authorId="0" shapeId="0" xr:uid="{81849292-A80F-4E8A-BB70-133CA82CBC9F}">
      <text>
        <r>
          <rPr>
            <b/>
            <sz val="9"/>
            <color indexed="81"/>
            <rFont val="Tahoma"/>
            <family val="2"/>
          </rPr>
          <t>Corresponde a:
-</t>
        </r>
        <r>
          <rPr>
            <sz val="9"/>
            <color indexed="81"/>
            <rFont val="Tahoma"/>
            <family val="2"/>
          </rPr>
          <t xml:space="preserve">CDT (Time deposit en USD)  
-Fondos de inversión y carteras colectivas
-Caja y bancos </t>
        </r>
      </text>
    </comment>
    <comment ref="C9" authorId="1" shapeId="0" xr:uid="{4A311512-3008-4E53-AD00-41F066C645DB}">
      <text>
        <r>
          <rPr>
            <b/>
            <sz val="9"/>
            <color indexed="81"/>
            <rFont val="Tahoma"/>
            <family val="2"/>
          </rPr>
          <t>Juan Aristizabal:</t>
        </r>
        <r>
          <rPr>
            <sz val="9"/>
            <color indexed="81"/>
            <rFont val="Tahoma"/>
            <family val="2"/>
          </rPr>
          <t xml:space="preserve">
FWD resultados:$9.338
Swap ORI: $505
Swap resultados: $93</t>
        </r>
      </text>
    </comment>
    <comment ref="D9" authorId="1" shapeId="0" xr:uid="{6777FFE2-AC56-4BAC-8A88-6B56E6A3BACE}">
      <text>
        <r>
          <rPr>
            <b/>
            <sz val="9"/>
            <color indexed="81"/>
            <rFont val="Tahoma"/>
            <family val="2"/>
          </rPr>
          <t>Juan Aristizabal:</t>
        </r>
        <r>
          <rPr>
            <sz val="9"/>
            <color indexed="81"/>
            <rFont val="Tahoma"/>
            <family val="2"/>
          </rPr>
          <t xml:space="preserve">
FWD resultados:$9.338
Swap ORI: $505
Swap resultados: $93</t>
        </r>
      </text>
    </comment>
    <comment ref="C10" authorId="0" shapeId="0" xr:uid="{D82FFE4A-EC1C-4689-A081-D2AB3EFC9CF3}">
      <text>
        <r>
          <rPr>
            <b/>
            <sz val="9"/>
            <color indexed="81"/>
            <rFont val="Tahoma"/>
            <family val="2"/>
          </rPr>
          <t>Corresponde a:</t>
        </r>
        <r>
          <rPr>
            <sz val="9"/>
            <color indexed="81"/>
            <rFont val="Tahoma"/>
            <family val="2"/>
          </rPr>
          <t xml:space="preserve">
CDT a VR con cambios en resultados </t>
        </r>
      </text>
    </comment>
    <comment ref="D10" authorId="0" shapeId="0" xr:uid="{88DDF3FA-E53A-4293-8B48-92D5E16470FA}">
      <text>
        <r>
          <rPr>
            <b/>
            <sz val="9"/>
            <color indexed="81"/>
            <rFont val="Tahoma"/>
            <family val="2"/>
          </rPr>
          <t>Corresponde a:</t>
        </r>
        <r>
          <rPr>
            <sz val="9"/>
            <color indexed="81"/>
            <rFont val="Tahoma"/>
            <family val="2"/>
          </rPr>
          <t xml:space="preserve">
CDT a VR con cambios en resultados </t>
        </r>
      </text>
    </comment>
    <comment ref="C11" authorId="0" shapeId="0" xr:uid="{D31CFAEB-CB7A-4DDE-81B9-82631DA5663E}">
      <text>
        <r>
          <rPr>
            <b/>
            <sz val="9"/>
            <color indexed="81"/>
            <rFont val="Tahoma"/>
            <family val="2"/>
          </rPr>
          <t>Corresponde a:</t>
        </r>
        <r>
          <rPr>
            <sz val="9"/>
            <color indexed="81"/>
            <rFont val="Tahoma"/>
            <family val="2"/>
          </rPr>
          <t xml:space="preserve">
Clientes Nacionales</t>
        </r>
        <r>
          <rPr>
            <sz val="9"/>
            <color indexed="81"/>
            <rFont val="Tahoma"/>
            <family val="2"/>
          </rPr>
          <t xml:space="preserve">
Cuentas por cobrar empleados</t>
        </r>
        <r>
          <rPr>
            <b/>
            <sz val="9"/>
            <color indexed="81"/>
            <rFont val="Tahoma"/>
            <family val="2"/>
          </rPr>
          <t xml:space="preserve">
</t>
        </r>
        <r>
          <rPr>
            <sz val="9"/>
            <color indexed="81"/>
            <rFont val="Tahoma"/>
            <family val="2"/>
          </rPr>
          <t>Dividendos por cobrar a partes relacionadas</t>
        </r>
        <r>
          <rPr>
            <b/>
            <sz val="9"/>
            <color indexed="81"/>
            <rFont val="Tahoma"/>
            <family val="2"/>
          </rPr>
          <t xml:space="preserve">
</t>
        </r>
        <r>
          <rPr>
            <sz val="9"/>
            <color indexed="81"/>
            <rFont val="Tahoma"/>
            <family val="2"/>
          </rPr>
          <t>Dividendos y otras participaciones por cobrar</t>
        </r>
        <r>
          <rPr>
            <sz val="9"/>
            <color indexed="81"/>
            <rFont val="Tahoma"/>
            <family val="2"/>
          </rPr>
          <t xml:space="preserve">
Cuentas por cobrar compañías vinculadas</t>
        </r>
        <r>
          <rPr>
            <sz val="9"/>
            <color indexed="81"/>
            <rFont val="Tahoma"/>
            <family val="2"/>
          </rPr>
          <t xml:space="preserve">
Otros deudores </t>
        </r>
        <r>
          <rPr>
            <sz val="9"/>
            <color indexed="81"/>
            <rFont val="Tahoma"/>
            <family val="2"/>
          </rPr>
          <t xml:space="preserve">
Activos por imptos </t>
        </r>
      </text>
    </comment>
    <comment ref="D11" authorId="0" shapeId="0" xr:uid="{20D37381-F600-4C61-98F2-2758728E62A6}">
      <text>
        <r>
          <rPr>
            <b/>
            <sz val="9"/>
            <color indexed="81"/>
            <rFont val="Tahoma"/>
            <family val="2"/>
          </rPr>
          <t>Corresponde a:</t>
        </r>
        <r>
          <rPr>
            <sz val="9"/>
            <color indexed="81"/>
            <rFont val="Tahoma"/>
            <family val="2"/>
          </rPr>
          <t xml:space="preserve">
Clientes Nacionales</t>
        </r>
        <r>
          <rPr>
            <sz val="9"/>
            <color indexed="81"/>
            <rFont val="Tahoma"/>
            <family val="2"/>
          </rPr>
          <t xml:space="preserve">
Cuentas por cobrar empleados</t>
        </r>
        <r>
          <rPr>
            <b/>
            <sz val="9"/>
            <color indexed="81"/>
            <rFont val="Tahoma"/>
            <family val="2"/>
          </rPr>
          <t xml:space="preserve">
</t>
        </r>
        <r>
          <rPr>
            <sz val="9"/>
            <color indexed="81"/>
            <rFont val="Tahoma"/>
            <family val="2"/>
          </rPr>
          <t>Dividendos por cobrar a partes relacionadas</t>
        </r>
        <r>
          <rPr>
            <b/>
            <sz val="9"/>
            <color indexed="81"/>
            <rFont val="Tahoma"/>
            <family val="2"/>
          </rPr>
          <t xml:space="preserve">
</t>
        </r>
        <r>
          <rPr>
            <sz val="9"/>
            <color indexed="81"/>
            <rFont val="Tahoma"/>
            <family val="2"/>
          </rPr>
          <t>Dividendos y otras participaciones por cobrar</t>
        </r>
        <r>
          <rPr>
            <sz val="9"/>
            <color indexed="81"/>
            <rFont val="Tahoma"/>
            <family val="2"/>
          </rPr>
          <t xml:space="preserve">
Cuentas por cobrar compañías vinculadas</t>
        </r>
        <r>
          <rPr>
            <sz val="9"/>
            <color indexed="81"/>
            <rFont val="Tahoma"/>
            <family val="2"/>
          </rPr>
          <t xml:space="preserve">
Otros deudores </t>
        </r>
        <r>
          <rPr>
            <sz val="9"/>
            <color indexed="81"/>
            <rFont val="Tahoma"/>
            <family val="2"/>
          </rPr>
          <t xml:space="preserve">
Activos por imptos </t>
        </r>
      </text>
    </comment>
    <comment ref="C12" authorId="1" shapeId="0" xr:uid="{AAB7207E-CB4E-4EDF-9056-AF40DAA27E6F}">
      <text>
        <r>
          <rPr>
            <b/>
            <sz val="9"/>
            <color indexed="81"/>
            <rFont val="Tahoma"/>
            <family val="2"/>
          </rPr>
          <t>Juan Aristizabal:</t>
        </r>
        <r>
          <rPr>
            <sz val="9"/>
            <color indexed="81"/>
            <rFont val="Tahoma"/>
            <family val="2"/>
          </rPr>
          <t xml:space="preserve">
Inventario de lotes de terrenos disponible para la venta en el giro ordinario del negocio</t>
        </r>
      </text>
    </comment>
    <comment ref="D12" authorId="1" shapeId="0" xr:uid="{B01FE2A8-0DEF-4E3C-A228-977F09F18A95}">
      <text>
        <r>
          <rPr>
            <b/>
            <sz val="9"/>
            <color indexed="81"/>
            <rFont val="Tahoma"/>
            <family val="2"/>
          </rPr>
          <t>Juan Aristizabal:</t>
        </r>
        <r>
          <rPr>
            <sz val="9"/>
            <color indexed="81"/>
            <rFont val="Tahoma"/>
            <family val="2"/>
          </rPr>
          <t xml:space="preserve">
Inventario de lotes de terrenos disponible para la venta en el giro ordinario del negocio</t>
        </r>
      </text>
    </comment>
    <comment ref="C15" authorId="1" shapeId="0" xr:uid="{4D42A5D6-7757-4E7D-8572-4527C48BFFEC}">
      <text>
        <r>
          <rPr>
            <sz val="9"/>
            <color indexed="81"/>
            <rFont val="Tahoma"/>
            <family val="2"/>
          </rPr>
          <t xml:space="preserve">
Inversiones mantenidas para la venta  acciones de Grupo Sura</t>
        </r>
      </text>
    </comment>
    <comment ref="D15" authorId="1" shapeId="0" xr:uid="{DABDBB2A-77A2-476F-85DD-AFA6E648890F}">
      <text>
        <r>
          <rPr>
            <sz val="9"/>
            <color indexed="81"/>
            <rFont val="Tahoma"/>
            <family val="2"/>
          </rPr>
          <t xml:space="preserve">
Inversiones mantenidas para la venta  acciones de Grupo Nutresa</t>
        </r>
      </text>
    </comment>
    <comment ref="C19" authorId="2" shapeId="0" xr:uid="{DBD76CB8-1463-4D90-B4F7-901F6C557477}">
      <text>
        <r>
          <rPr>
            <sz val="9"/>
            <color indexed="81"/>
            <rFont val="Tahoma"/>
            <family val="2"/>
          </rPr>
          <t>Corresponde a:</t>
        </r>
        <r>
          <rPr>
            <b/>
            <sz val="9"/>
            <color indexed="81"/>
            <rFont val="Tahoma"/>
            <family val="2"/>
          </rPr>
          <t xml:space="preserve">
</t>
        </r>
        <r>
          <rPr>
            <sz val="9"/>
            <color indexed="81"/>
            <rFont val="Tahoma"/>
            <family val="2"/>
          </rPr>
          <t xml:space="preserve">Inversiones en Asociadas
Inversiones en Negocios Conjuntos
Inversiones en Subsidiarias
CDT 
Otras inversiones 
</t>
        </r>
      </text>
    </comment>
    <comment ref="D19" authorId="2" shapeId="0" xr:uid="{0A9DE6D7-1C89-4721-83F5-BCF7C662987C}">
      <text>
        <r>
          <rPr>
            <sz val="9"/>
            <color indexed="81"/>
            <rFont val="Tahoma"/>
            <family val="2"/>
          </rPr>
          <t>Corresponde a:</t>
        </r>
        <r>
          <rPr>
            <b/>
            <sz val="9"/>
            <color indexed="81"/>
            <rFont val="Tahoma"/>
            <family val="2"/>
          </rPr>
          <t xml:space="preserve">
</t>
        </r>
        <r>
          <rPr>
            <sz val="9"/>
            <color indexed="81"/>
            <rFont val="Tahoma"/>
            <family val="2"/>
          </rPr>
          <t xml:space="preserve">Inversiones en Asociadas
Inversiones en Negocios Conjuntos
Inversiones en Subsidiarias
CDT 
Otras inversiones 
</t>
        </r>
      </text>
    </comment>
    <comment ref="C20" authorId="0" shapeId="0" xr:uid="{19C60463-B83D-4FDE-A7B1-88E11E0AAF21}">
      <text>
        <r>
          <rPr>
            <b/>
            <sz val="9"/>
            <color indexed="81"/>
            <rFont val="Tahoma"/>
            <family val="2"/>
          </rPr>
          <t>Corresponde a:</t>
        </r>
        <r>
          <rPr>
            <sz val="9"/>
            <color indexed="81"/>
            <rFont val="Tahoma"/>
            <family val="2"/>
          </rPr>
          <t xml:space="preserve">
Clientes Nacionales
Cuentas por cobrar compañías vinculadas
Cuentas por cobrar empleados
Prestámos de garantía LP (Equity Swap)
Otros deudores 
</t>
        </r>
      </text>
    </comment>
    <comment ref="D20" authorId="0" shapeId="0" xr:uid="{1CD88015-4622-4FD6-872E-D49C20BB9160}">
      <text>
        <r>
          <rPr>
            <b/>
            <sz val="9"/>
            <color indexed="81"/>
            <rFont val="Tahoma"/>
            <family val="2"/>
          </rPr>
          <t>Corresponde a:</t>
        </r>
        <r>
          <rPr>
            <sz val="9"/>
            <color indexed="81"/>
            <rFont val="Tahoma"/>
            <family val="2"/>
          </rPr>
          <t xml:space="preserve">
Clientes Nacionales
Cuentas por cobrar compañías vinculadas
Cuentas por cobrar empleados
Prestámos de garantía LP (Equity Swap)
Otros deudores 
</t>
        </r>
      </text>
    </comment>
    <comment ref="C25" authorId="1" shapeId="0" xr:uid="{CF350084-89A5-403E-A5EB-C250BC38ADA2}">
      <text>
        <r>
          <rPr>
            <b/>
            <sz val="9"/>
            <color indexed="81"/>
            <rFont val="Tahoma"/>
            <family val="2"/>
          </rPr>
          <t>Juan Aristizabal:</t>
        </r>
        <r>
          <rPr>
            <sz val="9"/>
            <color indexed="81"/>
            <rFont val="Tahoma"/>
            <family val="2"/>
          </rPr>
          <t xml:space="preserve">
Propiedades de inversión lotes en bruto medidos a valor razonable y de los cuales se espera obtener rentas a través de su valorización o su venta.</t>
        </r>
      </text>
    </comment>
    <comment ref="D25" authorId="1" shapeId="0" xr:uid="{342C46FC-6457-4902-A9C0-F14DB753AF31}">
      <text>
        <r>
          <rPr>
            <b/>
            <sz val="9"/>
            <color indexed="81"/>
            <rFont val="Tahoma"/>
            <family val="2"/>
          </rPr>
          <t>Juan Aristizabal:</t>
        </r>
        <r>
          <rPr>
            <sz val="9"/>
            <color indexed="81"/>
            <rFont val="Tahoma"/>
            <family val="2"/>
          </rPr>
          <t xml:space="preserve">
Propiedades de inversión lotes en bruto medidos a valor razonable y de los cuales se espera obtener rentas a través de su valorización o su venta.</t>
        </r>
      </text>
    </comment>
    <comment ref="C37" authorId="0" shapeId="0" xr:uid="{9EBF7282-1F34-43AA-85B6-E83CEC726D78}">
      <text>
        <r>
          <rPr>
            <sz val="9"/>
            <color indexed="81"/>
            <rFont val="Tahoma"/>
            <family val="2"/>
          </rPr>
          <t>Obligaciones financieras mon ext</t>
        </r>
        <r>
          <rPr>
            <b/>
            <sz val="9"/>
            <color indexed="81"/>
            <rFont val="Tahoma"/>
            <family val="2"/>
          </rPr>
          <t xml:space="preserve">
</t>
        </r>
        <r>
          <rPr>
            <sz val="9"/>
            <color indexed="81"/>
            <rFont val="Tahoma"/>
            <family val="2"/>
          </rPr>
          <t xml:space="preserve">Interes moneda nacional </t>
        </r>
        <r>
          <rPr>
            <b/>
            <sz val="9"/>
            <color indexed="81"/>
            <rFont val="Tahoma"/>
            <family val="2"/>
          </rPr>
          <t xml:space="preserve">
</t>
        </r>
        <r>
          <rPr>
            <sz val="9"/>
            <color indexed="81"/>
            <rFont val="Tahoma"/>
            <family val="2"/>
          </rPr>
          <t>Interes moneda Exterior</t>
        </r>
        <r>
          <rPr>
            <b/>
            <sz val="9"/>
            <color indexed="81"/>
            <rFont val="Tahoma"/>
            <family val="2"/>
          </rPr>
          <t xml:space="preserve">
</t>
        </r>
      </text>
    </comment>
    <comment ref="D37" authorId="0" shapeId="0" xr:uid="{C2468966-6589-413B-9159-7C72AB05FBD9}">
      <text>
        <r>
          <rPr>
            <sz val="9"/>
            <color indexed="81"/>
            <rFont val="Tahoma"/>
            <family val="2"/>
          </rPr>
          <t>Obligaciones financieras mon ext</t>
        </r>
        <r>
          <rPr>
            <b/>
            <sz val="9"/>
            <color indexed="81"/>
            <rFont val="Tahoma"/>
            <family val="2"/>
          </rPr>
          <t xml:space="preserve">
</t>
        </r>
        <r>
          <rPr>
            <sz val="9"/>
            <color indexed="81"/>
            <rFont val="Tahoma"/>
            <family val="2"/>
          </rPr>
          <t xml:space="preserve">Interes moneda nacional </t>
        </r>
        <r>
          <rPr>
            <b/>
            <sz val="9"/>
            <color indexed="81"/>
            <rFont val="Tahoma"/>
            <family val="2"/>
          </rPr>
          <t xml:space="preserve">
</t>
        </r>
        <r>
          <rPr>
            <sz val="9"/>
            <color indexed="81"/>
            <rFont val="Tahoma"/>
            <family val="2"/>
          </rPr>
          <t>Interes moneda Exterior</t>
        </r>
        <r>
          <rPr>
            <b/>
            <sz val="9"/>
            <color indexed="81"/>
            <rFont val="Tahoma"/>
            <family val="2"/>
          </rPr>
          <t xml:space="preserve">
</t>
        </r>
      </text>
    </comment>
    <comment ref="C39" authorId="1" shapeId="0" xr:uid="{F5D5857F-5D7D-4526-8542-202344B2BD5B}">
      <text>
        <r>
          <rPr>
            <b/>
            <sz val="9"/>
            <color indexed="81"/>
            <rFont val="Tahoma"/>
            <family val="2"/>
          </rPr>
          <t>Juan Aristizabal:</t>
        </r>
        <r>
          <rPr>
            <sz val="9"/>
            <color indexed="81"/>
            <rFont val="Tahoma"/>
            <family val="2"/>
          </rPr>
          <t xml:space="preserve">
Bonos, intereses de bonos, instrumentos compuestos, dividendos de acciones preferenciales.</t>
        </r>
      </text>
    </comment>
    <comment ref="D39" authorId="1" shapeId="0" xr:uid="{7326E27A-DF5E-4E98-9037-07D69695121F}">
      <text>
        <r>
          <rPr>
            <b/>
            <sz val="9"/>
            <color indexed="81"/>
            <rFont val="Tahoma"/>
            <family val="2"/>
          </rPr>
          <t>Juan Aristizabal:</t>
        </r>
        <r>
          <rPr>
            <sz val="9"/>
            <color indexed="81"/>
            <rFont val="Tahoma"/>
            <family val="2"/>
          </rPr>
          <t xml:space="preserve">
Bonos, intereses de bonos, instrumentos compuestos, dividendos de acciones preferenciales.</t>
        </r>
      </text>
    </comment>
    <comment ref="C40" authorId="1" shapeId="0" xr:uid="{D8F89F75-931F-48FF-B3D5-702163F9CB08}">
      <text>
        <r>
          <rPr>
            <b/>
            <sz val="9"/>
            <color indexed="81"/>
            <rFont val="Tahoma"/>
            <family val="2"/>
          </rPr>
          <t>Juan Aristizabal:</t>
        </r>
        <r>
          <rPr>
            <sz val="9"/>
            <color indexed="81"/>
            <rFont val="Tahoma"/>
            <family val="2"/>
          </rPr>
          <t xml:space="preserve">
Dividendos por pagar</t>
        </r>
      </text>
    </comment>
    <comment ref="D40" authorId="1" shapeId="0" xr:uid="{AD13B626-C7A8-406E-B8DF-11DF694E00C0}">
      <text>
        <r>
          <rPr>
            <b/>
            <sz val="9"/>
            <color indexed="81"/>
            <rFont val="Tahoma"/>
            <family val="2"/>
          </rPr>
          <t>Juan Aristizabal:</t>
        </r>
        <r>
          <rPr>
            <sz val="9"/>
            <color indexed="81"/>
            <rFont val="Tahoma"/>
            <family val="2"/>
          </rPr>
          <t xml:space="preserve">
Dividendos por pagar</t>
        </r>
      </text>
    </comment>
    <comment ref="C42" authorId="1" shapeId="0" xr:uid="{1B41FB20-8048-4986-9F0A-01DE4503E84D}">
      <text>
        <r>
          <rPr>
            <b/>
            <sz val="9"/>
            <color indexed="81"/>
            <rFont val="Tahoma"/>
            <family val="2"/>
          </rPr>
          <t>Juan Aristizabal:</t>
        </r>
        <r>
          <rPr>
            <sz val="9"/>
            <color indexed="81"/>
            <rFont val="Tahoma"/>
            <family val="2"/>
          </rPr>
          <t xml:space="preserve">
Autorretenciones
Impuesto de renta y complementarios</t>
        </r>
      </text>
    </comment>
    <comment ref="D42" authorId="1" shapeId="0" xr:uid="{40373730-4282-44EE-B4D1-ABA8C6612B5F}">
      <text>
        <r>
          <rPr>
            <b/>
            <sz val="9"/>
            <color indexed="81"/>
            <rFont val="Tahoma"/>
            <family val="2"/>
          </rPr>
          <t>Juan Aristizabal:</t>
        </r>
        <r>
          <rPr>
            <sz val="9"/>
            <color indexed="81"/>
            <rFont val="Tahoma"/>
            <family val="2"/>
          </rPr>
          <t xml:space="preserve">
Autorretenciones
Impuesto de renta y complementarios</t>
        </r>
      </text>
    </comment>
    <comment ref="C43" authorId="3" shapeId="0" xr:uid="{D7ABF6E1-ECCA-482A-BA16-26514FB3883A}">
      <text>
        <r>
          <rPr>
            <b/>
            <sz val="9"/>
            <color indexed="81"/>
            <rFont val="Tahoma"/>
            <family val="2"/>
          </rPr>
          <t>Juan Esteban Aristizabal Restrepo:</t>
        </r>
        <r>
          <rPr>
            <sz val="9"/>
            <color indexed="81"/>
            <rFont val="Tahoma"/>
            <family val="2"/>
          </rPr>
          <t xml:space="preserve">
Beneficios definidos de corto plaza</t>
        </r>
      </text>
    </comment>
    <comment ref="C47" authorId="1" shapeId="0" xr:uid="{C6EF91BB-0C96-4E4F-A0BC-FC08DE2B0B09}">
      <text>
        <r>
          <rPr>
            <b/>
            <sz val="9"/>
            <color indexed="81"/>
            <rFont val="Tahoma"/>
            <family val="2"/>
          </rPr>
          <t>Juan Aristizabal:</t>
        </r>
        <r>
          <rPr>
            <sz val="9"/>
            <color indexed="81"/>
            <rFont val="Tahoma"/>
            <family val="2"/>
          </rPr>
          <t xml:space="preserve">
Impuesto predial lotes NDU e ingresos recibidos por anticipado</t>
        </r>
      </text>
    </comment>
    <comment ref="D47" authorId="1" shapeId="0" xr:uid="{AE3A7E47-3A03-4ADD-9CA3-59D0EF1826B3}">
      <text>
        <r>
          <rPr>
            <b/>
            <sz val="9"/>
            <color indexed="81"/>
            <rFont val="Tahoma"/>
            <family val="2"/>
          </rPr>
          <t>Juan Aristizabal:</t>
        </r>
        <r>
          <rPr>
            <sz val="9"/>
            <color indexed="81"/>
            <rFont val="Tahoma"/>
            <family val="2"/>
          </rPr>
          <t xml:space="preserve">
Impuesto predial lotes NDU e ingresos recibidos por anticipado</t>
        </r>
      </text>
    </comment>
    <comment ref="C52" authorId="4" shapeId="0" xr:uid="{961ADE88-53AD-4920-8E73-FA73770C330E}">
      <text>
        <r>
          <rPr>
            <b/>
            <sz val="9"/>
            <color indexed="81"/>
            <rFont val="Tahoma"/>
            <family val="2"/>
          </rPr>
          <t xml:space="preserve">Corresponde a:
</t>
        </r>
        <r>
          <rPr>
            <sz val="9"/>
            <color indexed="81"/>
            <rFont val="Tahoma"/>
            <family val="2"/>
          </rPr>
          <t xml:space="preserve">Obligaciones con bancos nacionales </t>
        </r>
        <r>
          <rPr>
            <b/>
            <sz val="9"/>
            <color indexed="81"/>
            <rFont val="Tahoma"/>
            <family val="2"/>
          </rPr>
          <t xml:space="preserve">
</t>
        </r>
      </text>
    </comment>
    <comment ref="D52" authorId="4" shapeId="0" xr:uid="{BA28D84A-E519-4A1A-ACAC-2814F1CF823C}">
      <text>
        <r>
          <rPr>
            <b/>
            <sz val="9"/>
            <color indexed="81"/>
            <rFont val="Tahoma"/>
            <family val="2"/>
          </rPr>
          <t xml:space="preserve">Corresponde a:
</t>
        </r>
        <r>
          <rPr>
            <sz val="9"/>
            <color indexed="81"/>
            <rFont val="Tahoma"/>
            <family val="2"/>
          </rPr>
          <t xml:space="preserve">Obligaciones con bancos nacionales </t>
        </r>
        <r>
          <rPr>
            <b/>
            <sz val="9"/>
            <color indexed="81"/>
            <rFont val="Tahoma"/>
            <family val="2"/>
          </rPr>
          <t xml:space="preserve">
</t>
        </r>
      </text>
    </comment>
    <comment ref="C54" authorId="1" shapeId="0" xr:uid="{15B9F8BC-07FE-478B-B928-50995A04A485}">
      <text>
        <r>
          <rPr>
            <b/>
            <sz val="9"/>
            <color indexed="81"/>
            <rFont val="Tahoma"/>
            <family val="2"/>
          </rPr>
          <t>Juan Aristizabal:</t>
        </r>
        <r>
          <rPr>
            <sz val="9"/>
            <color indexed="81"/>
            <rFont val="Tahoma"/>
            <family val="2"/>
          </rPr>
          <t xml:space="preserve">
Bonos, intereses de bonos, instrumentos compuestos, dividendos de acciones preferenciales.</t>
        </r>
      </text>
    </comment>
    <comment ref="D54" authorId="1" shapeId="0" xr:uid="{61A662BC-F6AD-4B28-9CD7-4EA1994EEDC7}">
      <text>
        <r>
          <rPr>
            <b/>
            <sz val="9"/>
            <color indexed="81"/>
            <rFont val="Tahoma"/>
            <family val="2"/>
          </rPr>
          <t>Juan Aristizabal:</t>
        </r>
        <r>
          <rPr>
            <sz val="9"/>
            <color indexed="81"/>
            <rFont val="Tahoma"/>
            <family val="2"/>
          </rPr>
          <t xml:space="preserve">
Bonos, intereses de bonos, instrumentos compuestos, dividendos de acciones preferenciales.</t>
        </r>
      </text>
    </comment>
    <comment ref="C55" authorId="1" shapeId="0" xr:uid="{E5F373F9-D9A1-4C77-984A-F46F4B6AC3AC}">
      <text>
        <r>
          <rPr>
            <b/>
            <sz val="9"/>
            <color indexed="81"/>
            <rFont val="Tahoma"/>
            <family val="2"/>
          </rPr>
          <t>Juan Aristizabal:</t>
        </r>
        <r>
          <rPr>
            <sz val="9"/>
            <color indexed="81"/>
            <rFont val="Tahoma"/>
            <family val="2"/>
          </rPr>
          <t xml:space="preserve">
Impuesto diferido pasivo, principalmente sobre diferencias temporarias que se revierten en el futuro vía uso o venta de activos.</t>
        </r>
      </text>
    </comment>
    <comment ref="D55" authorId="1" shapeId="0" xr:uid="{607AE952-9F98-44E8-BB7F-361CBC0BE061}">
      <text>
        <r>
          <rPr>
            <b/>
            <sz val="9"/>
            <color indexed="81"/>
            <rFont val="Tahoma"/>
            <family val="2"/>
          </rPr>
          <t>Juan Aristizabal:</t>
        </r>
        <r>
          <rPr>
            <sz val="9"/>
            <color indexed="81"/>
            <rFont val="Tahoma"/>
            <family val="2"/>
          </rPr>
          <t xml:space="preserve">
Impuesto diferido pasivo, principalmente sobre diferencias temporarias que se revierten en el futuro vía uso o venta de activos.</t>
        </r>
      </text>
    </comment>
    <comment ref="C59" authorId="0" shapeId="0" xr:uid="{38886FE6-C157-4A83-B4B1-6C329EB72DC8}">
      <text>
        <r>
          <rPr>
            <b/>
            <sz val="9"/>
            <color indexed="81"/>
            <rFont val="Tahoma"/>
            <family val="2"/>
          </rPr>
          <t>Luisa Fernanda Monsalve:</t>
        </r>
        <r>
          <rPr>
            <sz val="9"/>
            <color indexed="81"/>
            <rFont val="Tahoma"/>
            <family val="2"/>
          </rPr>
          <t xml:space="preserve">
Cálculo actuarial y reconocimiento del pasivo pensional.</t>
        </r>
      </text>
    </comment>
    <comment ref="D59" authorId="0" shapeId="0" xr:uid="{B366E85C-D5F4-41F6-A754-B0A6202818A4}">
      <text>
        <r>
          <rPr>
            <b/>
            <sz val="9"/>
            <color indexed="81"/>
            <rFont val="Tahoma"/>
            <family val="2"/>
          </rPr>
          <t>Luisa Fernanda Monsalve:</t>
        </r>
        <r>
          <rPr>
            <sz val="9"/>
            <color indexed="81"/>
            <rFont val="Tahoma"/>
            <family val="2"/>
          </rPr>
          <t xml:space="preserve">
Cálculo actuarial y reconocimiento del pasivo pensional.</t>
        </r>
      </text>
    </comment>
    <comment ref="C80" authorId="4" shapeId="0" xr:uid="{C076244C-B823-42C9-8AD7-E27AA89F658A}">
      <text>
        <r>
          <rPr>
            <sz val="9"/>
            <color indexed="81"/>
            <rFont val="Tahoma"/>
            <family val="2"/>
          </rPr>
          <t>Readquisición de acciones propias ordinarias y preferenciales</t>
        </r>
      </text>
    </comment>
    <comment ref="D80" authorId="4" shapeId="0" xr:uid="{942CB3F8-DE5E-4B3F-BDE3-679D3D4A9412}">
      <text>
        <r>
          <rPr>
            <sz val="9"/>
            <color indexed="81"/>
            <rFont val="Tahoma"/>
            <family val="2"/>
          </rPr>
          <t>Readquisición de acciones propias ordinarias y preferenciales</t>
        </r>
      </text>
    </comment>
    <comment ref="C81" authorId="1" shapeId="0" xr:uid="{3A91CB3B-7987-4871-B4E9-E49599D23FE8}">
      <text>
        <r>
          <rPr>
            <b/>
            <sz val="9"/>
            <color indexed="81"/>
            <rFont val="Tahoma"/>
            <family val="2"/>
          </rPr>
          <t>Otro Resultado Integral:</t>
        </r>
        <r>
          <rPr>
            <sz val="9"/>
            <color indexed="81"/>
            <rFont val="Tahoma"/>
            <family val="2"/>
          </rPr>
          <t xml:space="preserve">
MPP dif cam x conversión de negocios en el extranjero
Ganancias y pérdidas de inversiones patrimoniales
Otros componentes del ORI</t>
        </r>
      </text>
    </comment>
    <comment ref="D81" authorId="1" shapeId="0" xr:uid="{0A2EA846-5D32-4680-A419-9BE9CAE81F4B}">
      <text>
        <r>
          <rPr>
            <b/>
            <sz val="9"/>
            <color indexed="81"/>
            <rFont val="Tahoma"/>
            <family val="2"/>
          </rPr>
          <t>Otro Resultado Integral:</t>
        </r>
        <r>
          <rPr>
            <sz val="9"/>
            <color indexed="81"/>
            <rFont val="Tahoma"/>
            <family val="2"/>
          </rPr>
          <t xml:space="preserve">
MPP dif cam x conversión de negocios en el extranjero
Ganancias y pérdidas de inversiones patrimoniales
Otros componentes del ORI</t>
        </r>
      </text>
    </comment>
    <comment ref="C82" authorId="3" shapeId="0" xr:uid="{2DFA47B4-C626-46C5-9ECA-1A1EDF790F82}">
      <text>
        <r>
          <rPr>
            <sz val="9"/>
            <color indexed="81"/>
            <rFont val="Tahoma"/>
            <family val="2"/>
          </rPr>
          <t>Reserva legal
Reserva para futuras inversiones
Reservas para readquisición de acciones</t>
        </r>
      </text>
    </comment>
    <comment ref="C83" authorId="4" shapeId="0" xr:uid="{6239FA75-BAB1-4294-BF38-496E088BE5B6}">
      <text>
        <r>
          <rPr>
            <sz val="9"/>
            <color indexed="81"/>
            <rFont val="Tahoma"/>
            <family val="2"/>
          </rPr>
          <t>Corresponde al MPP sobre otras variaciones patrimoniales diferentes a ORI
-Dilución de participaciones no controladoras</t>
        </r>
      </text>
    </comment>
    <comment ref="D83" authorId="4" shapeId="0" xr:uid="{1C53D420-E9FE-4AEE-B1BA-4B881C8EF453}">
      <text>
        <r>
          <rPr>
            <sz val="9"/>
            <color indexed="81"/>
            <rFont val="Tahoma"/>
            <family val="2"/>
          </rPr>
          <t>Corresponde al MPP sobre otras variaciones patrimoniales diferentes a ORI
-Dilución de participaciones no controladoras</t>
        </r>
      </text>
    </comment>
    <comment ref="C84" authorId="1" shapeId="0" xr:uid="{AFE0AAC2-C8CE-4618-B440-1FB85E45C3E2}">
      <text>
        <r>
          <rPr>
            <b/>
            <sz val="9"/>
            <color indexed="81"/>
            <rFont val="Tahoma"/>
            <family val="2"/>
          </rPr>
          <t>Juan Aristizabal:</t>
        </r>
        <r>
          <rPr>
            <sz val="9"/>
            <color indexed="81"/>
            <rFont val="Tahoma"/>
            <family val="2"/>
          </rPr>
          <t xml:space="preserve">
Traslado de utildiad del ejercicio 2023 y realización de ORI a ganancias acumuladas por intercambio de Nutresa.</t>
        </r>
      </text>
    </comment>
    <comment ref="D84" authorId="1" shapeId="0" xr:uid="{566BC8F9-B656-4DE2-930C-1EE356248DC9}">
      <text>
        <r>
          <rPr>
            <b/>
            <sz val="9"/>
            <color indexed="81"/>
            <rFont val="Tahoma"/>
            <family val="2"/>
          </rPr>
          <t>Juan Aristizabal:</t>
        </r>
        <r>
          <rPr>
            <sz val="9"/>
            <color indexed="81"/>
            <rFont val="Tahoma"/>
            <family val="2"/>
          </rPr>
          <t xml:space="preserve">
Traslado de utildiad del ejercicio 2023 y realización de ORI a ganancias acumuladas por intercambio de Nutresa.</t>
        </r>
      </text>
    </comment>
  </commentList>
</comments>
</file>

<file path=xl/sharedStrings.xml><?xml version="1.0" encoding="utf-8"?>
<sst xmlns="http://schemas.openxmlformats.org/spreadsheetml/2006/main" count="651" uniqueCount="375">
  <si>
    <t>GRUPO ARGOS S.A.</t>
  </si>
  <si>
    <t>ESTADO DESITUACION FINANCIERA CONSOLIDADO</t>
  </si>
  <si>
    <t>En millones de pesos colombianos o de dólares americanos</t>
  </si>
  <si>
    <t>2014</t>
  </si>
  <si>
    <t>2015</t>
  </si>
  <si>
    <t>2016</t>
  </si>
  <si>
    <t>2017</t>
  </si>
  <si>
    <t>2018</t>
  </si>
  <si>
    <t>2019</t>
  </si>
  <si>
    <t>2021</t>
  </si>
  <si>
    <t>dic.15
(Reexpresado)</t>
  </si>
  <si>
    <t>mar.16
(Reexpresado)</t>
  </si>
  <si>
    <t>jun.16
(Reexpresado)</t>
  </si>
  <si>
    <t>sep.16
(Reexpresado)</t>
  </si>
  <si>
    <t>dic-18 (1)</t>
  </si>
  <si>
    <t>Efectivo y equivalentes de efectivo</t>
  </si>
  <si>
    <t xml:space="preserve">Instrumentos financieros derivados </t>
  </si>
  <si>
    <t>Otros activos financieros</t>
  </si>
  <si>
    <t>Cuentas comerciales clientes y otras cuentas por cobrar, neto</t>
  </si>
  <si>
    <t>Inventarios</t>
  </si>
  <si>
    <t>Activos biológicos</t>
  </si>
  <si>
    <t>Gastos pagados por anticipado y otros activos no financieros</t>
  </si>
  <si>
    <t xml:space="preserve">Act.no corrientes mant. para la vta. </t>
  </si>
  <si>
    <t>Total activo corriente</t>
  </si>
  <si>
    <t>Inversiones permanentes</t>
  </si>
  <si>
    <t>Activos por derecho de uso propiedades, plantas y equipo</t>
  </si>
  <si>
    <t>Intangibles, neto</t>
  </si>
  <si>
    <t>PP&amp;E, neto</t>
  </si>
  <si>
    <t>Activos por derecho de uso propiedades de inversión</t>
  </si>
  <si>
    <t>Propiedades de inversión</t>
  </si>
  <si>
    <t>Impuesto diferido</t>
  </si>
  <si>
    <t>Instrumentos financieros derivados</t>
  </si>
  <si>
    <t>Efectivo restringido</t>
  </si>
  <si>
    <t>Total activo no corriente</t>
  </si>
  <si>
    <t>Total activo</t>
  </si>
  <si>
    <t>US$ dólares</t>
  </si>
  <si>
    <t>Obligaciones financieras</t>
  </si>
  <si>
    <t>Pasivos por arrendamientos</t>
  </si>
  <si>
    <t>Bonos y otros instrumentos financieros</t>
  </si>
  <si>
    <t>Pasivos comerciales y otras CxP</t>
  </si>
  <si>
    <t>Provisiones</t>
  </si>
  <si>
    <t>Pasivos por impuestos</t>
  </si>
  <si>
    <t>Pasivos por beneficios a empleados</t>
  </si>
  <si>
    <t>Pasivos estimados por beneficios a empleados</t>
  </si>
  <si>
    <t>Ingresos recibidos por anticipado</t>
  </si>
  <si>
    <t xml:space="preserve">Otros pasivos financieros </t>
  </si>
  <si>
    <t xml:space="preserve">Otros pasivos no financieros </t>
  </si>
  <si>
    <t>Pasivos asociados con activos mant. p. venta</t>
  </si>
  <si>
    <t>Total pasivo corriente</t>
  </si>
  <si>
    <t>Impuestos diferidos</t>
  </si>
  <si>
    <t>Otras cuentas por pagar</t>
  </si>
  <si>
    <t>Otros pasivos no financieros</t>
  </si>
  <si>
    <t>Total pasivo no corriente</t>
  </si>
  <si>
    <t>Total pasivo</t>
  </si>
  <si>
    <t>Patrimonio</t>
  </si>
  <si>
    <t>Total pasivo + patrimonio</t>
  </si>
  <si>
    <t>Capital social</t>
  </si>
  <si>
    <t>Prima en colocación de acciones</t>
  </si>
  <si>
    <t>Componentes de otros resultado integral</t>
  </si>
  <si>
    <t>Reservas</t>
  </si>
  <si>
    <t>Otros componentes del patrimono</t>
  </si>
  <si>
    <t>Utilidad (pérdida) retenidas</t>
  </si>
  <si>
    <t>Control</t>
  </si>
  <si>
    <t>Utilidad (pérdida) del ejercicio</t>
  </si>
  <si>
    <t>Patrimonio atribuible a los controladores</t>
  </si>
  <si>
    <t>Participaciones no controladoras</t>
  </si>
  <si>
    <t>Tasas</t>
  </si>
  <si>
    <t xml:space="preserve">En el Estado de Situación Financiera Consolidado a dic.18 se reclasificó de otros pasivos no financieros a pasivos financieros, en la línea de pasivos comerciales y otras cuentas por pagar, un valor de $101.788 correspondiente a importes por pagar a la Agencia Nacional de Infraestructura - ANI por recaudos realizados por la subsidiaria Sociedad Concesionaria Operadora Aeroportuaria Internacional S.A. – Opain S.A. </t>
  </si>
  <si>
    <t xml:space="preserve">Hace referencia a la compensación de activos y pasivos por impuesto </t>
  </si>
  <si>
    <t>diferido por $39.440.</t>
  </si>
  <si>
    <t>ESTADO DE RESULTADOS CONSOLIDADO</t>
  </si>
  <si>
    <t>2020</t>
  </si>
  <si>
    <t>Mar. 14
NIIF</t>
  </si>
  <si>
    <t>Jun. 14
NIIF</t>
  </si>
  <si>
    <t>Sep. 14
NIIF</t>
  </si>
  <si>
    <t>Dic. 14
NIIF</t>
  </si>
  <si>
    <t>Mar. 15
NIIF</t>
  </si>
  <si>
    <t>Jun. 15
NIIF</t>
  </si>
  <si>
    <t>Sep. 15
NIIF</t>
  </si>
  <si>
    <t>Dic. 15
NIIF</t>
  </si>
  <si>
    <t>Dic. 15 reex
NIIF</t>
  </si>
  <si>
    <t>Mar. 16
NIIF</t>
  </si>
  <si>
    <t>Mar. 16 reex
NIIF</t>
  </si>
  <si>
    <t>Jun. 16
NIIF</t>
  </si>
  <si>
    <t xml:space="preserve">Jun. 16 reex 
NIIF </t>
  </si>
  <si>
    <t>Sep. 16
NIIF</t>
  </si>
  <si>
    <t xml:space="preserve">Sep. 16 reex 
NIIF </t>
  </si>
  <si>
    <t>Dic. 16
NIIF</t>
  </si>
  <si>
    <t xml:space="preserve">Dic. 16 reex
NIIF </t>
  </si>
  <si>
    <t>Mar. 17
NIIF</t>
  </si>
  <si>
    <t>Mar. 17
NIIF (1)</t>
  </si>
  <si>
    <t>Jun. 17
NIIF</t>
  </si>
  <si>
    <t>Jun. 17
NIIF (1)</t>
  </si>
  <si>
    <t>Sep. 17
NIIF</t>
  </si>
  <si>
    <t>Sep. 17
NIIF (1)</t>
  </si>
  <si>
    <t>Dic. 17
NIIF</t>
  </si>
  <si>
    <t>Dic. 17
NIIF (1)</t>
  </si>
  <si>
    <t>Mar. 18
NIIF</t>
  </si>
  <si>
    <t>Mar. 18
NIIF (1)</t>
  </si>
  <si>
    <t>Jun. 18
NIIF</t>
  </si>
  <si>
    <t>Jun. 18
NIIF (1)</t>
  </si>
  <si>
    <t>Sep. 18
NIIF</t>
  </si>
  <si>
    <t>Sep. 18
NIIF (1)</t>
  </si>
  <si>
    <t>Dic. 18
NIIF</t>
  </si>
  <si>
    <t>Dic. 18
NIIF (1)</t>
  </si>
  <si>
    <t>Mar. 19
NIIF</t>
  </si>
  <si>
    <t>Mar. 19
NIIF (1)</t>
  </si>
  <si>
    <t xml:space="preserve">Jun. 19
NIIF </t>
  </si>
  <si>
    <t>Jun. 19
NIIF (1)</t>
  </si>
  <si>
    <t xml:space="preserve">Sep. 19
NIIF </t>
  </si>
  <si>
    <t xml:space="preserve">Dic. 19
NIIF </t>
  </si>
  <si>
    <t>Mar. 20
NIIF (1)</t>
  </si>
  <si>
    <t>Jun. 20
NIIF (1)</t>
  </si>
  <si>
    <t>Sep. 20
NIIF (1)</t>
  </si>
  <si>
    <t>Dic. 20
NIIF (1)</t>
  </si>
  <si>
    <t>Mar. 21
NIIF (1)</t>
  </si>
  <si>
    <t>Jun. 21
NIIF (1)</t>
  </si>
  <si>
    <t>Sep. 21
NIIF (1)</t>
  </si>
  <si>
    <t>Dic. 21
NIIF (1)</t>
  </si>
  <si>
    <t>Mar. 22
NIIF (1)</t>
  </si>
  <si>
    <t>Jun. 22
NIIF (1)</t>
  </si>
  <si>
    <t>Sep. 22
NIIF (1)</t>
  </si>
  <si>
    <t>Ingresos por ventas de bienes y servicios</t>
  </si>
  <si>
    <t>Ingresos de actividad financiera</t>
  </si>
  <si>
    <t>Ingresos negocio inmobiliario</t>
  </si>
  <si>
    <t>Participación neta en resultados de asociadas y negocios conjuntos</t>
  </si>
  <si>
    <t>Devoluciones y descuentos en ventas</t>
  </si>
  <si>
    <t>Costo de actividades ordinarias</t>
  </si>
  <si>
    <t>Costo de ventas de bienes y servicios</t>
  </si>
  <si>
    <t>Depreciación y amortización</t>
  </si>
  <si>
    <t>Costo de actividad financiera</t>
  </si>
  <si>
    <t>Costo de ventas negocio inmobiliario</t>
  </si>
  <si>
    <t>Utilidad bruta</t>
  </si>
  <si>
    <t>Margen bruto</t>
  </si>
  <si>
    <t>Gastos de estructura</t>
  </si>
  <si>
    <t>Administración</t>
  </si>
  <si>
    <t>Depreciación y amortización de administración</t>
  </si>
  <si>
    <t>Ventas</t>
  </si>
  <si>
    <t>Depreciación y amortización de ventas</t>
  </si>
  <si>
    <t>Otros ingresos y egresos</t>
  </si>
  <si>
    <t>Otros ingresos</t>
  </si>
  <si>
    <t>Otros egresos</t>
  </si>
  <si>
    <t>Impuesto a la riqueza</t>
  </si>
  <si>
    <t>Utilidad por actividades de operación</t>
  </si>
  <si>
    <t>Margen por actividades de operación</t>
  </si>
  <si>
    <t>EBITDA</t>
  </si>
  <si>
    <t>Margen EBITDA</t>
  </si>
  <si>
    <t>Ingresos y egresos otros</t>
  </si>
  <si>
    <t>Financieros, neto</t>
  </si>
  <si>
    <t>Diferencia en cambio, neto</t>
  </si>
  <si>
    <t>Utilidad antes de impuestos</t>
  </si>
  <si>
    <t>Impuestos de renta</t>
  </si>
  <si>
    <t>Utilidad de operaciones continuas</t>
  </si>
  <si>
    <t>Utilidad neta</t>
  </si>
  <si>
    <t>Margen neto</t>
  </si>
  <si>
    <t>Utilidad (pérdida) atribuible a:</t>
  </si>
  <si>
    <t>Participación controladora</t>
  </si>
  <si>
    <t>Margen</t>
  </si>
  <si>
    <t>M.P.P de asociadas en Consolidado</t>
  </si>
  <si>
    <t>Anexo Financieros:</t>
  </si>
  <si>
    <t>Argos</t>
  </si>
  <si>
    <t>Gasto Intereses</t>
  </si>
  <si>
    <t>Celsia</t>
  </si>
  <si>
    <t>Grupo Argos</t>
  </si>
  <si>
    <t>Total gasto  por intereses</t>
  </si>
  <si>
    <t>Grupo</t>
  </si>
  <si>
    <t>Valoracion I. F.</t>
  </si>
  <si>
    <t>Total por valoraciones de inst. fcieros</t>
  </si>
  <si>
    <t>Anexo Financieros Grupo Argos Consolidado:</t>
  </si>
  <si>
    <t>REAL</t>
  </si>
  <si>
    <t>Gastos por intereses</t>
  </si>
  <si>
    <t>Ingresos por intereses</t>
  </si>
  <si>
    <t>Efecto neto por intereses</t>
  </si>
  <si>
    <t>Pérdida por valoraciones de inst. fcieros</t>
  </si>
  <si>
    <t>Otros gastos financieros, neto</t>
  </si>
  <si>
    <t>Efecto neto en financieros</t>
  </si>
  <si>
    <t>(1) El informe trimestral de 2017 y re-expresando la información comparativa, se reclasifican desde otros gastos operacionales a gasto por impuesto de renta los impuestos no recuperables por retención en la fuente que deben asumir algunas de nuestras operaciones en Islas Virgines Británicas.  El Grupo considera que este cambio en presentación permite reflejar más fiablemente los resultados provenientes de la operación.</t>
  </si>
  <si>
    <t xml:space="preserve">(1) Grupo ha cambiado en el Estado de Resultados Consolidado Condensado comparativo, la clasificación de los impuestos no recuperables por retención en la fuente, que deben asumir algunas de las operaciones en Islas Vírgenes Británicas desde otros egresos operacionales a gasto por impuesto a las ganancias. Asimismo, fue reclasificado del gasto de administración al costo, la contraprestación pagada a la Aerocivil como consecuencia del contrato de concesión del Aeropuerto Internacional el Dorado y la comisión por tasas aeroportuarias, de la subsidiaria Sociedad Concesionaria Operadora Aeroportuaria Internacional S.A. – Opain S.A. Grupo considera que este cambio en presentación permite reflejar más fiablemente los resultados provenientes de la operación. </t>
  </si>
  <si>
    <r>
      <t xml:space="preserve">(1) Grupo ha cambiado en el Estado de Resultados Consolidado comparativo, </t>
    </r>
    <r>
      <rPr>
        <sz val="10"/>
        <color rgb="FF000000"/>
        <rFont val="Franklin Gothic Book"/>
        <family val="2"/>
      </rPr>
      <t xml:space="preserve">del gasto de administración al costo, la contraprestación pagada a la Aerocivil como consecuencia del contrato de concesión del Aeropuerto Internacional el Dorado, la comisión por tasas aeroportuarias y la amortización del intangible asociado a dicha concesión, de la subsidiaria Sociedad Concesionaria Operadora Aeroportuaria Internacional S.A. – Opain S.A. </t>
    </r>
    <r>
      <rPr>
        <sz val="10"/>
        <rFont val="Franklin Gothic Book"/>
        <family val="2"/>
      </rPr>
      <t xml:space="preserve">Grupo considera que este cambio en presentación permite reflejar más fiablemente los resultados provenientes de la operación. </t>
    </r>
  </si>
  <si>
    <t>En junio se reclasifican ingreso y costo por venta de Omya por $62.681 y $44.158 respectivamente</t>
  </si>
  <si>
    <t xml:space="preserve">Grupo ha cambiado en el Estado de Resultados Consolidado comparativo, del gasto por diferencia en cambio a los ingresos de actividades ordinarias, el efecto de la reclasificación del patrimonio al resultado del periodo de las coberturas de flujo de efectivo de transacciones previstas de la subsidiaria Sociedad Concesionaria Operadora Aeroportuaria Internacional S.A. – Opain S.A. por $19.337. </t>
  </si>
  <si>
    <t>ESTADO DE SITUACION FINANCIERA</t>
  </si>
  <si>
    <t>2022</t>
  </si>
  <si>
    <t>Dic.2015
(Reexpresado)</t>
  </si>
  <si>
    <t>Sep. 16 
(Reexpresado)</t>
  </si>
  <si>
    <t>dic-2016 Proforma</t>
  </si>
  <si>
    <t>Otros Activos Financieros</t>
  </si>
  <si>
    <t>-</t>
  </si>
  <si>
    <t xml:space="preserve">                                                                                              </t>
  </si>
  <si>
    <t>Bonos y otros instrumentos fcieros.</t>
  </si>
  <si>
    <t>Otros pasivos financieros</t>
  </si>
  <si>
    <t>Pasivos por arrendamiento</t>
  </si>
  <si>
    <t>ESTADO DE RESULTADOS SEPARADO</t>
  </si>
  <si>
    <t>En millones de pesos colombianos</t>
  </si>
  <si>
    <t>Jun. 16 reex
NIIF</t>
  </si>
  <si>
    <t>Sep. 16 reex
NIIF</t>
  </si>
  <si>
    <t>Dic. 16
NIIF Proforma</t>
  </si>
  <si>
    <t>Mar. 17
NIIF Proforma</t>
  </si>
  <si>
    <t>Jun. 17
NIIF Proform</t>
  </si>
  <si>
    <t>Sep. 17
NIIF Proform</t>
  </si>
  <si>
    <t>Jun. 19
NIIF</t>
  </si>
  <si>
    <t>Sep. 19
NIIF</t>
  </si>
  <si>
    <t>Dic. 19
NIIF</t>
  </si>
  <si>
    <t>Mar. 20
NIIF</t>
  </si>
  <si>
    <t>Jun. 20
NIIF</t>
  </si>
  <si>
    <t>Sep. 20
NIIF</t>
  </si>
  <si>
    <t>Dic. 20
NIIF</t>
  </si>
  <si>
    <t>Mar. 21
NIIF</t>
  </si>
  <si>
    <t>Jun. 21
NIIF</t>
  </si>
  <si>
    <t>Sep. 21
NIIF</t>
  </si>
  <si>
    <t>Dic. 21
NIIF</t>
  </si>
  <si>
    <t>Mar. 22
NIIF</t>
  </si>
  <si>
    <t>Jun. 22
NIIF</t>
  </si>
  <si>
    <t>Sep. 22
NIIF</t>
  </si>
  <si>
    <t>Resultado, neto por método de participación</t>
  </si>
  <si>
    <t>Costo del negocio inmobiliario</t>
  </si>
  <si>
    <t>Depreciación y amortización administración</t>
  </si>
  <si>
    <t>Depreciación y amortizaciones ventas</t>
  </si>
  <si>
    <t>Ingresos y egresos no operacionales</t>
  </si>
  <si>
    <t>Ingresos por dividendos</t>
  </si>
  <si>
    <t>Participación neta en resultados de asociadas</t>
  </si>
  <si>
    <t>Utilidad (pérdida) neta</t>
  </si>
  <si>
    <t>OTRO RESULTADO INTEGRAL</t>
  </si>
  <si>
    <t xml:space="preserve">En millones de pesos colombianos </t>
  </si>
  <si>
    <t>Feb. 15
NIIF</t>
  </si>
  <si>
    <t>Feb. 14
NIIF</t>
  </si>
  <si>
    <t>Partidas que no se reclasificarán a resultados</t>
  </si>
  <si>
    <t>Nuevas mediciones de obligaciones por beneficios definidos</t>
  </si>
  <si>
    <t>Ganancias y pérdidas de inversiones patrimoniales</t>
  </si>
  <si>
    <t xml:space="preserve">Resultado integral total </t>
  </si>
  <si>
    <t>% Activo</t>
  </si>
  <si>
    <t>Var. (%)</t>
  </si>
  <si>
    <t>Check</t>
  </si>
  <si>
    <t>Acciones propias readquiridas</t>
  </si>
  <si>
    <t>Ingresos por actividades ordinarias</t>
  </si>
  <si>
    <t>N.A.</t>
  </si>
  <si>
    <t>Inventarios, neto</t>
  </si>
  <si>
    <t xml:space="preserve">Activos no corrientes mantenidos para la venta. </t>
  </si>
  <si>
    <t>Otros activos</t>
  </si>
  <si>
    <t>Otros activos no financieros</t>
  </si>
  <si>
    <t>Pasivos comerciales y otras cuentas por pagar</t>
  </si>
  <si>
    <t>Otros pasivos</t>
  </si>
  <si>
    <t>TRM</t>
  </si>
  <si>
    <t>Ingresos de actividades ordinarias</t>
  </si>
  <si>
    <t>FLUJOS DE EFECTIVO POR ACTIVIDADES DE OPERACIÓN</t>
  </si>
  <si>
    <t>UTILIDAD NETA</t>
  </si>
  <si>
    <t>Ajustes por:</t>
  </si>
  <si>
    <t>Ingresos por dividendos y participaciones</t>
  </si>
  <si>
    <t>Gasto financiero, neto reconocido en resultados del periodo</t>
  </si>
  <si>
    <t>Gastos reconocidos con respecto a beneficios a empleados y provisiones</t>
  </si>
  <si>
    <t>Deterioro, neto de activos financieros</t>
  </si>
  <si>
    <t>Deterioro, neto de activos no corrientes e inventario</t>
  </si>
  <si>
    <t>Depreciación y amortización de activos no corrientes</t>
  </si>
  <si>
    <t>Otros ajustes para conciliar los resultados del año</t>
  </si>
  <si>
    <t>CAMBIOS EN EL CAPITAL DE TRABAJO DE:</t>
  </si>
  <si>
    <t>EFECTIVO GENERADO POR LAS OPERACIONES</t>
  </si>
  <si>
    <t>Impuesto a la renta pagado</t>
  </si>
  <si>
    <t xml:space="preserve">Dividendos y participaciones recibidas </t>
  </si>
  <si>
    <t>FLUJO NETO DE EFECTIVO GENERADO POR ACTIVIDADES DE OPERACIÓN</t>
  </si>
  <si>
    <t>FLUJOS DE EFECTIVO POR ACTIVIDADES DE INVERSIÓN</t>
  </si>
  <si>
    <t>Intereses financieros recibidos</t>
  </si>
  <si>
    <t>Adquisición de propiedades, planta y equipo</t>
  </si>
  <si>
    <t>Producto de la venta de propiedades, planta y equipo</t>
  </si>
  <si>
    <t>Adquisición de propiedades de inversión</t>
  </si>
  <si>
    <t>Adquisición de activos intangibles</t>
  </si>
  <si>
    <t>Producto de la venta de activos intangibles</t>
  </si>
  <si>
    <t>Adquisición de otros activos no corrientes</t>
  </si>
  <si>
    <t>Producto de la venta de otros activos no corrientes</t>
  </si>
  <si>
    <t>Venta de negocios con pérdida del control</t>
  </si>
  <si>
    <t>Adquisición de activos financieros</t>
  </si>
  <si>
    <t>Producto de la venta de activos financieros</t>
  </si>
  <si>
    <t>FLUJOS DE EFECTIVO POR ACTIVIDADES DE FINANCIACIÓN</t>
  </si>
  <si>
    <t>Pago de bonos, notas estructuradas y papeles comerciales</t>
  </si>
  <si>
    <t>Adquisición de otros instrumentos de financiación</t>
  </si>
  <si>
    <t>Pagos de otros instrumentos de financiación</t>
  </si>
  <si>
    <t>Pagos por pasivos por arrendamientos</t>
  </si>
  <si>
    <t>Compra de participaciones en la propiedad de subsidiarias que no dan lugar a obtención de control</t>
  </si>
  <si>
    <t>Pagos realizados a contratos de derivados financieros</t>
  </si>
  <si>
    <t>Cobros procedentes de contratos de derivados financieros</t>
  </si>
  <si>
    <t>Capitalización de las participaciones no controladoras</t>
  </si>
  <si>
    <t>Dividendos pagados acciones ordinarias</t>
  </si>
  <si>
    <t>Dividendos pagados acciones preferenciales</t>
  </si>
  <si>
    <t>Intereses pagados</t>
  </si>
  <si>
    <t>Otras salidas de efectivo</t>
  </si>
  <si>
    <t xml:space="preserve">Ajustes por: </t>
  </si>
  <si>
    <t xml:space="preserve">Ingresos por dividendos y participaciones </t>
  </si>
  <si>
    <t xml:space="preserve">Deterioro, neto de activos financieros </t>
  </si>
  <si>
    <t>Otros ajustes</t>
  </si>
  <si>
    <t>Cuentas comerciales y otras cuentas por cobrar</t>
  </si>
  <si>
    <t>Cuentas comerciales y otras cuentas por pagar</t>
  </si>
  <si>
    <t>FLUJO DE EFECTIVO NETO GENERADO POR ACTIVIDADES DE OPERACIÓN</t>
  </si>
  <si>
    <t>Producto de la venta de participaciones en subsidiaria</t>
  </si>
  <si>
    <t>Cobros procedentes del reembolso préstamos concedidos a terceros</t>
  </si>
  <si>
    <t>Restitución de aportes</t>
  </si>
  <si>
    <t>Efectivo y equivalentes de efectivo al principio del período</t>
  </si>
  <si>
    <t>Efectos de la variación en la tasa de cambio sobre el efectivo y equivalentes de efectivo mantenidos en moneda extranjera</t>
  </si>
  <si>
    <t>Dic. 22
NIIF (1)</t>
  </si>
  <si>
    <t>Dic. 22
NIIF</t>
  </si>
  <si>
    <t xml:space="preserve">Impuesto sobre las ganancias </t>
  </si>
  <si>
    <t xml:space="preserve">Provisiones </t>
  </si>
  <si>
    <t>Anticipos recibidos para transacciones de activos no corrientes</t>
  </si>
  <si>
    <t>Efectivo y equivalentes de efectivo al principio del periodo, incluidos los importes presentados en un grupo de activos mantenidos para la venta</t>
  </si>
  <si>
    <t>EFECTIVO Y EQUIVALENTES DE EFECTIVO AL FINAL DEL PERÍODO, INCLUIDOS LOS IMPORTES PRESENTADOS EN UN GRUPO DE ACTIVOS MANTENIDOS PARA LA VENTA</t>
  </si>
  <si>
    <t>Menos efectivo y equivalentes de efectivo incluidos en un grupo de activos mantenidos para la venta</t>
  </si>
  <si>
    <t>EFECTIVO Y EQUIVALENTES DE EFECTIVO AL FINAL DEL PERÍODO SIN EL EFECTIVO Y EQUIVALENTES DE EFECTIVO INCLUIDOS EN UN GRUPO DE ACTIVOS MANTENIDOS PARA LA VENTA</t>
  </si>
  <si>
    <t>2023</t>
  </si>
  <si>
    <t>Cruce Utilidad del ejercicio</t>
  </si>
  <si>
    <t xml:space="preserve">Grupo Argos S.A. </t>
  </si>
  <si>
    <t>Readquisición de acciones ordinarias</t>
  </si>
  <si>
    <t>Readquisición de acciones preferenciales</t>
  </si>
  <si>
    <t>Gasto por impuesto sobre las ganancias reconocido en resultados del periodo</t>
  </si>
  <si>
    <t>Diferencia en cambio, neta reconocida en resultados sobre instrumentos financieros</t>
  </si>
  <si>
    <t>Readquisición de acciones</t>
  </si>
  <si>
    <t>Estado de flujos de efectivo separado condensado</t>
  </si>
  <si>
    <t>Método de participación neta en resultados de subsidiarias</t>
  </si>
  <si>
    <t xml:space="preserve">Diferencia en cambio, neta reconocida en resultados sobre instrumentos financieros </t>
  </si>
  <si>
    <t>Dividendos recibidos e ingresos por otras participaciones</t>
  </si>
  <si>
    <t>Adquisición de propiedades planta y equipo</t>
  </si>
  <si>
    <t>FLUJO NETO DE EFECTIVO UTILIZADO EN ACTIVIDADES DE FINANCIACIÓN</t>
  </si>
  <si>
    <t>Intangibles, neto y crédito mercantil</t>
  </si>
  <si>
    <t>Dic. 23</t>
  </si>
  <si>
    <t>Utilidad por venta de activos no corrientes</t>
  </si>
  <si>
    <t>2024</t>
  </si>
  <si>
    <t>Mar. 23</t>
  </si>
  <si>
    <t>Jun. 23</t>
  </si>
  <si>
    <t>Sep. 23</t>
  </si>
  <si>
    <t>Mar. 23 (*)</t>
  </si>
  <si>
    <t>Jun. 23 (*)</t>
  </si>
  <si>
    <t>Utilidad reconocida con respecto a beneficios a empleados y provisiones</t>
  </si>
  <si>
    <t>Cobros realizados a contratos de derivados financieros</t>
  </si>
  <si>
    <t>Sep. 23 (*)</t>
  </si>
  <si>
    <t>Dic. 23 (*)</t>
  </si>
  <si>
    <t>Dic. 24</t>
  </si>
  <si>
    <t xml:space="preserve">Estado de flujos de efectivo separado </t>
  </si>
  <si>
    <t>Nota</t>
  </si>
  <si>
    <t>RESULTADO DEL EJERCICIO</t>
  </si>
  <si>
    <t>Pérdida (Utilidad) por medición al valor razonable</t>
  </si>
  <si>
    <t>EFECTIVO UTILIZADO POR ACTIVIDADES DE OPERACIÓN</t>
  </si>
  <si>
    <t>Impuesto a la renta recibido (pagado)</t>
  </si>
  <si>
    <t xml:space="preserve">Producto de la venta de propiedades, planta y equipo </t>
  </si>
  <si>
    <t xml:space="preserve">Adquisición de propiedades de inversión </t>
  </si>
  <si>
    <t xml:space="preserve">Producto de la venta de propiedades de inversión </t>
  </si>
  <si>
    <t xml:space="preserve">Producto de la venta de participaciones en asociadas y negocios conjuntos </t>
  </si>
  <si>
    <t>FLUJO NETO DE EFECTIVO GENERADO POR ACTIVIDADES DE INVERSIÓN</t>
  </si>
  <si>
    <t>Pago de bonos y papeles comerciales</t>
  </si>
  <si>
    <t>7.7</t>
  </si>
  <si>
    <t>FLUJO DE EFECTIVO NETO UTILIZADO EN ACTIVIDADES DE FINANCIACIÓN</t>
  </si>
  <si>
    <t>(DISMINUCIÓN) AUMENTO NETO EN EFECTIVO Y EQUIVALENTES DE EFECTIVO</t>
  </si>
  <si>
    <t>EFECTIVO Y EQUIVALENTES DE EFECTIVO AL FINAL DEL EJERCICIO</t>
  </si>
  <si>
    <t>Las notas que se acompañan son parte integrante de los Estados Financieros Separados.</t>
  </si>
  <si>
    <t>Préstamos recaudados (concedidos) a terceros</t>
  </si>
  <si>
    <t>2025</t>
  </si>
  <si>
    <t>Mar. 24 (*)</t>
  </si>
  <si>
    <t>Mar. 24</t>
  </si>
  <si>
    <t>Jun. 24</t>
  </si>
  <si>
    <t>Sep. 24</t>
  </si>
  <si>
    <t xml:space="preserve">Mar. 25
</t>
  </si>
  <si>
    <t>(*) Grupo realizó cambios en la presentación de partidas en el estado de resultados consolidado condensado comparativo al 31 de marzo de 2024, reclasificando todas las partidas asociadas a la participación mantenida en Summit Materials, Inc. y Grupo de Inversiones Suramericana S.A. a una única línea de utilidad neta de operaciones discontinuadas</t>
  </si>
  <si>
    <t>(*) La Compañía realizó cambios en la presentación de partidas en el estado de resultados separado condensado comparativo a 31 de marzo de 2024, reclasificando todas las partidas asociadas a la inversión en la asociada Grupo de Inversiones Suramericana S.A. a una única línea de utilidad neta de operaciones discontinuadas.</t>
  </si>
  <si>
    <t>Adquisición de participaciones en asociadas y negocios conjuntos</t>
  </si>
  <si>
    <t>Utilidad (Pérdida) neta de operaciones discontinuadas</t>
  </si>
  <si>
    <t>Años terminados el 31 de marzo| Expresado en millones de pesos colombianos</t>
  </si>
  <si>
    <t>ESTADO DE FLUJOS DE EFECTIVO CONSOLIDADO CONDENSADO</t>
  </si>
  <si>
    <t>Períodos intermedios que terminaron a 31 de marzo |En millones de pesos colombianos</t>
  </si>
  <si>
    <t>Método de la participación de asociadas y negocios conjuntos</t>
  </si>
  <si>
    <t>Utilidad por venta y/o baja de activos no corrientes</t>
  </si>
  <si>
    <t>Pérdida (utilidad) por medición al valor razonable</t>
  </si>
  <si>
    <t>Adquisición y/o aportes en participaciones en asociadas, negocios conjuntos y subsidiarias con fines de disposición clasificadas como mantenidas para la venta</t>
  </si>
  <si>
    <t>Producto de la venta y restitución de aportes de participaciones en asociadas, negocios conjuntos y subsidiarias con fines de disposición clasificadas como mantenidas para la venta</t>
  </si>
  <si>
    <t>FLUJO NETO DE EFECTIVO GENERADO (UTILIZADO) EN ACTIVIDADES DE INVERSIÓN</t>
  </si>
  <si>
    <t>Emisión de acciones u otros instrumentos de capital, de subsidiarias</t>
  </si>
  <si>
    <t>Aumento de otros instrumentos de financiación</t>
  </si>
  <si>
    <t>Disminución de otros instrumentos de financiación</t>
  </si>
  <si>
    <t>AUMENTO (DISMINUCIÓN) NETA EN EFECTIVO Y EQUIVALENTES DE EFECTIVO</t>
  </si>
  <si>
    <t>Efectos de la variación de tasas de cambio sobre el efectivo y equivalentes de efectivo mantenido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</si>
</sst>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00_);_(* \(#,##0.00\);_(* &quot;-&quot;??_);_(@_)"/>
    <numFmt numFmtId="165" formatCode="_(* #,##0_);_(* \(#,##0\);_(* &quot;-&quot;??_);_(@_)"/>
    <numFmt numFmtId="166" formatCode="_-* #,##0.00\ _€_-;\-* #,##0.00\ _€_-;_-* &quot;-&quot;??\ _€_-;_-@_-"/>
    <numFmt numFmtId="167" formatCode="_ * #,##0.00_ ;_ * \-#,##0.00_ ;_ * &quot;-&quot;??_ ;_ @_ "/>
    <numFmt numFmtId="168" formatCode="_ * #,##0_ ;_ * \-#,##0_ ;_ * &quot;-&quot;??_ ;_ @_ "/>
    <numFmt numFmtId="169" formatCode="0.0%"/>
    <numFmt numFmtId="170" formatCode="#,##0.0"/>
    <numFmt numFmtId="171" formatCode="_-* #,##0\ _€_-;\-* #,##0\ _€_-;_-* &quot;-&quot;??\ _€_-;_-@_-"/>
    <numFmt numFmtId="172" formatCode="_(* #,##0.0_);_(* \(#,##0.0\);_(* &quot;-&quot;??_);_(@_)"/>
    <numFmt numFmtId="181" formatCode="_-* #,##0_-;\-* #,##0_-;_-* &quot;-&quot;??_-;_-@_-"/>
    <numFmt numFmtId="182" formatCode="_(* #,##0_);_(* \(#,##0\);_(* &quot;-&quot;?_);_(@_)"/>
  </numFmts>
  <fonts count="49" x14ac:knownFonts="1">
    <font>
      <sz val="11"/>
      <color theme="1"/>
      <name val="Calibri"/>
      <family val="2"/>
      <scheme val="minor"/>
    </font>
    <font>
      <sz val="11"/>
      <color theme="1"/>
      <name val="Calibri"/>
      <family val="2"/>
      <scheme val="minor"/>
    </font>
    <font>
      <sz val="10"/>
      <name val="Arial"/>
      <family val="2"/>
    </font>
    <font>
      <b/>
      <sz val="10"/>
      <name val="Arial"/>
      <family val="2"/>
    </font>
    <font>
      <b/>
      <sz val="11"/>
      <color indexed="9"/>
      <name val="Arial"/>
      <family val="2"/>
    </font>
    <font>
      <b/>
      <sz val="10"/>
      <color indexed="9"/>
      <name val="Arial"/>
      <family val="2"/>
    </font>
    <font>
      <sz val="10"/>
      <color indexed="8"/>
      <name val="Arial"/>
      <family val="2"/>
    </font>
    <font>
      <b/>
      <sz val="10"/>
      <color rgb="FFFF0000"/>
      <name val="Arial"/>
      <family val="2"/>
    </font>
    <font>
      <sz val="10"/>
      <color rgb="FFFF0000"/>
      <name val="Arial"/>
      <family val="2"/>
    </font>
    <font>
      <b/>
      <sz val="11"/>
      <color theme="1"/>
      <name val="Calibri"/>
      <family val="2"/>
    </font>
    <font>
      <sz val="11"/>
      <color theme="1"/>
      <name val="Calibri"/>
      <family val="2"/>
    </font>
    <font>
      <sz val="11"/>
      <name val="Calibri"/>
      <family val="2"/>
    </font>
    <font>
      <sz val="11"/>
      <color indexed="8"/>
      <name val="Calibri"/>
      <family val="2"/>
    </font>
    <font>
      <b/>
      <sz val="10"/>
      <color indexed="8"/>
      <name val="Arial"/>
      <family val="2"/>
    </font>
    <font>
      <i/>
      <sz val="10"/>
      <color rgb="FFFF0000"/>
      <name val="Arial"/>
      <family val="2"/>
    </font>
    <font>
      <sz val="10"/>
      <color theme="3" tint="0.39997558519241921"/>
      <name val="Arial"/>
      <family val="2"/>
    </font>
    <font>
      <i/>
      <sz val="10"/>
      <name val="Arial"/>
      <family val="2"/>
    </font>
    <font>
      <i/>
      <sz val="10"/>
      <color indexed="8"/>
      <name val="Arial"/>
      <family val="2"/>
    </font>
    <font>
      <i/>
      <sz val="10"/>
      <color theme="3" tint="0.39997558519241921"/>
      <name val="Arial"/>
      <family val="2"/>
    </font>
    <font>
      <b/>
      <sz val="10"/>
      <color theme="3" tint="0.39997558519241921"/>
      <name val="Arial"/>
      <family val="2"/>
    </font>
    <font>
      <b/>
      <sz val="10"/>
      <color theme="1"/>
      <name val="Arial"/>
      <family val="2"/>
    </font>
    <font>
      <sz val="10"/>
      <name val="Franklin Gothic Book"/>
      <family val="2"/>
    </font>
    <font>
      <sz val="10"/>
      <color rgb="FF000000"/>
      <name val="Franklin Gothic Book"/>
      <family val="2"/>
    </font>
    <font>
      <b/>
      <sz val="9"/>
      <color indexed="81"/>
      <name val="Tahoma"/>
      <family val="2"/>
    </font>
    <font>
      <sz val="9"/>
      <color indexed="81"/>
      <name val="Tahoma"/>
      <family val="2"/>
    </font>
    <font>
      <b/>
      <sz val="10"/>
      <color indexed="53"/>
      <name val="Arial"/>
      <family val="2"/>
    </font>
    <font>
      <i/>
      <sz val="10"/>
      <color rgb="FF002060"/>
      <name val="Arial"/>
      <family val="2"/>
    </font>
    <font>
      <i/>
      <sz val="8"/>
      <color indexed="8"/>
      <name val="Arial"/>
      <family val="2"/>
    </font>
    <font>
      <b/>
      <sz val="11"/>
      <color rgb="FF000000"/>
      <name val="Calibri"/>
      <family val="2"/>
    </font>
    <font>
      <sz val="11"/>
      <color rgb="FF000000"/>
      <name val="Calibri"/>
      <family val="2"/>
    </font>
    <font>
      <sz val="8"/>
      <name val="Arial"/>
      <family val="2"/>
    </font>
    <font>
      <sz val="10"/>
      <color theme="1"/>
      <name val="Arial"/>
      <family val="2"/>
    </font>
    <font>
      <b/>
      <sz val="18"/>
      <color rgb="FF0C2D66"/>
      <name val="Arial"/>
      <family val="2"/>
    </font>
    <font>
      <sz val="9"/>
      <color theme="1"/>
      <name val="Calibri"/>
      <family val="2"/>
      <scheme val="minor"/>
    </font>
    <font>
      <b/>
      <sz val="14"/>
      <color rgb="FF0C2D66"/>
      <name val="Arial"/>
      <family val="2"/>
    </font>
    <font>
      <sz val="10"/>
      <color theme="1"/>
      <name val="Franklin Gothic Book"/>
      <family val="2"/>
    </font>
    <font>
      <sz val="9"/>
      <color rgb="FF000000"/>
      <name val="Arial"/>
      <family val="2"/>
    </font>
    <font>
      <sz val="9"/>
      <color theme="1"/>
      <name val="Arial"/>
      <family val="2"/>
    </font>
    <font>
      <sz val="9"/>
      <color rgb="FF0C2D66"/>
      <name val="Arial"/>
      <family val="2"/>
    </font>
    <font>
      <b/>
      <sz val="9"/>
      <color rgb="FF0C2D66"/>
      <name val="Arial"/>
      <family val="2"/>
    </font>
    <font>
      <b/>
      <sz val="9"/>
      <color rgb="FF203764"/>
      <name val="Arial"/>
      <family val="2"/>
    </font>
    <font>
      <b/>
      <sz val="11"/>
      <color rgb="FF0C2D66"/>
      <name val="Franklin Gothic Book"/>
      <family val="2"/>
    </font>
    <font>
      <sz val="9"/>
      <color theme="1"/>
      <name val="Franklin Gothic Book"/>
      <family val="2"/>
    </font>
    <font>
      <b/>
      <sz val="9"/>
      <color rgb="FF000000"/>
      <name val="Arial"/>
      <family val="2"/>
    </font>
    <font>
      <sz val="8"/>
      <color rgb="FF000000"/>
      <name val="Arial"/>
      <family val="2"/>
    </font>
    <font>
      <b/>
      <sz val="8"/>
      <color rgb="FF1F4E78"/>
      <name val="Arial"/>
      <family val="2"/>
    </font>
    <font>
      <sz val="8"/>
      <color theme="1"/>
      <name val="Arial"/>
      <family val="2"/>
    </font>
    <font>
      <b/>
      <sz val="8"/>
      <color rgb="FF002060"/>
      <name val="Arial"/>
      <family val="2"/>
    </font>
    <font>
      <b/>
      <sz val="8"/>
      <color rgb="FF1F4E79"/>
      <name val="Arial"/>
      <family val="2"/>
    </font>
  </fonts>
  <fills count="14">
    <fill>
      <patternFill patternType="none"/>
    </fill>
    <fill>
      <patternFill patternType="gray125"/>
    </fill>
    <fill>
      <patternFill patternType="solid">
        <fgColor rgb="FF002D6A"/>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indexed="9"/>
        <bgColor indexed="64"/>
      </patternFill>
    </fill>
    <fill>
      <patternFill patternType="solid">
        <fgColor theme="0" tint="-4.9989318521683403E-2"/>
        <bgColor rgb="FF000000"/>
      </patternFill>
    </fill>
    <fill>
      <patternFill patternType="solid">
        <fgColor theme="0"/>
        <bgColor indexed="64"/>
      </patternFill>
    </fill>
    <fill>
      <patternFill patternType="solid">
        <fgColor rgb="FF121C4D"/>
        <bgColor indexed="64"/>
      </patternFill>
    </fill>
    <fill>
      <patternFill patternType="solid">
        <fgColor indexed="56"/>
        <bgColor indexed="64"/>
      </patternFill>
    </fill>
    <fill>
      <patternFill patternType="solid">
        <fgColor rgb="FFF2F2F2"/>
        <bgColor indexed="64"/>
      </patternFill>
    </fill>
    <fill>
      <patternFill patternType="solid">
        <fgColor rgb="FF92D050"/>
        <bgColor indexed="64"/>
      </patternFill>
    </fill>
    <fill>
      <patternFill patternType="solid">
        <fgColor theme="3" tint="0.89999084444715716"/>
        <bgColor indexed="64"/>
      </patternFill>
    </fill>
  </fills>
  <borders count="34">
    <border>
      <left/>
      <right/>
      <top/>
      <bottom/>
      <diagonal/>
    </border>
    <border>
      <left style="thick">
        <color indexed="22"/>
      </left>
      <right/>
      <top/>
      <bottom/>
      <diagonal/>
    </border>
    <border>
      <left style="thick">
        <color indexed="22"/>
      </left>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style="thick">
        <color indexed="22"/>
      </right>
      <top style="thick">
        <color indexed="22"/>
      </top>
      <bottom style="thin">
        <color indexed="22"/>
      </bottom>
      <diagonal/>
    </border>
    <border>
      <left/>
      <right style="thick">
        <color indexed="22"/>
      </right>
      <top/>
      <bottom style="thin">
        <color indexed="22"/>
      </bottom>
      <diagonal/>
    </border>
    <border>
      <left/>
      <right style="thick">
        <color indexed="22"/>
      </right>
      <top style="thin">
        <color indexed="22"/>
      </top>
      <bottom style="thin">
        <color indexed="22"/>
      </bottom>
      <diagonal/>
    </border>
    <border>
      <left/>
      <right style="thin">
        <color indexed="22"/>
      </right>
      <top style="thin">
        <color indexed="22"/>
      </top>
      <bottom style="thin">
        <color indexed="22"/>
      </bottom>
      <diagonal/>
    </border>
    <border>
      <left/>
      <right style="thick">
        <color indexed="22"/>
      </right>
      <top style="thin">
        <color indexed="22"/>
      </top>
      <bottom/>
      <diagonal/>
    </border>
    <border>
      <left/>
      <right style="thick">
        <color indexed="22"/>
      </right>
      <top style="thin">
        <color indexed="22"/>
      </top>
      <bottom style="thick">
        <color indexed="22"/>
      </bottom>
      <diagonal/>
    </border>
    <border>
      <left style="thick">
        <color indexed="22"/>
      </left>
      <right/>
      <top style="thick">
        <color indexed="22"/>
      </top>
      <bottom/>
      <diagonal/>
    </border>
    <border>
      <left/>
      <right style="thick">
        <color indexed="22"/>
      </right>
      <top style="thick">
        <color indexed="22"/>
      </top>
      <bottom/>
      <diagonal/>
    </border>
    <border>
      <left style="thick">
        <color indexed="22"/>
      </left>
      <right style="thick">
        <color indexed="22"/>
      </right>
      <top style="thick">
        <color indexed="22"/>
      </top>
      <bottom/>
      <diagonal/>
    </border>
    <border>
      <left style="thick">
        <color indexed="22"/>
      </left>
      <right/>
      <top/>
      <bottom style="thick">
        <color indexed="22"/>
      </bottom>
      <diagonal/>
    </border>
    <border>
      <left/>
      <right style="thick">
        <color indexed="22"/>
      </right>
      <top/>
      <bottom style="thick">
        <color indexed="22"/>
      </bottom>
      <diagonal/>
    </border>
    <border>
      <left style="thick">
        <color indexed="22"/>
      </left>
      <right style="thick">
        <color indexed="22"/>
      </right>
      <top/>
      <bottom style="thick">
        <color indexed="22"/>
      </bottom>
      <diagonal/>
    </border>
    <border>
      <left/>
      <right style="thin">
        <color indexed="22"/>
      </right>
      <top style="thin">
        <color indexed="22"/>
      </top>
      <bottom/>
      <diagonal/>
    </border>
    <border>
      <left/>
      <right/>
      <top style="thin">
        <color indexed="22"/>
      </top>
      <bottom/>
      <diagonal/>
    </border>
    <border>
      <left/>
      <right/>
      <top/>
      <bottom style="medium">
        <color indexed="64"/>
      </bottom>
      <diagonal/>
    </border>
    <border>
      <left/>
      <right/>
      <top/>
      <bottom style="medium">
        <color rgb="FF002060"/>
      </bottom>
      <diagonal/>
    </border>
    <border>
      <left/>
      <right/>
      <top/>
      <bottom style="thick">
        <color rgb="FF000000"/>
      </bottom>
      <diagonal/>
    </border>
    <border>
      <left/>
      <right/>
      <top/>
      <bottom style="dotted">
        <color indexed="64"/>
      </bottom>
      <diagonal/>
    </border>
    <border>
      <left/>
      <right/>
      <top/>
      <bottom style="thick">
        <color indexed="64"/>
      </bottom>
      <diagonal/>
    </border>
    <border>
      <left/>
      <right/>
      <top style="medium">
        <color indexed="64"/>
      </top>
      <bottom style="medium">
        <color indexed="64"/>
      </bottom>
      <diagonal/>
    </border>
    <border>
      <left/>
      <right/>
      <top/>
      <bottom style="medium">
        <color rgb="FF000000"/>
      </bottom>
      <diagonal/>
    </border>
    <border>
      <left/>
      <right/>
      <top/>
      <bottom style="dotted">
        <color rgb="FF000000"/>
      </bottom>
      <diagonal/>
    </border>
    <border>
      <left/>
      <right/>
      <top style="medium">
        <color rgb="FF002060"/>
      </top>
      <bottom style="medium">
        <color rgb="FF002060"/>
      </bottom>
      <diagonal/>
    </border>
    <border>
      <left/>
      <right/>
      <top style="medium">
        <color rgb="FF000000"/>
      </top>
      <bottom style="medium">
        <color rgb="FF000000"/>
      </bottom>
      <diagonal/>
    </border>
    <border>
      <left/>
      <right/>
      <top style="thick">
        <color indexed="64"/>
      </top>
      <bottom/>
      <diagonal/>
    </border>
    <border>
      <left/>
      <right/>
      <top style="dotted">
        <color indexed="64"/>
      </top>
      <bottom/>
      <diagonal/>
    </border>
  </borders>
  <cellStyleXfs count="4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6" fontId="2" fillId="0" borderId="0" applyFont="0" applyFill="0" applyBorder="0" applyAlignment="0" applyProtection="0"/>
    <xf numFmtId="167" fontId="2" fillId="0" borderId="0" applyFont="0" applyFill="0" applyBorder="0" applyAlignment="0" applyProtection="0"/>
    <xf numFmtId="0" fontId="12" fillId="0" borderId="0"/>
    <xf numFmtId="0" fontId="2" fillId="0" borderId="0"/>
    <xf numFmtId="0" fontId="1" fillId="0" borderId="0"/>
    <xf numFmtId="0" fontId="12" fillId="0" borderId="0"/>
    <xf numFmtId="41" fontId="2" fillId="0" borderId="0" applyFont="0" applyFill="0" applyBorder="0" applyAlignment="0" applyProtection="0"/>
    <xf numFmtId="166" fontId="1" fillId="0" borderId="0" applyFont="0" applyFill="0" applyBorder="0" applyAlignment="0" applyProtection="0"/>
    <xf numFmtId="0" fontId="2"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2" fillId="0" borderId="0"/>
    <xf numFmtId="166" fontId="1" fillId="0" borderId="0" applyFont="0" applyFill="0" applyBorder="0" applyAlignment="0" applyProtection="0"/>
    <xf numFmtId="167" fontId="2" fillId="0" borderId="0" applyFont="0" applyFill="0" applyBorder="0" applyAlignment="0" applyProtection="0"/>
    <xf numFmtId="0" fontId="1" fillId="0" borderId="0"/>
    <xf numFmtId="0" fontId="2" fillId="0" borderId="0"/>
    <xf numFmtId="164" fontId="12" fillId="0" borderId="0" applyFont="0" applyFill="0" applyBorder="0" applyAlignment="0" applyProtection="0"/>
    <xf numFmtId="43" fontId="12" fillId="0" borderId="0" applyFont="0" applyFill="0" applyBorder="0" applyAlignment="0" applyProtection="0"/>
    <xf numFmtId="0" fontId="1" fillId="0" borderId="0"/>
    <xf numFmtId="9" fontId="1" fillId="0" borderId="0" applyFont="0" applyFill="0" applyBorder="0" applyAlignment="0" applyProtection="0"/>
    <xf numFmtId="167" fontId="2" fillId="0" borderId="0" applyFont="0" applyFill="0" applyBorder="0" applyAlignment="0" applyProtection="0"/>
    <xf numFmtId="0" fontId="2" fillId="0" borderId="0"/>
    <xf numFmtId="164" fontId="1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376">
    <xf numFmtId="0" fontId="0" fillId="0" borderId="0" xfId="0"/>
    <xf numFmtId="0" fontId="3" fillId="0" borderId="0" xfId="4" applyFont="1" applyAlignment="1">
      <alignment horizontal="center" vertical="center" wrapText="1"/>
    </xf>
    <xf numFmtId="0" fontId="2" fillId="0" borderId="0" xfId="4" applyAlignment="1">
      <alignment horizontal="left" vertical="center" wrapText="1"/>
    </xf>
    <xf numFmtId="0" fontId="2" fillId="0" borderId="0" xfId="4" applyAlignment="1">
      <alignment horizontal="center" vertical="center" wrapText="1"/>
    </xf>
    <xf numFmtId="49" fontId="4" fillId="2" borderId="1" xfId="4" applyNumberFormat="1" applyFont="1" applyFill="1" applyBorder="1" applyAlignment="1">
      <alignment horizontal="center" vertical="center" wrapText="1"/>
    </xf>
    <xf numFmtId="49" fontId="4" fillId="2" borderId="0" xfId="4" applyNumberFormat="1" applyFont="1" applyFill="1" applyAlignment="1">
      <alignment horizontal="center" vertical="center" wrapText="1"/>
    </xf>
    <xf numFmtId="49" fontId="4" fillId="0" borderId="0" xfId="4" applyNumberFormat="1" applyFont="1" applyAlignment="1">
      <alignment horizontal="center" vertical="center" wrapText="1"/>
    </xf>
    <xf numFmtId="17" fontId="5" fillId="2" borderId="2" xfId="4" applyNumberFormat="1" applyFont="1" applyFill="1" applyBorder="1" applyAlignment="1">
      <alignment horizontal="center" vertical="center" wrapText="1"/>
    </xf>
    <xf numFmtId="17" fontId="5" fillId="0" borderId="0" xfId="4" applyNumberFormat="1" applyFont="1" applyAlignment="1">
      <alignment horizontal="center" vertical="center" wrapText="1"/>
    </xf>
    <xf numFmtId="17" fontId="5" fillId="2" borderId="2" xfId="4" quotePrefix="1" applyNumberFormat="1" applyFont="1" applyFill="1" applyBorder="1" applyAlignment="1">
      <alignment horizontal="center" vertical="center" wrapText="1"/>
    </xf>
    <xf numFmtId="0" fontId="2" fillId="0" borderId="0" xfId="4" applyAlignment="1">
      <alignment horizontal="right" vertical="center" wrapText="1"/>
    </xf>
    <xf numFmtId="0" fontId="6" fillId="0" borderId="0" xfId="4" applyFont="1" applyAlignment="1" applyProtection="1">
      <alignment horizontal="left" vertical="center" wrapText="1"/>
      <protection locked="0"/>
    </xf>
    <xf numFmtId="165" fontId="2" fillId="0" borderId="0" xfId="1" applyNumberFormat="1" applyFont="1" applyFill="1" applyBorder="1" applyAlignment="1">
      <alignment horizontal="right" vertical="center" wrapText="1"/>
    </xf>
    <xf numFmtId="165" fontId="2" fillId="0" borderId="0" xfId="1" applyNumberFormat="1" applyFont="1" applyFill="1" applyAlignment="1">
      <alignment horizontal="left" vertical="center" wrapText="1"/>
    </xf>
    <xf numFmtId="165" fontId="2" fillId="0" borderId="0" xfId="4" applyNumberFormat="1" applyAlignment="1">
      <alignment horizontal="left" vertical="center" wrapText="1"/>
    </xf>
    <xf numFmtId="165" fontId="2" fillId="3" borderId="0" xfId="1" applyNumberFormat="1" applyFont="1" applyFill="1" applyAlignment="1">
      <alignment horizontal="left" vertical="center" wrapText="1"/>
    </xf>
    <xf numFmtId="165" fontId="2" fillId="0" borderId="0" xfId="1" applyNumberFormat="1" applyFont="1" applyAlignment="1">
      <alignment horizontal="left" vertical="center" wrapText="1"/>
    </xf>
    <xf numFmtId="0" fontId="3" fillId="0" borderId="0" xfId="4" applyFont="1" applyAlignment="1">
      <alignment horizontal="left" vertical="center" wrapText="1"/>
    </xf>
    <xf numFmtId="3" fontId="3" fillId="0" borderId="0" xfId="4" applyNumberFormat="1" applyFont="1" applyAlignment="1">
      <alignment horizontal="right" vertical="center" wrapText="1"/>
    </xf>
    <xf numFmtId="3" fontId="3" fillId="3" borderId="0" xfId="4" applyNumberFormat="1" applyFont="1" applyFill="1" applyAlignment="1">
      <alignment horizontal="right" vertical="center" wrapText="1"/>
    </xf>
    <xf numFmtId="3" fontId="2" fillId="0" borderId="0" xfId="4" applyNumberFormat="1" applyAlignment="1">
      <alignment horizontal="right" vertical="center" wrapText="1"/>
    </xf>
    <xf numFmtId="0" fontId="6" fillId="0" borderId="0" xfId="4" applyFont="1" applyAlignment="1" applyProtection="1">
      <alignment horizontal="left"/>
      <protection locked="0"/>
    </xf>
    <xf numFmtId="165" fontId="2" fillId="0" borderId="0" xfId="5" applyNumberFormat="1" applyFont="1" applyFill="1" applyBorder="1" applyAlignment="1">
      <alignment horizontal="right" vertical="center" wrapText="1"/>
    </xf>
    <xf numFmtId="165" fontId="2" fillId="0" borderId="0" xfId="1" applyNumberFormat="1" applyFont="1" applyBorder="1" applyAlignment="1">
      <alignment horizontal="right" vertical="center" wrapText="1"/>
    </xf>
    <xf numFmtId="0" fontId="3" fillId="4" borderId="0" xfId="4" applyFont="1" applyFill="1" applyAlignment="1">
      <alignment horizontal="left" vertical="center" wrapText="1"/>
    </xf>
    <xf numFmtId="3" fontId="3" fillId="4" borderId="0" xfId="4" applyNumberFormat="1" applyFont="1" applyFill="1" applyAlignment="1">
      <alignment horizontal="right" vertical="center" wrapText="1"/>
    </xf>
    <xf numFmtId="0" fontId="2" fillId="4" borderId="0" xfId="4" applyFill="1" applyAlignment="1">
      <alignment horizontal="left" vertical="center" wrapText="1"/>
    </xf>
    <xf numFmtId="0" fontId="7" fillId="4" borderId="0" xfId="4" applyFont="1" applyFill="1" applyAlignment="1">
      <alignment horizontal="left" vertical="center" wrapText="1"/>
    </xf>
    <xf numFmtId="3" fontId="7" fillId="4" borderId="0" xfId="4" applyNumberFormat="1" applyFont="1" applyFill="1" applyAlignment="1">
      <alignment horizontal="right" vertical="center" wrapText="1"/>
    </xf>
    <xf numFmtId="0" fontId="8" fillId="4" borderId="0" xfId="4" applyFont="1" applyFill="1" applyAlignment="1">
      <alignment horizontal="left" vertical="center" wrapText="1"/>
    </xf>
    <xf numFmtId="3" fontId="7" fillId="0" borderId="0" xfId="4" applyNumberFormat="1" applyFont="1" applyAlignment="1">
      <alignment horizontal="right" vertical="center" wrapText="1"/>
    </xf>
    <xf numFmtId="3" fontId="7" fillId="3" borderId="0" xfId="4" applyNumberFormat="1" applyFont="1" applyFill="1" applyAlignment="1">
      <alignment horizontal="right" vertical="center" wrapText="1"/>
    </xf>
    <xf numFmtId="3" fontId="2" fillId="0" borderId="0" xfId="4" applyNumberFormat="1" applyAlignment="1">
      <alignment horizontal="left" vertical="center" wrapText="1"/>
    </xf>
    <xf numFmtId="0" fontId="2" fillId="0" borderId="0" xfId="6" applyProtection="1">
      <protection locked="0"/>
    </xf>
    <xf numFmtId="165" fontId="2" fillId="3" borderId="0" xfId="4" applyNumberFormat="1" applyFill="1" applyAlignment="1">
      <alignment horizontal="left" vertical="center" wrapText="1"/>
    </xf>
    <xf numFmtId="165" fontId="3" fillId="4" borderId="0" xfId="1" applyNumberFormat="1" applyFont="1" applyFill="1" applyBorder="1" applyAlignment="1">
      <alignment horizontal="right" vertical="center" wrapText="1"/>
    </xf>
    <xf numFmtId="165" fontId="3" fillId="0" borderId="0" xfId="1" applyNumberFormat="1" applyFont="1" applyFill="1" applyBorder="1" applyAlignment="1">
      <alignment horizontal="right" vertical="center" wrapText="1"/>
    </xf>
    <xf numFmtId="43" fontId="2" fillId="0" borderId="0" xfId="1" applyFont="1" applyBorder="1" applyAlignment="1">
      <alignment horizontal="left" vertical="center" wrapText="1"/>
    </xf>
    <xf numFmtId="43" fontId="2" fillId="0" borderId="0" xfId="1" applyFont="1" applyBorder="1" applyAlignment="1">
      <alignment horizontal="right" vertical="center" wrapText="1"/>
    </xf>
    <xf numFmtId="43" fontId="2" fillId="0" borderId="0" xfId="1" applyFont="1" applyFill="1" applyBorder="1" applyAlignment="1">
      <alignment horizontal="left" vertical="center" wrapText="1"/>
    </xf>
    <xf numFmtId="43" fontId="2" fillId="0" borderId="0" xfId="1" applyFont="1" applyAlignment="1">
      <alignment horizontal="left" vertical="center" wrapText="1"/>
    </xf>
    <xf numFmtId="43" fontId="2" fillId="0" borderId="0" xfId="1" applyFont="1" applyFill="1" applyAlignment="1">
      <alignment horizontal="left" vertical="center" wrapText="1"/>
    </xf>
    <xf numFmtId="166" fontId="2" fillId="0" borderId="0" xfId="4" applyNumberFormat="1" applyAlignment="1">
      <alignment horizontal="right" vertical="center" wrapText="1"/>
    </xf>
    <xf numFmtId="43" fontId="2" fillId="0" borderId="0" xfId="1" applyFont="1" applyFill="1" applyBorder="1" applyAlignment="1">
      <alignment horizontal="right" vertical="center" wrapText="1"/>
    </xf>
    <xf numFmtId="166" fontId="2" fillId="0" borderId="0" xfId="4" applyNumberFormat="1" applyAlignment="1">
      <alignment horizontal="left" vertical="center" wrapText="1"/>
    </xf>
    <xf numFmtId="0" fontId="9" fillId="0" borderId="0" xfId="6" applyFont="1"/>
    <xf numFmtId="165" fontId="10" fillId="0" borderId="0" xfId="7" applyNumberFormat="1" applyFont="1" applyFill="1" applyBorder="1"/>
    <xf numFmtId="0" fontId="10" fillId="0" borderId="0" xfId="6" applyFont="1"/>
    <xf numFmtId="168" fontId="11" fillId="0" borderId="0" xfId="8" applyNumberFormat="1" applyFont="1" applyFill="1" applyBorder="1"/>
    <xf numFmtId="165" fontId="9" fillId="0" borderId="0" xfId="7" applyNumberFormat="1" applyFont="1" applyFill="1" applyBorder="1"/>
    <xf numFmtId="0" fontId="13" fillId="0" borderId="0" xfId="9" applyFont="1" applyAlignment="1">
      <alignment horizontal="center" vertical="center" wrapText="1"/>
    </xf>
    <xf numFmtId="0" fontId="6" fillId="0" borderId="0" xfId="9" applyFont="1" applyAlignment="1">
      <alignment vertical="center" wrapText="1"/>
    </xf>
    <xf numFmtId="0" fontId="2" fillId="0" borderId="0" xfId="4" applyAlignment="1">
      <alignment vertical="center" wrapText="1"/>
    </xf>
    <xf numFmtId="0" fontId="6" fillId="0" borderId="0" xfId="9" applyFont="1" applyAlignment="1">
      <alignment horizontal="center" vertical="center" wrapText="1"/>
    </xf>
    <xf numFmtId="17" fontId="5" fillId="2" borderId="0" xfId="4" applyNumberFormat="1" applyFont="1" applyFill="1" applyAlignment="1">
      <alignment horizontal="center" vertical="center" wrapText="1"/>
    </xf>
    <xf numFmtId="0" fontId="6" fillId="0" borderId="0" xfId="9" applyFont="1" applyAlignment="1">
      <alignment horizontal="right" vertical="center" wrapText="1"/>
    </xf>
    <xf numFmtId="0" fontId="13" fillId="0" borderId="0" xfId="9" applyFont="1" applyAlignment="1">
      <alignment vertical="center" wrapText="1"/>
    </xf>
    <xf numFmtId="165" fontId="3" fillId="4" borderId="0" xfId="5" applyNumberFormat="1" applyFont="1" applyFill="1" applyBorder="1" applyAlignment="1">
      <alignment horizontal="right" vertical="center" wrapText="1"/>
    </xf>
    <xf numFmtId="0" fontId="6" fillId="4" borderId="0" xfId="9" applyFont="1" applyFill="1" applyAlignment="1">
      <alignment horizontal="right" vertical="center" wrapText="1"/>
    </xf>
    <xf numFmtId="165" fontId="3" fillId="0" borderId="0" xfId="5" applyNumberFormat="1" applyFont="1" applyFill="1" applyBorder="1" applyAlignment="1">
      <alignment horizontal="right" vertical="center" wrapText="1"/>
    </xf>
    <xf numFmtId="165" fontId="6" fillId="0" borderId="0" xfId="9" applyNumberFormat="1" applyFont="1" applyAlignment="1">
      <alignment vertical="center" wrapText="1"/>
    </xf>
    <xf numFmtId="0" fontId="7" fillId="4" borderId="0" xfId="9" applyFont="1" applyFill="1" applyAlignment="1">
      <alignment vertical="center" wrapText="1"/>
    </xf>
    <xf numFmtId="165" fontId="7" fillId="4" borderId="0" xfId="5" applyNumberFormat="1" applyFont="1" applyFill="1" applyBorder="1" applyAlignment="1">
      <alignment horizontal="right" vertical="center" wrapText="1"/>
    </xf>
    <xf numFmtId="165" fontId="7" fillId="0" borderId="0" xfId="5" applyNumberFormat="1" applyFont="1" applyFill="1" applyBorder="1" applyAlignment="1">
      <alignment horizontal="right" vertical="center" wrapText="1"/>
    </xf>
    <xf numFmtId="0" fontId="6" fillId="0" borderId="0" xfId="9" applyFont="1" applyAlignment="1">
      <alignment horizontal="left" vertical="center" wrapText="1" indent="1"/>
    </xf>
    <xf numFmtId="165" fontId="2" fillId="5" borderId="0" xfId="5" applyNumberFormat="1" applyFont="1" applyFill="1" applyBorder="1" applyAlignment="1">
      <alignment horizontal="right" vertical="center" wrapText="1"/>
    </xf>
    <xf numFmtId="3" fontId="2" fillId="0" borderId="0" xfId="9" applyNumberFormat="1" applyFont="1" applyAlignment="1">
      <alignment horizontal="right" vertical="center" wrapText="1"/>
    </xf>
    <xf numFmtId="165" fontId="13" fillId="0" borderId="0" xfId="5" applyNumberFormat="1" applyFont="1" applyFill="1" applyBorder="1" applyAlignment="1">
      <alignment horizontal="right" vertical="center" wrapText="1"/>
    </xf>
    <xf numFmtId="165" fontId="6" fillId="0" borderId="0" xfId="5" applyNumberFormat="1" applyFont="1" applyFill="1" applyBorder="1" applyAlignment="1">
      <alignment horizontal="right" vertical="center" wrapText="1"/>
    </xf>
    <xf numFmtId="37" fontId="13" fillId="0" borderId="0" xfId="9" applyNumberFormat="1" applyFont="1" applyAlignment="1">
      <alignment horizontal="right" vertical="center" wrapText="1"/>
    </xf>
    <xf numFmtId="37" fontId="3" fillId="0" borderId="0" xfId="9" applyNumberFormat="1" applyFont="1" applyAlignment="1">
      <alignment horizontal="right" vertical="center" wrapText="1"/>
    </xf>
    <xf numFmtId="37" fontId="13" fillId="0" borderId="0" xfId="9" applyNumberFormat="1" applyFont="1" applyAlignment="1">
      <alignment vertical="center" wrapText="1"/>
    </xf>
    <xf numFmtId="0" fontId="14" fillId="0" borderId="0" xfId="9" applyFont="1" applyAlignment="1">
      <alignment vertical="center" wrapText="1"/>
    </xf>
    <xf numFmtId="9" fontId="14" fillId="0" borderId="0" xfId="3" applyFont="1" applyFill="1" applyBorder="1" applyAlignment="1">
      <alignment horizontal="right" vertical="center" wrapText="1"/>
    </xf>
    <xf numFmtId="0" fontId="2" fillId="0" borderId="0" xfId="9" applyFont="1" applyAlignment="1">
      <alignment horizontal="left" vertical="center" wrapText="1" indent="1"/>
    </xf>
    <xf numFmtId="165" fontId="2" fillId="0" borderId="0" xfId="5" applyNumberFormat="1" applyFont="1" applyFill="1" applyBorder="1" applyAlignment="1">
      <alignment horizontal="right" vertical="center"/>
    </xf>
    <xf numFmtId="3" fontId="15" fillId="0" borderId="0" xfId="9" applyNumberFormat="1" applyFont="1" applyAlignment="1">
      <alignment horizontal="right" vertical="center" wrapText="1"/>
    </xf>
    <xf numFmtId="0" fontId="7" fillId="0" borderId="0" xfId="9" applyFont="1" applyAlignment="1">
      <alignment vertical="center" wrapText="1"/>
    </xf>
    <xf numFmtId="37" fontId="7" fillId="0" borderId="0" xfId="9" applyNumberFormat="1" applyFont="1" applyAlignment="1">
      <alignment horizontal="right" vertical="center" wrapText="1"/>
    </xf>
    <xf numFmtId="0" fontId="16" fillId="0" borderId="0" xfId="9" applyFont="1" applyAlignment="1">
      <alignment vertical="center" wrapText="1"/>
    </xf>
    <xf numFmtId="9" fontId="16" fillId="0" borderId="0" xfId="3" applyFont="1" applyFill="1" applyBorder="1" applyAlignment="1">
      <alignment horizontal="right" vertical="center" wrapText="1"/>
    </xf>
    <xf numFmtId="0" fontId="2" fillId="0" borderId="0" xfId="9" applyFont="1" applyAlignment="1">
      <alignment horizontal="right" vertical="center" wrapText="1"/>
    </xf>
    <xf numFmtId="3" fontId="6" fillId="0" borderId="0" xfId="9" applyNumberFormat="1" applyFont="1" applyAlignment="1">
      <alignment horizontal="right" vertical="center" wrapText="1"/>
    </xf>
    <xf numFmtId="0" fontId="13" fillId="4" borderId="0" xfId="9" applyFont="1" applyFill="1" applyAlignment="1">
      <alignment horizontal="left" vertical="center" wrapText="1"/>
    </xf>
    <xf numFmtId="3" fontId="13" fillId="4" borderId="0" xfId="9" applyNumberFormat="1" applyFont="1" applyFill="1" applyAlignment="1">
      <alignment horizontal="right" vertical="center" wrapText="1"/>
    </xf>
    <xf numFmtId="3" fontId="13" fillId="0" borderId="0" xfId="9" applyNumberFormat="1" applyFont="1" applyAlignment="1">
      <alignment horizontal="right" vertical="center" wrapText="1"/>
    </xf>
    <xf numFmtId="0" fontId="7" fillId="4" borderId="0" xfId="9" applyFont="1" applyFill="1" applyAlignment="1">
      <alignment horizontal="left" vertical="center" wrapText="1"/>
    </xf>
    <xf numFmtId="3" fontId="7" fillId="4" borderId="0" xfId="9" applyNumberFormat="1" applyFont="1" applyFill="1" applyAlignment="1">
      <alignment horizontal="right" vertical="center" wrapText="1"/>
    </xf>
    <xf numFmtId="3" fontId="7" fillId="0" borderId="0" xfId="9" applyNumberFormat="1" applyFont="1" applyAlignment="1">
      <alignment horizontal="right" vertical="center" wrapText="1"/>
    </xf>
    <xf numFmtId="0" fontId="16" fillId="4" borderId="0" xfId="9" applyFont="1" applyFill="1" applyAlignment="1">
      <alignment horizontal="left" vertical="center" wrapText="1" indent="1"/>
    </xf>
    <xf numFmtId="9" fontId="16" fillId="4" borderId="0" xfId="3" applyFont="1" applyFill="1" applyBorder="1" applyAlignment="1">
      <alignment horizontal="right" vertical="center" wrapText="1"/>
    </xf>
    <xf numFmtId="0" fontId="2" fillId="4" borderId="0" xfId="9" applyFont="1" applyFill="1" applyAlignment="1">
      <alignment horizontal="right" vertical="center" wrapText="1"/>
    </xf>
    <xf numFmtId="0" fontId="2" fillId="6" borderId="0" xfId="10" applyFill="1" applyAlignment="1">
      <alignment horizontal="left" vertical="center" indent="1"/>
    </xf>
    <xf numFmtId="37" fontId="2" fillId="0" borderId="0" xfId="9" applyNumberFormat="1" applyFont="1" applyAlignment="1">
      <alignment horizontal="right" vertical="center" wrapText="1"/>
    </xf>
    <xf numFmtId="0" fontId="2" fillId="0" borderId="0" xfId="9" applyFont="1" applyAlignment="1">
      <alignment horizontal="right" vertical="center"/>
    </xf>
    <xf numFmtId="0" fontId="6" fillId="0" borderId="0" xfId="9" applyFont="1" applyAlignment="1">
      <alignment vertical="center"/>
    </xf>
    <xf numFmtId="0" fontId="2" fillId="0" borderId="0" xfId="0" applyFont="1" applyAlignment="1" applyProtection="1">
      <alignment horizontal="left"/>
      <protection locked="0"/>
    </xf>
    <xf numFmtId="0" fontId="2" fillId="0" borderId="0" xfId="10" applyAlignment="1">
      <alignment horizontal="left" vertical="center" indent="1"/>
    </xf>
    <xf numFmtId="165" fontId="13" fillId="0" borderId="0" xfId="9" applyNumberFormat="1" applyFont="1" applyAlignment="1">
      <alignment vertical="center" wrapText="1"/>
    </xf>
    <xf numFmtId="0" fontId="8" fillId="0" borderId="0" xfId="9" applyFont="1" applyAlignment="1">
      <alignment vertical="center" wrapText="1"/>
    </xf>
    <xf numFmtId="0" fontId="17" fillId="0" borderId="0" xfId="9" applyFont="1" applyAlignment="1">
      <alignment vertical="center" wrapText="1"/>
    </xf>
    <xf numFmtId="169" fontId="17" fillId="0" borderId="0" xfId="3" applyNumberFormat="1" applyFont="1" applyFill="1" applyBorder="1" applyAlignment="1">
      <alignment horizontal="right" vertical="center" wrapText="1"/>
    </xf>
    <xf numFmtId="169" fontId="18" fillId="0" borderId="0" xfId="3" applyNumberFormat="1" applyFont="1" applyFill="1" applyBorder="1" applyAlignment="1">
      <alignment horizontal="right" vertical="center" wrapText="1"/>
    </xf>
    <xf numFmtId="37" fontId="19" fillId="0" borderId="0" xfId="9" applyNumberFormat="1" applyFont="1" applyAlignment="1">
      <alignment horizontal="right" vertical="center" wrapText="1"/>
    </xf>
    <xf numFmtId="0" fontId="3" fillId="4" borderId="0" xfId="10" applyFont="1" applyFill="1" applyAlignment="1">
      <alignment horizontal="left" vertical="center" indent="1"/>
    </xf>
    <xf numFmtId="165" fontId="20" fillId="4" borderId="0" xfId="5" applyNumberFormat="1" applyFont="1" applyFill="1" applyBorder="1" applyAlignment="1">
      <alignment horizontal="right" vertical="center" wrapText="1"/>
    </xf>
    <xf numFmtId="165" fontId="20" fillId="0" borderId="0" xfId="5" applyNumberFormat="1" applyFont="1" applyFill="1" applyBorder="1" applyAlignment="1">
      <alignment horizontal="right" vertical="center" wrapText="1"/>
    </xf>
    <xf numFmtId="0" fontId="7" fillId="4" borderId="0" xfId="10" applyFont="1" applyFill="1" applyAlignment="1">
      <alignment horizontal="left" vertical="center" indent="1"/>
    </xf>
    <xf numFmtId="0" fontId="16" fillId="4" borderId="0" xfId="9" applyFont="1" applyFill="1" applyAlignment="1">
      <alignment vertical="center" wrapText="1"/>
    </xf>
    <xf numFmtId="3" fontId="13" fillId="0" borderId="0" xfId="9" applyNumberFormat="1" applyFont="1" applyAlignment="1">
      <alignment vertical="center" wrapText="1"/>
    </xf>
    <xf numFmtId="37" fontId="8" fillId="0" borderId="0" xfId="9" applyNumberFormat="1" applyFont="1" applyAlignment="1">
      <alignment vertical="center" wrapText="1"/>
    </xf>
    <xf numFmtId="37" fontId="8" fillId="0" borderId="0" xfId="9" applyNumberFormat="1" applyFont="1" applyAlignment="1">
      <alignment horizontal="right" vertical="center" wrapText="1"/>
    </xf>
    <xf numFmtId="39" fontId="8" fillId="0" borderId="0" xfId="9" applyNumberFormat="1" applyFont="1" applyAlignment="1">
      <alignment horizontal="right" vertical="center" wrapText="1"/>
    </xf>
    <xf numFmtId="0" fontId="13" fillId="4" borderId="0" xfId="9" applyFont="1" applyFill="1" applyAlignment="1">
      <alignment vertical="center" wrapText="1"/>
    </xf>
    <xf numFmtId="165" fontId="6" fillId="0" borderId="0" xfId="5" applyNumberFormat="1" applyFont="1" applyFill="1" applyBorder="1" applyAlignment="1">
      <alignment vertical="center" wrapText="1"/>
    </xf>
    <xf numFmtId="165" fontId="13" fillId="0" borderId="0" xfId="5" applyNumberFormat="1" applyFont="1" applyFill="1" applyBorder="1" applyAlignment="1">
      <alignment vertical="center" wrapText="1"/>
    </xf>
    <xf numFmtId="165" fontId="13" fillId="0" borderId="0" xfId="9" applyNumberFormat="1" applyFont="1" applyAlignment="1">
      <alignment horizontal="right" vertical="center" wrapText="1"/>
    </xf>
    <xf numFmtId="0" fontId="13" fillId="0" borderId="0" xfId="9" applyFont="1" applyAlignment="1">
      <alignment horizontal="right" vertical="center" wrapText="1"/>
    </xf>
    <xf numFmtId="165" fontId="6" fillId="0" borderId="0" xfId="9" applyNumberFormat="1" applyFont="1" applyAlignment="1">
      <alignment horizontal="right" vertical="center" wrapText="1"/>
    </xf>
    <xf numFmtId="37" fontId="6" fillId="0" borderId="0" xfId="9" applyNumberFormat="1" applyFont="1" applyAlignment="1">
      <alignment vertical="center" wrapText="1"/>
    </xf>
    <xf numFmtId="41" fontId="6" fillId="0" borderId="0" xfId="2" applyFont="1" applyFill="1" applyBorder="1" applyAlignment="1">
      <alignment vertical="center" wrapText="1"/>
    </xf>
    <xf numFmtId="41" fontId="6" fillId="0" borderId="0" xfId="2" applyFont="1" applyFill="1" applyBorder="1" applyAlignment="1">
      <alignment horizontal="right" vertical="center" wrapText="1"/>
    </xf>
    <xf numFmtId="41" fontId="6" fillId="0" borderId="0" xfId="2" applyFont="1" applyAlignment="1">
      <alignment vertical="center" wrapText="1"/>
    </xf>
    <xf numFmtId="41" fontId="6" fillId="0" borderId="0" xfId="2" applyFont="1" applyFill="1" applyAlignment="1">
      <alignment vertical="center" wrapText="1"/>
    </xf>
    <xf numFmtId="0" fontId="21" fillId="0" borderId="0" xfId="0" applyFont="1" applyAlignment="1">
      <alignment horizontal="left" vertical="center" wrapText="1"/>
    </xf>
    <xf numFmtId="0" fontId="0" fillId="0" borderId="0" xfId="0" applyAlignment="1">
      <alignment vertical="center" wrapText="1"/>
    </xf>
    <xf numFmtId="165" fontId="6" fillId="0" borderId="0" xfId="5" applyNumberFormat="1" applyFont="1" applyBorder="1" applyAlignment="1">
      <alignment horizontal="right" vertical="center" wrapText="1"/>
    </xf>
    <xf numFmtId="0" fontId="21" fillId="0" borderId="0" xfId="0" applyFont="1" applyAlignment="1">
      <alignment vertical="center" wrapText="1"/>
    </xf>
    <xf numFmtId="41" fontId="6" fillId="0" borderId="0" xfId="9" applyNumberFormat="1" applyFont="1" applyAlignment="1">
      <alignment vertical="center" wrapText="1"/>
    </xf>
    <xf numFmtId="165" fontId="2" fillId="0" borderId="0" xfId="5" applyNumberFormat="1" applyFont="1" applyAlignment="1">
      <alignment horizontal="left" vertical="center" wrapText="1"/>
    </xf>
    <xf numFmtId="49" fontId="4" fillId="2" borderId="3" xfId="4" applyNumberFormat="1" applyFont="1" applyFill="1" applyBorder="1" applyAlignment="1">
      <alignment horizontal="center" vertical="center" wrapText="1"/>
    </xf>
    <xf numFmtId="17" fontId="5" fillId="2" borderId="3" xfId="4" applyNumberFormat="1" applyFont="1" applyFill="1" applyBorder="1" applyAlignment="1">
      <alignment horizontal="center" vertical="center" wrapText="1"/>
    </xf>
    <xf numFmtId="17" fontId="5" fillId="2" borderId="4" xfId="4" applyNumberFormat="1" applyFont="1" applyFill="1" applyBorder="1" applyAlignment="1">
      <alignment horizontal="center" vertical="center" wrapText="1"/>
    </xf>
    <xf numFmtId="41" fontId="2" fillId="0" borderId="0" xfId="2" applyFont="1" applyAlignment="1">
      <alignment horizontal="left" vertical="center" wrapText="1"/>
    </xf>
    <xf numFmtId="165" fontId="2" fillId="0" borderId="0" xfId="5" applyNumberFormat="1" applyFont="1" applyFill="1" applyAlignment="1">
      <alignment horizontal="left" vertical="center" wrapText="1"/>
    </xf>
    <xf numFmtId="164" fontId="2" fillId="0" borderId="0" xfId="5" applyFont="1" applyFill="1" applyBorder="1" applyAlignment="1">
      <alignment horizontal="right" vertical="center" wrapText="1"/>
    </xf>
    <xf numFmtId="0" fontId="6" fillId="5" borderId="0" xfId="4" applyFont="1" applyFill="1" applyAlignment="1" applyProtection="1">
      <alignment horizontal="left" vertical="center" wrapText="1"/>
      <protection locked="0"/>
    </xf>
    <xf numFmtId="170" fontId="3" fillId="0" borderId="0" xfId="3" applyNumberFormat="1" applyFont="1" applyFill="1" applyBorder="1" applyAlignment="1">
      <alignment horizontal="right" vertical="center" wrapText="1"/>
    </xf>
    <xf numFmtId="0" fontId="3" fillId="7" borderId="0" xfId="4" applyFont="1" applyFill="1" applyAlignment="1">
      <alignment horizontal="left" vertical="center" wrapText="1"/>
    </xf>
    <xf numFmtId="3" fontId="3" fillId="7" borderId="0" xfId="4" applyNumberFormat="1" applyFont="1" applyFill="1" applyAlignment="1">
      <alignment horizontal="right" vertical="center" wrapText="1"/>
    </xf>
    <xf numFmtId="0" fontId="7" fillId="7" borderId="0" xfId="4" applyFont="1" applyFill="1" applyAlignment="1">
      <alignment horizontal="left" vertical="center" wrapText="1"/>
    </xf>
    <xf numFmtId="3" fontId="7" fillId="7" borderId="0" xfId="4" applyNumberFormat="1" applyFont="1" applyFill="1" applyAlignment="1">
      <alignment horizontal="right" vertical="center" wrapText="1"/>
    </xf>
    <xf numFmtId="0" fontId="7" fillId="0" borderId="0" xfId="4" applyFont="1" applyAlignment="1">
      <alignment horizontal="left" vertical="center" wrapText="1"/>
    </xf>
    <xf numFmtId="3" fontId="2" fillId="5" borderId="0" xfId="4" applyNumberFormat="1" applyFill="1" applyAlignment="1">
      <alignment horizontal="right" vertical="center" wrapText="1"/>
    </xf>
    <xf numFmtId="0" fontId="2" fillId="5" borderId="0" xfId="4" applyFill="1" applyAlignment="1">
      <alignment horizontal="left" vertical="center" wrapText="1"/>
    </xf>
    <xf numFmtId="0" fontId="6" fillId="5" borderId="0" xfId="4" applyFont="1" applyFill="1" applyAlignment="1" applyProtection="1">
      <alignment horizontal="left"/>
      <protection locked="0"/>
    </xf>
    <xf numFmtId="0" fontId="5" fillId="0" borderId="0" xfId="4" applyFont="1" applyAlignment="1">
      <alignment horizontal="left" vertical="center" wrapText="1"/>
    </xf>
    <xf numFmtId="3" fontId="5" fillId="0" borderId="0" xfId="4" applyNumberFormat="1" applyFont="1" applyAlignment="1">
      <alignment horizontal="right" vertical="center" wrapText="1"/>
    </xf>
    <xf numFmtId="165" fontId="2" fillId="0" borderId="0" xfId="5" applyNumberFormat="1" applyFont="1" applyFill="1" applyAlignment="1">
      <alignment horizontal="right" vertical="center" wrapText="1"/>
    </xf>
    <xf numFmtId="165" fontId="2" fillId="0" borderId="0" xfId="5" applyNumberFormat="1" applyFont="1" applyAlignment="1">
      <alignment horizontal="right" vertical="center" wrapText="1"/>
    </xf>
    <xf numFmtId="37" fontId="2" fillId="0" borderId="0" xfId="4" applyNumberFormat="1" applyAlignment="1">
      <alignment horizontal="right" vertical="center" wrapText="1"/>
    </xf>
    <xf numFmtId="171" fontId="2" fillId="0" borderId="0" xfId="7" applyNumberFormat="1" applyFont="1" applyBorder="1" applyAlignment="1">
      <alignment horizontal="right" vertical="center" wrapText="1"/>
    </xf>
    <xf numFmtId="165" fontId="2" fillId="0" borderId="0" xfId="5" applyNumberFormat="1" applyFont="1" applyBorder="1" applyAlignment="1">
      <alignment horizontal="right" vertical="center" wrapText="1"/>
    </xf>
    <xf numFmtId="171" fontId="2" fillId="0" borderId="0" xfId="7" applyNumberFormat="1" applyFont="1" applyFill="1" applyBorder="1" applyAlignment="1">
      <alignment horizontal="right" vertical="center" wrapText="1"/>
    </xf>
    <xf numFmtId="164" fontId="2" fillId="0" borderId="0" xfId="5" applyFont="1" applyBorder="1" applyAlignment="1">
      <alignment horizontal="right" vertical="center" wrapText="1"/>
    </xf>
    <xf numFmtId="165" fontId="9" fillId="0" borderId="0" xfId="7" applyNumberFormat="1" applyFont="1" applyFill="1" applyBorder="1" applyAlignment="1">
      <alignment horizontal="center"/>
    </xf>
    <xf numFmtId="165" fontId="9" fillId="0" borderId="0" xfId="7" quotePrefix="1" applyNumberFormat="1" applyFont="1" applyFill="1" applyBorder="1" applyAlignment="1">
      <alignment horizontal="center"/>
    </xf>
    <xf numFmtId="0" fontId="1" fillId="0" borderId="0" xfId="11"/>
    <xf numFmtId="37" fontId="13" fillId="4" borderId="0" xfId="9" applyNumberFormat="1" applyFont="1" applyFill="1" applyAlignment="1">
      <alignment vertical="center" wrapText="1"/>
    </xf>
    <xf numFmtId="0" fontId="6" fillId="4" borderId="0" xfId="9" applyFont="1" applyFill="1" applyAlignment="1">
      <alignment vertical="center" wrapText="1"/>
    </xf>
    <xf numFmtId="0" fontId="25" fillId="4" borderId="0" xfId="12" applyFont="1" applyFill="1" applyAlignment="1">
      <alignment vertical="center" wrapText="1"/>
    </xf>
    <xf numFmtId="170" fontId="25" fillId="4" borderId="0" xfId="12" applyNumberFormat="1" applyFont="1" applyFill="1" applyAlignment="1">
      <alignment vertical="center" wrapText="1"/>
    </xf>
    <xf numFmtId="0" fontId="3" fillId="4" borderId="0" xfId="6" applyFont="1" applyFill="1" applyAlignment="1" applyProtection="1">
      <alignment vertical="center"/>
      <protection locked="0"/>
    </xf>
    <xf numFmtId="0" fontId="3" fillId="0" borderId="0" xfId="6" applyFont="1" applyAlignment="1" applyProtection="1">
      <alignment vertical="center"/>
      <protection locked="0"/>
    </xf>
    <xf numFmtId="41" fontId="3" fillId="0" borderId="0" xfId="2" applyFont="1" applyAlignment="1" applyProtection="1">
      <alignment vertical="center"/>
      <protection locked="0"/>
    </xf>
    <xf numFmtId="165" fontId="6" fillId="0" borderId="0" xfId="5" applyNumberFormat="1" applyFont="1" applyAlignment="1">
      <alignment vertical="center" wrapText="1"/>
    </xf>
    <xf numFmtId="165" fontId="6" fillId="0" borderId="0" xfId="5" applyNumberFormat="1" applyFont="1" applyFill="1" applyAlignment="1">
      <alignment vertical="center" wrapText="1"/>
    </xf>
    <xf numFmtId="3" fontId="6" fillId="0" borderId="0" xfId="9" applyNumberFormat="1" applyFont="1" applyAlignment="1">
      <alignment vertical="center" wrapText="1"/>
    </xf>
    <xf numFmtId="164" fontId="6" fillId="0" borderId="0" xfId="5" applyFont="1" applyAlignment="1">
      <alignment vertical="center" wrapText="1"/>
    </xf>
    <xf numFmtId="169" fontId="17" fillId="0" borderId="0" xfId="3" applyNumberFormat="1" applyFont="1" applyFill="1" applyBorder="1" applyAlignment="1">
      <alignment vertical="center" wrapText="1"/>
    </xf>
    <xf numFmtId="164" fontId="6" fillId="0" borderId="0" xfId="5" applyFont="1" applyFill="1" applyBorder="1" applyAlignment="1">
      <alignment vertical="center" wrapText="1"/>
    </xf>
    <xf numFmtId="165" fontId="2" fillId="0" borderId="0" xfId="5" applyNumberFormat="1" applyFont="1" applyFill="1" applyBorder="1" applyAlignment="1">
      <alignment vertical="center" wrapText="1"/>
    </xf>
    <xf numFmtId="0" fontId="2" fillId="0" borderId="0" xfId="9" applyFont="1" applyAlignment="1">
      <alignment vertical="center" wrapText="1"/>
    </xf>
    <xf numFmtId="165" fontId="2" fillId="0" borderId="0" xfId="5" applyNumberFormat="1" applyFont="1" applyFill="1" applyAlignment="1">
      <alignment vertical="center" wrapText="1"/>
    </xf>
    <xf numFmtId="37" fontId="2" fillId="0" borderId="0" xfId="9" applyNumberFormat="1" applyFont="1" applyAlignment="1">
      <alignment vertical="center" wrapText="1"/>
    </xf>
    <xf numFmtId="0" fontId="25" fillId="0" borderId="0" xfId="12" applyFont="1" applyAlignment="1">
      <alignment vertical="center" wrapText="1"/>
    </xf>
    <xf numFmtId="170" fontId="25" fillId="0" borderId="0" xfId="12" applyNumberFormat="1" applyFont="1" applyAlignment="1">
      <alignment vertical="center" wrapText="1"/>
    </xf>
    <xf numFmtId="0" fontId="2" fillId="0" borderId="0" xfId="6" applyAlignment="1" applyProtection="1">
      <alignment vertical="center"/>
      <protection locked="0"/>
    </xf>
    <xf numFmtId="165" fontId="13" fillId="4" borderId="0" xfId="5" applyNumberFormat="1" applyFont="1" applyFill="1" applyBorder="1" applyAlignment="1">
      <alignment vertical="center" wrapText="1"/>
    </xf>
    <xf numFmtId="0" fontId="25" fillId="4" borderId="0" xfId="12" applyFont="1" applyFill="1" applyAlignment="1">
      <alignment horizontal="left" vertical="center" wrapText="1"/>
    </xf>
    <xf numFmtId="0" fontId="2" fillId="4" borderId="0" xfId="6" applyFill="1" applyAlignment="1" applyProtection="1">
      <alignment vertical="center"/>
      <protection locked="0"/>
    </xf>
    <xf numFmtId="0" fontId="6" fillId="4" borderId="0" xfId="9" applyFont="1" applyFill="1" applyAlignment="1">
      <alignment horizontal="left" vertical="center" wrapText="1" indent="1"/>
    </xf>
    <xf numFmtId="169" fontId="17" fillId="4" borderId="0" xfId="3" applyNumberFormat="1" applyFont="1" applyFill="1" applyBorder="1" applyAlignment="1">
      <alignment vertical="center" wrapText="1"/>
    </xf>
    <xf numFmtId="0" fontId="6" fillId="0" borderId="0" xfId="9" applyFont="1"/>
    <xf numFmtId="0" fontId="2" fillId="0" borderId="0" xfId="6" applyAlignment="1" applyProtection="1">
      <alignment horizontal="left"/>
      <protection locked="0"/>
    </xf>
    <xf numFmtId="0" fontId="13" fillId="4" borderId="0" xfId="9" applyFont="1" applyFill="1" applyAlignment="1">
      <alignment horizontal="left" vertical="center" wrapText="1" indent="1"/>
    </xf>
    <xf numFmtId="0" fontId="25" fillId="4" borderId="0" xfId="12" applyFont="1" applyFill="1" applyAlignment="1">
      <alignment horizontal="left" vertical="center" wrapText="1" indent="1"/>
    </xf>
    <xf numFmtId="0" fontId="17" fillId="4" borderId="0" xfId="9" applyFont="1" applyFill="1" applyAlignment="1">
      <alignment vertical="center" wrapText="1"/>
    </xf>
    <xf numFmtId="0" fontId="13" fillId="0" borderId="0" xfId="9" applyFont="1" applyAlignment="1">
      <alignment horizontal="left" vertical="center" wrapText="1" indent="1"/>
    </xf>
    <xf numFmtId="17" fontId="5" fillId="10" borderId="5" xfId="4" applyNumberFormat="1" applyFont="1" applyFill="1" applyBorder="1" applyAlignment="1">
      <alignment horizontal="right" vertical="center" wrapText="1"/>
    </xf>
    <xf numFmtId="0" fontId="6" fillId="0" borderId="6" xfId="4" applyFont="1" applyBorder="1" applyAlignment="1" applyProtection="1">
      <alignment horizontal="left" vertical="center" wrapText="1"/>
      <protection locked="0"/>
    </xf>
    <xf numFmtId="0" fontId="5" fillId="9" borderId="2" xfId="4" applyFont="1" applyFill="1" applyBorder="1" applyAlignment="1">
      <alignment horizontal="left" vertical="center" wrapText="1"/>
    </xf>
    <xf numFmtId="3" fontId="5" fillId="9" borderId="4" xfId="4" applyNumberFormat="1" applyFont="1" applyFill="1" applyBorder="1" applyAlignment="1">
      <alignment horizontal="right" vertical="center" wrapText="1"/>
    </xf>
    <xf numFmtId="0" fontId="5" fillId="9" borderId="14" xfId="4" applyFont="1" applyFill="1" applyBorder="1" applyAlignment="1">
      <alignment horizontal="left" vertical="center" wrapText="1"/>
    </xf>
    <xf numFmtId="3" fontId="5" fillId="9" borderId="15" xfId="4" applyNumberFormat="1" applyFont="1" applyFill="1" applyBorder="1" applyAlignment="1">
      <alignment horizontal="right" vertical="center" wrapText="1"/>
    </xf>
    <xf numFmtId="0" fontId="5" fillId="9" borderId="17" xfId="4" applyFont="1" applyFill="1" applyBorder="1" applyAlignment="1">
      <alignment horizontal="left" vertical="center" wrapText="1"/>
    </xf>
    <xf numFmtId="3" fontId="5" fillId="9" borderId="18" xfId="4" applyNumberFormat="1" applyFont="1" applyFill="1" applyBorder="1" applyAlignment="1">
      <alignment horizontal="right" vertical="center" wrapText="1"/>
    </xf>
    <xf numFmtId="4" fontId="2" fillId="0" borderId="0" xfId="4" applyNumberFormat="1" applyAlignment="1">
      <alignment horizontal="right" vertical="center" wrapText="1"/>
    </xf>
    <xf numFmtId="165" fontId="2" fillId="0" borderId="0" xfId="5" applyNumberFormat="1" applyAlignment="1">
      <alignment horizontal="right" vertical="center" wrapText="1"/>
    </xf>
    <xf numFmtId="0" fontId="26" fillId="0" borderId="0" xfId="4" applyFont="1" applyAlignment="1">
      <alignment horizontal="left" vertical="center" wrapText="1"/>
    </xf>
    <xf numFmtId="3" fontId="26" fillId="0" borderId="0" xfId="4" applyNumberFormat="1" applyFont="1" applyAlignment="1">
      <alignment horizontal="right" vertical="center" wrapText="1"/>
    </xf>
    <xf numFmtId="17" fontId="5" fillId="9" borderId="3" xfId="4" applyNumberFormat="1" applyFont="1" applyFill="1" applyBorder="1" applyAlignment="1">
      <alignment horizontal="center" vertical="center" wrapText="1"/>
    </xf>
    <xf numFmtId="164" fontId="2" fillId="0" borderId="0" xfId="5" applyAlignment="1">
      <alignment horizontal="right" vertical="center" wrapText="1"/>
    </xf>
    <xf numFmtId="166" fontId="3" fillId="0" borderId="0" xfId="14" applyFont="1" applyAlignment="1">
      <alignment horizontal="right" vertical="center" wrapText="1"/>
    </xf>
    <xf numFmtId="165" fontId="2" fillId="0" borderId="0" xfId="5" applyNumberFormat="1" applyAlignment="1">
      <alignment horizontal="left" vertical="center" wrapText="1"/>
    </xf>
    <xf numFmtId="0" fontId="27" fillId="0" borderId="0" xfId="9" applyFont="1" applyAlignment="1">
      <alignment vertical="center" wrapText="1"/>
    </xf>
    <xf numFmtId="165" fontId="28" fillId="0" borderId="0" xfId="7" quotePrefix="1" applyNumberFormat="1" applyFont="1" applyAlignment="1">
      <alignment horizontal="center"/>
    </xf>
    <xf numFmtId="164" fontId="11" fillId="0" borderId="0" xfId="7" applyNumberFormat="1" applyFont="1" applyAlignment="1">
      <alignment horizontal="right"/>
    </xf>
    <xf numFmtId="165" fontId="29" fillId="0" borderId="0" xfId="7" applyNumberFormat="1" applyFont="1"/>
    <xf numFmtId="0" fontId="30" fillId="0" borderId="0" xfId="4" applyFont="1" applyAlignment="1">
      <alignment horizontal="right" vertical="center" wrapText="1"/>
    </xf>
    <xf numFmtId="17" fontId="5" fillId="10" borderId="5" xfId="4" applyNumberFormat="1" applyFont="1" applyFill="1" applyBorder="1" applyAlignment="1">
      <alignment horizontal="center" vertical="center" wrapText="1"/>
    </xf>
    <xf numFmtId="3" fontId="2" fillId="0" borderId="11" xfId="4" applyNumberFormat="1" applyBorder="1" applyAlignment="1">
      <alignment horizontal="right" vertical="center" wrapText="1"/>
    </xf>
    <xf numFmtId="0" fontId="2" fillId="0" borderId="6" xfId="4" applyBorder="1" applyAlignment="1" applyProtection="1">
      <alignment horizontal="left" vertical="center" wrapText="1"/>
      <protection locked="0"/>
    </xf>
    <xf numFmtId="165" fontId="2" fillId="0" borderId="11" xfId="5" applyNumberFormat="1" applyFont="1" applyFill="1" applyBorder="1" applyAlignment="1">
      <alignment horizontal="right" vertical="center" wrapText="1"/>
    </xf>
    <xf numFmtId="164" fontId="2" fillId="0" borderId="0" xfId="5" applyFont="1" applyAlignment="1">
      <alignment horizontal="left" vertical="center" wrapText="1"/>
    </xf>
    <xf numFmtId="0" fontId="6" fillId="0" borderId="6" xfId="4" applyFont="1" applyBorder="1" applyAlignment="1" applyProtection="1">
      <alignment horizontal="left" vertical="center"/>
      <protection locked="0"/>
    </xf>
    <xf numFmtId="164" fontId="2" fillId="0" borderId="11" xfId="5" applyFont="1" applyFill="1" applyBorder="1" applyAlignment="1">
      <alignment horizontal="right" vertical="center" wrapText="1"/>
    </xf>
    <xf numFmtId="0" fontId="6" fillId="0" borderId="0" xfId="4" applyFont="1" applyAlignment="1" applyProtection="1">
      <alignment horizontal="left" vertical="center"/>
      <protection locked="0"/>
    </xf>
    <xf numFmtId="3" fontId="5" fillId="9" borderId="5" xfId="4" applyNumberFormat="1" applyFont="1" applyFill="1" applyBorder="1" applyAlignment="1">
      <alignment horizontal="right" vertical="center" wrapText="1"/>
    </xf>
    <xf numFmtId="171" fontId="2" fillId="0" borderId="11" xfId="19" applyNumberFormat="1" applyFont="1" applyFill="1" applyBorder="1" applyAlignment="1">
      <alignment horizontal="right" vertical="center" wrapText="1"/>
    </xf>
    <xf numFmtId="171" fontId="2" fillId="0" borderId="10" xfId="19" applyNumberFormat="1" applyFont="1" applyBorder="1" applyAlignment="1">
      <alignment horizontal="right" vertical="center" wrapText="1"/>
    </xf>
    <xf numFmtId="3" fontId="3" fillId="0" borderId="11" xfId="4" applyNumberFormat="1" applyFont="1" applyBorder="1" applyAlignment="1">
      <alignment horizontal="right" vertical="center" wrapText="1"/>
    </xf>
    <xf numFmtId="171" fontId="3" fillId="0" borderId="0" xfId="20" applyNumberFormat="1" applyFont="1" applyAlignment="1">
      <alignment horizontal="right" vertical="center" wrapText="1"/>
    </xf>
    <xf numFmtId="164" fontId="2" fillId="0" borderId="21" xfId="5" applyFont="1" applyFill="1" applyBorder="1" applyAlignment="1">
      <alignment horizontal="right" vertical="center" wrapText="1"/>
    </xf>
    <xf numFmtId="172" fontId="6" fillId="0" borderId="0" xfId="5" applyNumberFormat="1" applyFont="1" applyAlignment="1">
      <alignment vertical="center" wrapText="1"/>
    </xf>
    <xf numFmtId="165" fontId="2" fillId="0" borderId="11" xfId="4" applyNumberFormat="1" applyBorder="1" applyAlignment="1">
      <alignment horizontal="right" vertical="center" wrapText="1"/>
    </xf>
    <xf numFmtId="165" fontId="26" fillId="0" borderId="0" xfId="4" applyNumberFormat="1" applyFont="1" applyAlignment="1">
      <alignment horizontal="right" vertical="center" wrapText="1"/>
    </xf>
    <xf numFmtId="0" fontId="2" fillId="0" borderId="6" xfId="6" applyBorder="1" applyAlignment="1" applyProtection="1">
      <alignment vertical="center"/>
      <protection locked="0"/>
    </xf>
    <xf numFmtId="3" fontId="2" fillId="0" borderId="20" xfId="4" applyNumberFormat="1" applyBorder="1" applyAlignment="1">
      <alignment horizontal="right" vertical="center" wrapText="1"/>
    </xf>
    <xf numFmtId="165" fontId="31" fillId="0" borderId="11" xfId="5" applyNumberFormat="1" applyFont="1" applyFill="1" applyBorder="1" applyAlignment="1" applyProtection="1">
      <alignment horizontal="right" vertical="center"/>
    </xf>
    <xf numFmtId="166" fontId="3" fillId="0" borderId="0" xfId="21" applyFont="1" applyAlignment="1">
      <alignment horizontal="right" vertical="center" wrapText="1"/>
    </xf>
    <xf numFmtId="164" fontId="27" fillId="0" borderId="0" xfId="5" applyFont="1" applyAlignment="1">
      <alignment vertical="center" wrapText="1"/>
    </xf>
    <xf numFmtId="0" fontId="36" fillId="0" borderId="25" xfId="0" applyFont="1" applyBorder="1" applyAlignment="1">
      <alignment vertical="center" wrapText="1"/>
    </xf>
    <xf numFmtId="0" fontId="37" fillId="0" borderId="25" xfId="0" applyFont="1" applyBorder="1" applyAlignment="1">
      <alignment vertical="center" wrapText="1"/>
    </xf>
    <xf numFmtId="0" fontId="38" fillId="11" borderId="22" xfId="0" applyFont="1" applyFill="1" applyBorder="1" applyAlignment="1">
      <alignment vertical="center"/>
    </xf>
    <xf numFmtId="0" fontId="38" fillId="0" borderId="22" xfId="0" applyFont="1" applyBorder="1" applyAlignment="1">
      <alignment vertical="center" wrapText="1"/>
    </xf>
    <xf numFmtId="0" fontId="37" fillId="0" borderId="28" xfId="0" applyFont="1" applyBorder="1" applyAlignment="1">
      <alignment vertical="center"/>
    </xf>
    <xf numFmtId="0" fontId="36" fillId="0" borderId="28" xfId="0" applyFont="1" applyBorder="1" applyAlignment="1">
      <alignment horizontal="right" vertical="center" wrapText="1"/>
    </xf>
    <xf numFmtId="0" fontId="36" fillId="0" borderId="29" xfId="0" applyFont="1" applyBorder="1" applyAlignment="1">
      <alignment horizontal="center" vertical="center" wrapText="1"/>
    </xf>
    <xf numFmtId="0" fontId="37" fillId="0" borderId="25" xfId="0" applyFont="1" applyBorder="1" applyAlignment="1">
      <alignment vertical="center"/>
    </xf>
    <xf numFmtId="0" fontId="36" fillId="0" borderId="25" xfId="0" applyFont="1" applyBorder="1" applyAlignment="1">
      <alignment horizontal="right" vertical="center" wrapText="1"/>
    </xf>
    <xf numFmtId="0" fontId="36" fillId="0" borderId="25" xfId="0" applyFont="1" applyBorder="1" applyAlignment="1">
      <alignment horizontal="center" vertical="center" wrapText="1"/>
    </xf>
    <xf numFmtId="0" fontId="39" fillId="0" borderId="22" xfId="0" applyFont="1" applyBorder="1" applyAlignment="1">
      <alignment horizontal="right" vertical="center" wrapText="1"/>
    </xf>
    <xf numFmtId="0" fontId="36" fillId="0" borderId="22" xfId="0" applyFont="1" applyBorder="1" applyAlignment="1">
      <alignment horizontal="right" vertical="center" wrapText="1"/>
    </xf>
    <xf numFmtId="0" fontId="39" fillId="0" borderId="27" xfId="0" applyFont="1" applyBorder="1" applyAlignment="1">
      <alignment horizontal="center" vertical="center" wrapText="1"/>
    </xf>
    <xf numFmtId="0" fontId="36" fillId="0" borderId="25" xfId="0" applyFont="1" applyBorder="1" applyAlignment="1">
      <alignment vertical="center"/>
    </xf>
    <xf numFmtId="0" fontId="37" fillId="0" borderId="22" xfId="0" applyFont="1" applyBorder="1" applyAlignment="1">
      <alignment vertical="center"/>
    </xf>
    <xf numFmtId="0" fontId="37" fillId="0" borderId="25" xfId="0" applyFont="1" applyBorder="1" applyAlignment="1">
      <alignment horizontal="center" vertical="center" wrapText="1"/>
    </xf>
    <xf numFmtId="0" fontId="37" fillId="0" borderId="29" xfId="0" applyFont="1" applyBorder="1" applyAlignment="1">
      <alignment vertical="center"/>
    </xf>
    <xf numFmtId="166" fontId="3" fillId="0" borderId="0" xfId="14" applyFont="1" applyFill="1" applyAlignment="1">
      <alignment horizontal="right" vertical="center" wrapText="1"/>
    </xf>
    <xf numFmtId="182" fontId="36" fillId="11" borderId="29" xfId="0" applyNumberFormat="1" applyFont="1" applyFill="1" applyBorder="1" applyAlignment="1">
      <alignment horizontal="right" vertical="center" wrapText="1"/>
    </xf>
    <xf numFmtId="0" fontId="6" fillId="12" borderId="0" xfId="9" applyFont="1" applyFill="1" applyAlignment="1">
      <alignment vertical="center"/>
    </xf>
    <xf numFmtId="0" fontId="32" fillId="8" borderId="0" xfId="0" applyFont="1" applyFill="1" applyAlignment="1">
      <alignment vertical="center"/>
    </xf>
    <xf numFmtId="0" fontId="41" fillId="8" borderId="0" xfId="0" applyFont="1" applyFill="1" applyAlignment="1">
      <alignment horizontal="justify" vertical="center"/>
    </xf>
    <xf numFmtId="0" fontId="39" fillId="0" borderId="22" xfId="0" applyFont="1" applyBorder="1" applyAlignment="1">
      <alignment vertical="center"/>
    </xf>
    <xf numFmtId="0" fontId="40" fillId="0" borderId="22" xfId="0" applyFont="1" applyBorder="1" applyAlignment="1">
      <alignment horizontal="right" vertical="center" wrapText="1"/>
    </xf>
    <xf numFmtId="182" fontId="40" fillId="11" borderId="22" xfId="0" applyNumberFormat="1" applyFont="1" applyFill="1" applyBorder="1" applyAlignment="1">
      <alignment horizontal="right" vertical="center" wrapText="1"/>
    </xf>
    <xf numFmtId="0" fontId="40" fillId="0" borderId="22" xfId="0" applyFont="1" applyBorder="1" applyAlignment="1">
      <alignment vertical="center"/>
    </xf>
    <xf numFmtId="0" fontId="39" fillId="0" borderId="22" xfId="0" applyFont="1" applyBorder="1" applyAlignment="1">
      <alignment horizontal="center" vertical="center" wrapText="1"/>
    </xf>
    <xf numFmtId="0" fontId="37" fillId="0" borderId="22" xfId="0" applyFont="1" applyBorder="1" applyAlignment="1">
      <alignment vertical="center" wrapText="1"/>
    </xf>
    <xf numFmtId="0" fontId="42" fillId="0" borderId="0" xfId="0" applyFont="1" applyAlignment="1">
      <alignment vertical="center"/>
    </xf>
    <xf numFmtId="9" fontId="6" fillId="0" borderId="0" xfId="3" applyFont="1" applyAlignment="1">
      <alignment vertical="center" wrapText="1"/>
    </xf>
    <xf numFmtId="169" fontId="2" fillId="0" borderId="8" xfId="44" applyNumberFormat="1" applyFill="1" applyBorder="1" applyAlignment="1">
      <alignment horizontal="right" vertical="center" wrapText="1"/>
    </xf>
    <xf numFmtId="172" fontId="2" fillId="0" borderId="7" xfId="44" applyNumberFormat="1" applyFill="1" applyBorder="1" applyAlignment="1">
      <alignment horizontal="right" vertical="center" wrapText="1"/>
    </xf>
    <xf numFmtId="169" fontId="2" fillId="0" borderId="9" xfId="44" applyNumberFormat="1" applyBorder="1" applyAlignment="1">
      <alignment horizontal="right" vertical="center" wrapText="1"/>
    </xf>
    <xf numFmtId="172" fontId="2" fillId="0" borderId="7" xfId="44" applyNumberFormat="1" applyBorder="1" applyAlignment="1">
      <alignment horizontal="right" vertical="center" wrapText="1"/>
    </xf>
    <xf numFmtId="169" fontId="2" fillId="0" borderId="9" xfId="44" applyNumberFormat="1" applyFill="1" applyBorder="1" applyAlignment="1">
      <alignment horizontal="right" vertical="center" wrapText="1"/>
    </xf>
    <xf numFmtId="169" fontId="2" fillId="0" borderId="10" xfId="44" applyNumberFormat="1" applyFill="1" applyBorder="1" applyAlignment="1">
      <alignment horizontal="right" vertical="center" wrapText="1"/>
    </xf>
    <xf numFmtId="169" fontId="2" fillId="0" borderId="10" xfId="44" applyNumberFormat="1" applyBorder="1" applyAlignment="1">
      <alignment horizontal="right" vertical="center" wrapText="1"/>
    </xf>
    <xf numFmtId="170" fontId="2" fillId="0" borderId="7" xfId="44" applyNumberFormat="1" applyBorder="1" applyAlignment="1">
      <alignment horizontal="right" vertical="center" wrapText="1"/>
    </xf>
    <xf numFmtId="169" fontId="5" fillId="10" borderId="5" xfId="44" applyNumberFormat="1" applyFont="1" applyFill="1" applyBorder="1" applyAlignment="1">
      <alignment horizontal="right" vertical="center" wrapText="1"/>
    </xf>
    <xf numFmtId="172" fontId="5" fillId="9" borderId="3" xfId="44" applyNumberFormat="1" applyFont="1" applyFill="1" applyBorder="1" applyAlignment="1">
      <alignment horizontal="right" vertical="center" wrapText="1"/>
    </xf>
    <xf numFmtId="169" fontId="2" fillId="0" borderId="8" xfId="44" applyNumberFormat="1" applyFont="1" applyBorder="1" applyAlignment="1">
      <alignment horizontal="right" vertical="center" wrapText="1"/>
    </xf>
    <xf numFmtId="172" fontId="2" fillId="0" borderId="7" xfId="44" applyNumberFormat="1" applyFont="1" applyBorder="1" applyAlignment="1">
      <alignment horizontal="right" vertical="center" wrapText="1"/>
    </xf>
    <xf numFmtId="169" fontId="2" fillId="0" borderId="13" xfId="44" applyNumberFormat="1" applyBorder="1" applyAlignment="1">
      <alignment horizontal="right" vertical="center" wrapText="1"/>
    </xf>
    <xf numFmtId="169" fontId="2" fillId="0" borderId="0" xfId="44" applyNumberFormat="1" applyAlignment="1">
      <alignment horizontal="right" vertical="center" wrapText="1"/>
    </xf>
    <xf numFmtId="172" fontId="5" fillId="9" borderId="16" xfId="44" applyNumberFormat="1" applyFont="1" applyFill="1" applyBorder="1" applyAlignment="1">
      <alignment horizontal="right" vertical="center" wrapText="1"/>
    </xf>
    <xf numFmtId="169" fontId="5" fillId="10" borderId="0" xfId="44" applyNumberFormat="1" applyFont="1" applyFill="1" applyAlignment="1">
      <alignment horizontal="right" vertical="center" wrapText="1"/>
    </xf>
    <xf numFmtId="172" fontId="5" fillId="9" borderId="19" xfId="44" applyNumberFormat="1" applyFont="1" applyFill="1" applyBorder="1" applyAlignment="1">
      <alignment horizontal="right" vertical="center" wrapText="1"/>
    </xf>
    <xf numFmtId="169" fontId="3" fillId="0" borderId="13" xfId="44" applyNumberFormat="1" applyFont="1" applyBorder="1" applyAlignment="1">
      <alignment horizontal="right" vertical="center" wrapText="1"/>
    </xf>
    <xf numFmtId="3" fontId="3" fillId="0" borderId="7" xfId="44" applyNumberFormat="1" applyFont="1" applyFill="1" applyBorder="1" applyAlignment="1">
      <alignment horizontal="right" vertical="center" wrapText="1"/>
    </xf>
    <xf numFmtId="3" fontId="3" fillId="0" borderId="11" xfId="44" applyNumberFormat="1" applyFont="1" applyFill="1" applyBorder="1" applyAlignment="1">
      <alignment horizontal="right" vertical="center" wrapText="1"/>
    </xf>
    <xf numFmtId="169" fontId="2" fillId="0" borderId="8" xfId="44" applyNumberFormat="1" applyBorder="1" applyAlignment="1">
      <alignment horizontal="right" vertical="center" wrapText="1"/>
    </xf>
    <xf numFmtId="169" fontId="2" fillId="0" borderId="12" xfId="44" applyNumberFormat="1" applyFill="1" applyBorder="1" applyAlignment="1">
      <alignment horizontal="right" vertical="center" wrapText="1"/>
    </xf>
    <xf numFmtId="169" fontId="2" fillId="0" borderId="12" xfId="44" applyNumberFormat="1" applyBorder="1" applyAlignment="1">
      <alignment horizontal="right" vertical="center" wrapText="1"/>
    </xf>
    <xf numFmtId="165" fontId="27" fillId="0" borderId="0" xfId="5" applyNumberFormat="1" applyFont="1" applyAlignment="1">
      <alignment vertical="center" wrapText="1"/>
    </xf>
    <xf numFmtId="4" fontId="2" fillId="0" borderId="11" xfId="4" applyNumberFormat="1" applyBorder="1" applyAlignment="1">
      <alignment horizontal="right" vertical="center" wrapText="1"/>
    </xf>
    <xf numFmtId="169" fontId="17" fillId="0" borderId="0" xfId="44" applyNumberFormat="1" applyFont="1" applyFill="1" applyBorder="1" applyAlignment="1">
      <alignment vertical="center" wrapText="1"/>
    </xf>
    <xf numFmtId="181" fontId="6" fillId="0" borderId="0" xfId="1" applyNumberFormat="1" applyFont="1" applyAlignment="1">
      <alignment vertical="center" wrapText="1"/>
    </xf>
    <xf numFmtId="0" fontId="41" fillId="0" borderId="0" xfId="0" applyFont="1" applyAlignment="1">
      <alignment horizontal="justify" vertical="center"/>
    </xf>
    <xf numFmtId="0" fontId="35" fillId="0" borderId="0" xfId="0" applyFont="1" applyAlignment="1">
      <alignment vertical="center"/>
    </xf>
    <xf numFmtId="0" fontId="39" fillId="11" borderId="27" xfId="0" applyFont="1" applyFill="1" applyBorder="1" applyAlignment="1">
      <alignment horizontal="center" vertical="center"/>
    </xf>
    <xf numFmtId="0" fontId="10" fillId="0" borderId="22" xfId="0" applyFont="1" applyBorder="1" applyAlignment="1">
      <alignment vertical="center"/>
    </xf>
    <xf numFmtId="0" fontId="37" fillId="0" borderId="22" xfId="0" applyFont="1" applyBorder="1" applyAlignment="1">
      <alignment horizontal="center" vertical="center" wrapText="1"/>
    </xf>
    <xf numFmtId="0" fontId="40" fillId="0" borderId="22" xfId="0" applyFont="1" applyBorder="1" applyAlignment="1">
      <alignment vertical="center" wrapText="1"/>
    </xf>
    <xf numFmtId="0" fontId="43" fillId="0" borderId="22" xfId="0" applyFont="1" applyBorder="1" applyAlignment="1">
      <alignment horizontal="center" vertical="center" wrapText="1"/>
    </xf>
    <xf numFmtId="181" fontId="0" fillId="0" borderId="0" xfId="0" applyNumberFormat="1"/>
    <xf numFmtId="43" fontId="0" fillId="0" borderId="0" xfId="1" applyFont="1"/>
    <xf numFmtId="41" fontId="33" fillId="0" borderId="0" xfId="2" applyFont="1"/>
    <xf numFmtId="0" fontId="44" fillId="0" borderId="25" xfId="0" applyFont="1" applyBorder="1" applyAlignment="1">
      <alignment vertical="center" wrapText="1"/>
    </xf>
    <xf numFmtId="165" fontId="2" fillId="0" borderId="0" xfId="5" applyNumberFormat="1" applyFill="1" applyAlignment="1">
      <alignment horizontal="right" vertical="center" wrapText="1"/>
    </xf>
    <xf numFmtId="181" fontId="13" fillId="4" borderId="0" xfId="1" applyNumberFormat="1" applyFont="1" applyFill="1" applyAlignment="1">
      <alignment vertical="center" wrapText="1"/>
    </xf>
    <xf numFmtId="0" fontId="34" fillId="0" borderId="0" xfId="0" applyFont="1" applyAlignment="1">
      <alignment vertical="center"/>
    </xf>
    <xf numFmtId="0" fontId="44" fillId="0" borderId="22" xfId="0" applyFont="1" applyBorder="1" applyAlignment="1">
      <alignment vertical="center" wrapText="1"/>
    </xf>
    <xf numFmtId="0" fontId="45" fillId="11" borderId="30" xfId="0" applyFont="1" applyFill="1" applyBorder="1" applyAlignment="1">
      <alignment horizontal="center" vertical="center" wrapText="1"/>
    </xf>
    <xf numFmtId="0" fontId="45" fillId="0" borderId="30" xfId="0" applyFont="1" applyBorder="1" applyAlignment="1">
      <alignment horizontal="center" vertical="center" wrapText="1"/>
    </xf>
    <xf numFmtId="0" fontId="45" fillId="0" borderId="24" xfId="0" applyFont="1" applyBorder="1" applyAlignment="1">
      <alignment vertical="center" wrapText="1"/>
    </xf>
    <xf numFmtId="0" fontId="45" fillId="11" borderId="24" xfId="0" applyFont="1" applyFill="1" applyBorder="1" applyAlignment="1">
      <alignment horizontal="right" vertical="center" wrapText="1"/>
    </xf>
    <xf numFmtId="0" fontId="10" fillId="0" borderId="24" xfId="0" applyFont="1" applyBorder="1" applyAlignment="1">
      <alignment vertical="center" wrapText="1"/>
    </xf>
    <xf numFmtId="0" fontId="45" fillId="0" borderId="25" xfId="0" applyFont="1" applyBorder="1" applyAlignment="1">
      <alignment vertical="center" wrapText="1"/>
    </xf>
    <xf numFmtId="0" fontId="46" fillId="0" borderId="25" xfId="0" applyFont="1" applyBorder="1" applyAlignment="1">
      <alignment vertical="center" wrapText="1"/>
    </xf>
    <xf numFmtId="0" fontId="45" fillId="0" borderId="22" xfId="0" applyFont="1" applyBorder="1" applyAlignment="1">
      <alignment vertical="center" wrapText="1"/>
    </xf>
    <xf numFmtId="0" fontId="45" fillId="0" borderId="23" xfId="0" applyFont="1" applyBorder="1" applyAlignment="1">
      <alignment vertical="center" wrapText="1"/>
    </xf>
    <xf numFmtId="0" fontId="45" fillId="0" borderId="28" xfId="0" applyFont="1" applyBorder="1" applyAlignment="1">
      <alignment vertical="center" wrapText="1"/>
    </xf>
    <xf numFmtId="0" fontId="46" fillId="0" borderId="0" xfId="0" applyFont="1" applyAlignment="1">
      <alignment vertical="center" wrapText="1"/>
    </xf>
    <xf numFmtId="0" fontId="48" fillId="0" borderId="26" xfId="0" applyFont="1" applyBorder="1" applyAlignment="1">
      <alignment vertical="center" wrapText="1"/>
    </xf>
    <xf numFmtId="182" fontId="44" fillId="11" borderId="25" xfId="0" applyNumberFormat="1" applyFont="1" applyFill="1" applyBorder="1" applyAlignment="1">
      <alignment horizontal="right" vertical="center" wrapText="1"/>
    </xf>
    <xf numFmtId="182" fontId="45" fillId="11" borderId="25" xfId="0" applyNumberFormat="1" applyFont="1" applyFill="1" applyBorder="1" applyAlignment="1">
      <alignment horizontal="right" vertical="center" wrapText="1"/>
    </xf>
    <xf numFmtId="182" fontId="45" fillId="0" borderId="25" xfId="0" applyNumberFormat="1" applyFont="1" applyBorder="1" applyAlignment="1">
      <alignment horizontal="right" vertical="center" wrapText="1"/>
    </xf>
    <xf numFmtId="182" fontId="44" fillId="0" borderId="25" xfId="0" applyNumberFormat="1" applyFont="1" applyBorder="1" applyAlignment="1">
      <alignment horizontal="right" vertical="center" wrapText="1"/>
    </xf>
    <xf numFmtId="182" fontId="45" fillId="11" borderId="22" xfId="0" applyNumberFormat="1" applyFont="1" applyFill="1" applyBorder="1" applyAlignment="1">
      <alignment horizontal="right" vertical="center" wrapText="1"/>
    </xf>
    <xf numFmtId="182" fontId="45" fillId="0" borderId="22" xfId="0" applyNumberFormat="1" applyFont="1" applyBorder="1" applyAlignment="1">
      <alignment horizontal="right" vertical="center" wrapText="1"/>
    </xf>
    <xf numFmtId="182" fontId="45" fillId="11" borderId="24" xfId="0" applyNumberFormat="1" applyFont="1" applyFill="1" applyBorder="1" applyAlignment="1">
      <alignment vertical="center" wrapText="1"/>
    </xf>
    <xf numFmtId="182" fontId="45" fillId="0" borderId="24" xfId="0" applyNumberFormat="1" applyFont="1" applyBorder="1" applyAlignment="1">
      <alignment vertical="center" wrapText="1"/>
    </xf>
    <xf numFmtId="182" fontId="45" fillId="11" borderId="31" xfId="0" applyNumberFormat="1" applyFont="1" applyFill="1" applyBorder="1" applyAlignment="1">
      <alignment horizontal="center" vertical="center" wrapText="1"/>
    </xf>
    <xf numFmtId="182" fontId="45" fillId="0" borderId="31" xfId="0" applyNumberFormat="1" applyFont="1" applyBorder="1" applyAlignment="1">
      <alignment horizontal="center" vertical="center" wrapText="1"/>
    </xf>
    <xf numFmtId="182" fontId="47" fillId="11" borderId="26" xfId="0" applyNumberFormat="1" applyFont="1" applyFill="1" applyBorder="1" applyAlignment="1">
      <alignment horizontal="right" vertical="center" wrapText="1"/>
    </xf>
    <xf numFmtId="182" fontId="47" fillId="0" borderId="26" xfId="0" applyNumberFormat="1" applyFont="1" applyBorder="1" applyAlignment="1">
      <alignment horizontal="right" vertical="center" wrapText="1"/>
    </xf>
    <xf numFmtId="182" fontId="44" fillId="11" borderId="32" xfId="0" applyNumberFormat="1" applyFont="1" applyFill="1" applyBorder="1" applyAlignment="1">
      <alignment vertical="center" wrapText="1"/>
    </xf>
    <xf numFmtId="182" fontId="44" fillId="0" borderId="32" xfId="0" applyNumberFormat="1" applyFont="1" applyBorder="1" applyAlignment="1">
      <alignment vertical="center" wrapText="1"/>
    </xf>
    <xf numFmtId="182" fontId="44" fillId="11" borderId="33" xfId="0" applyNumberFormat="1" applyFont="1" applyFill="1" applyBorder="1" applyAlignment="1">
      <alignment vertical="center" wrapText="1"/>
    </xf>
    <xf numFmtId="182" fontId="44" fillId="0" borderId="33" xfId="0" applyNumberFormat="1" applyFont="1" applyBorder="1" applyAlignment="1">
      <alignment vertical="center" wrapText="1"/>
    </xf>
    <xf numFmtId="182" fontId="47" fillId="11" borderId="26" xfId="0" applyNumberFormat="1" applyFont="1" applyFill="1" applyBorder="1" applyAlignment="1">
      <alignment vertical="center" wrapText="1"/>
    </xf>
    <xf numFmtId="182" fontId="47" fillId="0" borderId="26" xfId="0" applyNumberFormat="1" applyFont="1" applyBorder="1" applyAlignment="1">
      <alignment vertical="center" wrapText="1"/>
    </xf>
    <xf numFmtId="182" fontId="0" fillId="0" borderId="0" xfId="0" applyNumberFormat="1"/>
    <xf numFmtId="3" fontId="2" fillId="3" borderId="11" xfId="4" applyNumberFormat="1" applyFill="1" applyBorder="1" applyAlignment="1">
      <alignment horizontal="right" vertical="center" wrapText="1"/>
    </xf>
    <xf numFmtId="3" fontId="2" fillId="3" borderId="0" xfId="4" applyNumberFormat="1" applyFill="1" applyAlignment="1">
      <alignment horizontal="right" vertical="center" wrapText="1"/>
    </xf>
    <xf numFmtId="182" fontId="39" fillId="11" borderId="22" xfId="0" applyNumberFormat="1" applyFont="1" applyFill="1" applyBorder="1" applyAlignment="1">
      <alignment horizontal="right" vertical="center" wrapText="1"/>
    </xf>
    <xf numFmtId="182" fontId="36" fillId="11" borderId="28" xfId="0" applyNumberFormat="1" applyFont="1" applyFill="1" applyBorder="1" applyAlignment="1">
      <alignment horizontal="right" vertical="center" wrapText="1"/>
    </xf>
    <xf numFmtId="182" fontId="36" fillId="11" borderId="25" xfId="0" applyNumberFormat="1" applyFont="1" applyFill="1" applyBorder="1" applyAlignment="1">
      <alignment horizontal="right" vertical="center" wrapText="1"/>
    </xf>
    <xf numFmtId="182" fontId="36" fillId="11" borderId="22" xfId="0" applyNumberFormat="1" applyFont="1" applyFill="1" applyBorder="1" applyAlignment="1">
      <alignment horizontal="right" vertical="center" wrapText="1"/>
    </xf>
    <xf numFmtId="182" fontId="36" fillId="11" borderId="25" xfId="0" applyNumberFormat="1" applyFont="1" applyFill="1" applyBorder="1" applyAlignment="1">
      <alignment vertical="center" wrapText="1"/>
    </xf>
    <xf numFmtId="0" fontId="44" fillId="11" borderId="25" xfId="0" applyFont="1" applyFill="1" applyBorder="1" applyAlignment="1">
      <alignment horizontal="right" vertical="center" wrapText="1"/>
    </xf>
    <xf numFmtId="0" fontId="44" fillId="0" borderId="25" xfId="0" applyFont="1" applyBorder="1" applyAlignment="1">
      <alignment horizontal="right" vertical="center" wrapText="1"/>
    </xf>
    <xf numFmtId="182" fontId="44" fillId="13" borderId="25" xfId="0" applyNumberFormat="1" applyFont="1" applyFill="1" applyBorder="1" applyAlignment="1">
      <alignment horizontal="right" vertical="center" wrapText="1"/>
    </xf>
    <xf numFmtId="49" fontId="4" fillId="2" borderId="1" xfId="4" applyNumberFormat="1" applyFont="1" applyFill="1" applyBorder="1" applyAlignment="1">
      <alignment horizontal="center" vertical="center" wrapText="1"/>
    </xf>
    <xf numFmtId="49" fontId="4" fillId="2" borderId="0" xfId="4" applyNumberFormat="1" applyFont="1" applyFill="1" applyAlignment="1">
      <alignment horizontal="center" vertical="center" wrapText="1"/>
    </xf>
    <xf numFmtId="0" fontId="2" fillId="3" borderId="0" xfId="4" applyFill="1" applyAlignment="1">
      <alignment horizontal="left" vertical="center" wrapText="1"/>
    </xf>
    <xf numFmtId="0" fontId="2" fillId="0" borderId="0" xfId="4" applyAlignment="1">
      <alignment horizontal="left" vertical="center" wrapText="1"/>
    </xf>
    <xf numFmtId="0" fontId="3" fillId="0" borderId="0" xfId="4" applyFont="1" applyAlignment="1">
      <alignment horizontal="center" vertical="center" wrapText="1"/>
    </xf>
    <xf numFmtId="0" fontId="2" fillId="0" borderId="0" xfId="4" applyAlignment="1">
      <alignment horizontal="center" vertical="center" wrapText="1"/>
    </xf>
    <xf numFmtId="17" fontId="4" fillId="2" borderId="1" xfId="4" applyNumberFormat="1" applyFont="1" applyFill="1" applyBorder="1" applyAlignment="1">
      <alignment horizontal="center" vertical="center" wrapText="1"/>
    </xf>
    <xf numFmtId="17" fontId="4" fillId="2" borderId="0" xfId="4" applyNumberFormat="1" applyFont="1" applyFill="1" applyAlignment="1">
      <alignment horizontal="center" vertical="center" wrapText="1"/>
    </xf>
    <xf numFmtId="0" fontId="21" fillId="0" borderId="0" xfId="0" applyFont="1" applyAlignment="1">
      <alignment horizontal="left" vertical="center" wrapText="1"/>
    </xf>
    <xf numFmtId="0" fontId="21" fillId="0" borderId="0" xfId="0" applyFont="1" applyAlignment="1">
      <alignment horizontal="center" vertical="center" wrapText="1"/>
    </xf>
    <xf numFmtId="17" fontId="5" fillId="2" borderId="1" xfId="4" quotePrefix="1" applyNumberFormat="1" applyFont="1" applyFill="1" applyBorder="1" applyAlignment="1">
      <alignment horizontal="center" vertical="center" wrapText="1"/>
    </xf>
    <xf numFmtId="17" fontId="5" fillId="2" borderId="0" xfId="4" quotePrefix="1" applyNumberFormat="1" applyFont="1" applyFill="1" applyAlignment="1">
      <alignment horizontal="center" vertical="center" wrapText="1"/>
    </xf>
    <xf numFmtId="0" fontId="13" fillId="0" borderId="0" xfId="9" applyFont="1" applyAlignment="1">
      <alignment horizontal="center" vertical="center" wrapText="1"/>
    </xf>
    <xf numFmtId="17" fontId="5" fillId="2" borderId="1" xfId="4" applyNumberFormat="1" applyFont="1" applyFill="1" applyBorder="1" applyAlignment="1">
      <alignment horizontal="center" vertical="center" wrapText="1"/>
    </xf>
    <xf numFmtId="17" fontId="5" fillId="2" borderId="0" xfId="4" applyNumberFormat="1" applyFont="1" applyFill="1" applyAlignment="1">
      <alignment horizontal="center" vertical="center" wrapText="1"/>
    </xf>
    <xf numFmtId="49" fontId="4" fillId="2" borderId="2" xfId="4" applyNumberFormat="1" applyFont="1" applyFill="1" applyBorder="1" applyAlignment="1">
      <alignment horizontal="center" vertical="center" wrapText="1"/>
    </xf>
    <xf numFmtId="49" fontId="4" fillId="2" borderId="4" xfId="4" applyNumberFormat="1" applyFont="1" applyFill="1" applyBorder="1" applyAlignment="1">
      <alignment horizontal="center" vertical="center" wrapText="1"/>
    </xf>
    <xf numFmtId="49" fontId="4" fillId="2" borderId="5" xfId="4" applyNumberFormat="1" applyFont="1" applyFill="1" applyBorder="1" applyAlignment="1">
      <alignment horizontal="center" vertical="center" wrapText="1"/>
    </xf>
    <xf numFmtId="17" fontId="4" fillId="2" borderId="2" xfId="4" quotePrefix="1" applyNumberFormat="1" applyFont="1" applyFill="1" applyBorder="1" applyAlignment="1">
      <alignment horizontal="center" vertical="center" wrapText="1"/>
    </xf>
    <xf numFmtId="17" fontId="4" fillId="2" borderId="4" xfId="4" quotePrefix="1" applyNumberFormat="1" applyFont="1" applyFill="1" applyBorder="1" applyAlignment="1">
      <alignment horizontal="center" vertical="center" wrapText="1"/>
    </xf>
    <xf numFmtId="17" fontId="4" fillId="2" borderId="5" xfId="4" quotePrefix="1" applyNumberFormat="1" applyFont="1" applyFill="1" applyBorder="1" applyAlignment="1">
      <alignment horizontal="center" vertical="center" wrapText="1"/>
    </xf>
    <xf numFmtId="17" fontId="4" fillId="2" borderId="2" xfId="4" applyNumberFormat="1" applyFont="1" applyFill="1" applyBorder="1" applyAlignment="1">
      <alignment horizontal="center" vertical="center" wrapText="1"/>
    </xf>
    <xf numFmtId="17" fontId="4" fillId="2" borderId="4" xfId="4" applyNumberFormat="1" applyFont="1" applyFill="1" applyBorder="1" applyAlignment="1">
      <alignment horizontal="center" vertical="center" wrapText="1"/>
    </xf>
    <xf numFmtId="17" fontId="4" fillId="2" borderId="5" xfId="4" applyNumberFormat="1" applyFont="1" applyFill="1" applyBorder="1" applyAlignment="1">
      <alignment horizontal="center" vertical="center" wrapText="1"/>
    </xf>
    <xf numFmtId="17" fontId="5" fillId="2" borderId="2" xfId="4" quotePrefix="1" applyNumberFormat="1" applyFont="1" applyFill="1" applyBorder="1" applyAlignment="1">
      <alignment horizontal="center" vertical="center" wrapText="1"/>
    </xf>
    <xf numFmtId="17" fontId="5" fillId="2" borderId="4" xfId="4" quotePrefix="1" applyNumberFormat="1" applyFont="1" applyFill="1" applyBorder="1" applyAlignment="1">
      <alignment horizontal="center" vertical="center" wrapText="1"/>
    </xf>
    <xf numFmtId="17" fontId="5" fillId="2" borderId="5" xfId="4" quotePrefix="1" applyNumberFormat="1" applyFont="1" applyFill="1" applyBorder="1" applyAlignment="1">
      <alignment horizontal="center" vertical="center" wrapText="1"/>
    </xf>
    <xf numFmtId="0" fontId="6" fillId="0" borderId="0" xfId="9" applyFont="1" applyAlignment="1">
      <alignment horizontal="center" vertical="center" wrapText="1"/>
    </xf>
    <xf numFmtId="17" fontId="5" fillId="2" borderId="2" xfId="4" applyNumberFormat="1" applyFont="1" applyFill="1" applyBorder="1" applyAlignment="1">
      <alignment horizontal="center" vertical="center" wrapText="1"/>
    </xf>
    <xf numFmtId="17" fontId="5" fillId="2" borderId="4" xfId="4" applyNumberFormat="1" applyFont="1" applyFill="1" applyBorder="1" applyAlignment="1">
      <alignment horizontal="center" vertical="center" wrapText="1"/>
    </xf>
    <xf numFmtId="17" fontId="5" fillId="2" borderId="5" xfId="4" applyNumberFormat="1" applyFont="1" applyFill="1" applyBorder="1" applyAlignment="1">
      <alignment horizontal="center" vertical="center" wrapText="1"/>
    </xf>
  </cellXfs>
  <cellStyles count="45">
    <cellStyle name="Millares" xfId="1" builtinId="3"/>
    <cellStyle name="Millares [0]" xfId="2" builtinId="6"/>
    <cellStyle name="Millares [0] 15 2" xfId="13" xr:uid="{D73F2C48-975D-4F38-8653-3627051D8E68}"/>
    <cellStyle name="Millares [0] 32" xfId="42" xr:uid="{AAEE76A7-A2C2-437E-8F0D-3B588B1F328B}"/>
    <cellStyle name="Millares 10" xfId="23" xr:uid="{55E0208D-1B7B-47DF-AA10-33B12CEEBAC8}"/>
    <cellStyle name="Millares 10 2" xfId="31" xr:uid="{2A92B5CB-6949-4546-957A-A6535423385A}"/>
    <cellStyle name="Millares 10 2 3" xfId="32" xr:uid="{53C926D8-0EA8-48FD-9C79-DBB54C444168}"/>
    <cellStyle name="Millares 113" xfId="41" xr:uid="{5A99E022-98E2-4380-B429-1BB613932AB8}"/>
    <cellStyle name="Millares 15" xfId="7" xr:uid="{CD4C1329-D7CA-416E-B9BF-902FC4D368A6}"/>
    <cellStyle name="Millares 2 2" xfId="35" xr:uid="{FBE3E2AA-4595-474F-B35E-40FDF728609F}"/>
    <cellStyle name="Millares 3 2" xfId="8" xr:uid="{30E710B2-6E51-427F-88CF-E7052BA92578}"/>
    <cellStyle name="Millares 3 3 2" xfId="37" xr:uid="{B68C9283-F52F-41E9-9653-2EB47FE26C60}"/>
    <cellStyle name="Millares 45 2 2 3 2 3 4 2 2 2 2" xfId="19" xr:uid="{A95787BD-21F9-44FF-83A5-29F9CCD4F258}"/>
    <cellStyle name="Millares 47 2 2 2 2" xfId="14" xr:uid="{00FD77C3-B866-47C8-8913-C1EFA89B5EA3}"/>
    <cellStyle name="Millares 47 2 2 2 2 10" xfId="16" xr:uid="{BB633941-C833-42DA-8FD2-74C25C24289D}"/>
    <cellStyle name="Millares 47 2 2 2 2 4" xfId="21" xr:uid="{DBBEC38C-A628-4463-AA42-830807334350}"/>
    <cellStyle name="Millares 5" xfId="28" xr:uid="{FBFC265D-F16F-4AB8-BC19-8B2BAEAAA402}"/>
    <cellStyle name="Millares 51 19" xfId="18" xr:uid="{8C7124D6-61BF-4006-B6E5-1A94E1905E6E}"/>
    <cellStyle name="Millares 51 2 2 2 2 2" xfId="17" xr:uid="{2EB4C0F8-AD40-48E3-B0E4-434FAADAC833}"/>
    <cellStyle name="Millares 55 2 11 4 4 3 25 19 22 2" xfId="27" xr:uid="{15A26DE3-6305-44EF-8B9D-921E7DCC9090}"/>
    <cellStyle name="Millares 55 2 11 4 4 3 25 41 2" xfId="24" xr:uid="{7B28B2F6-37D8-4F10-89ED-1A3D30E7AAAB}"/>
    <cellStyle name="Millares 57" xfId="20" xr:uid="{50DB3BA8-B1FE-4E12-B9BC-CEE584E04741}"/>
    <cellStyle name="Millares 57 19" xfId="22" xr:uid="{0BA2AC38-76F2-435F-8BED-5E8E329630FB}"/>
    <cellStyle name="Millares 68 3 25 41 2" xfId="25" xr:uid="{3ABDF48F-10BA-4111-BD89-AC1384DA5DBC}"/>
    <cellStyle name="Millares 9 2" xfId="5" xr:uid="{9E05D6F2-EA94-4C99-8EC6-87B1866039F7}"/>
    <cellStyle name="Millares 9 2 4" xfId="43" xr:uid="{4B7024D3-D512-4643-B10C-A76B7B8B8B50}"/>
    <cellStyle name="Normal" xfId="0" builtinId="0"/>
    <cellStyle name="Normal 12 2" xfId="15" xr:uid="{1B567D5E-CBA8-4DC6-AC77-35B930A623D4}"/>
    <cellStyle name="Normal 13" xfId="6" xr:uid="{1C177310-06B9-43E9-A366-ABC25917ECC4}"/>
    <cellStyle name="Normal 2 2" xfId="30" xr:uid="{4188E5E3-5337-42D0-9D57-ADDCAB820F97}"/>
    <cellStyle name="Normal 2 2 13 18" xfId="38" xr:uid="{34780176-CDF2-4563-94EB-D4EE038ABBA4}"/>
    <cellStyle name="Normal 5 7" xfId="36" xr:uid="{6439309A-F230-41D1-9A5E-0353CD283DBE}"/>
    <cellStyle name="Normal 75" xfId="11" xr:uid="{FC2234B3-CBEE-4D66-B3FB-462F2F8BAE3E}"/>
    <cellStyle name="Normal 85 2" xfId="26" xr:uid="{7A54A4E8-15BC-473A-8C39-9E70184C639F}"/>
    <cellStyle name="Normal 86 22 2" xfId="29" xr:uid="{90213FB1-C78C-4599-B558-2988642BF5DC}"/>
    <cellStyle name="Normal 89" xfId="33" xr:uid="{455F2415-EFC9-4836-BAD6-B8CD395F6E99}"/>
    <cellStyle name="Normal 94" xfId="40" xr:uid="{229BBBE9-FAE4-4F1B-8520-F8DDAA271659}"/>
    <cellStyle name="Normal_Formatos de Balance y PYG_Opciones gráficos JD - Excel 2003" xfId="10" xr:uid="{3C383EE6-ADDC-485E-A14F-3DBE4D6195DE}"/>
    <cellStyle name="Normal_Opciones gráficos JD - Excel 2003" xfId="9" xr:uid="{4D02979F-553D-464B-8EFA-7416128C8E6A}"/>
    <cellStyle name="Normal_Opciones gráficos JD - Excel 2003 2 2" xfId="12" xr:uid="{B90FBBCF-69C5-4E4F-A00A-EE7B774416F1}"/>
    <cellStyle name="Normal_PGBalance - Propuestos CEA2_Opciones gráficos JD - Excel 2003" xfId="4" xr:uid="{0727C1E0-EAB8-41F0-912A-C486EE62A124}"/>
    <cellStyle name="Porcentaje" xfId="3" builtinId="5"/>
    <cellStyle name="Porcentaje 2" xfId="44" xr:uid="{8EDB7727-0254-45D8-A419-CE13725ED8C7}"/>
    <cellStyle name="Porcentaje 34" xfId="39" xr:uid="{F6C6D10D-7FE2-4AB0-8912-B4FD8963212D}"/>
    <cellStyle name="Porcentaje 45" xfId="34" xr:uid="{850BBFBB-07DC-44C3-9C7A-B5454BAB9820}"/>
  </cellStyles>
  <dxfs count="2">
    <dxf>
      <numFmt numFmtId="187" formatCode="#,###.00,;\-#,###.00,;_(* &quot;-&quot;??_)"/>
      <fill>
        <patternFill patternType="none">
          <bgColor auto="1"/>
        </patternFill>
      </fill>
    </dxf>
    <dxf>
      <font>
        <b val="0"/>
        <i val="0"/>
      </font>
      <numFmt numFmtId="186" formatCode="#,###.00,,;\-#,###.00,,;_(* &quot;-&quot;??_)"/>
      <fill>
        <patternFill patternType="none">
          <bgColor auto="1"/>
        </patternFill>
      </fill>
    </dxf>
  </dxfs>
  <tableStyles count="0" defaultTableStyle="TableStyleMedium2" defaultPivotStyle="PivotStyleLight16"/>
  <colors>
    <mruColors>
      <color rgb="FFF2F2F2"/>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752475</xdr:colOff>
          <xdr:row>0</xdr:row>
          <xdr:rowOff>0</xdr:rowOff>
        </xdr:to>
        <xdr:sp macro="" textlink="">
          <xdr:nvSpPr>
            <xdr:cNvPr id="28673" name="FPMExcelClientSheetOptionstb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752475</xdr:colOff>
          <xdr:row>0</xdr:row>
          <xdr:rowOff>0</xdr:rowOff>
        </xdr:to>
        <xdr:sp macro="" textlink="">
          <xdr:nvSpPr>
            <xdr:cNvPr id="12289" name="FPMExcelClientSheetOptionstb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dduque\Documents\PC_NW\dduque\TempLocalXLClient\GRUPO_ARGOS\Consolidaci&#243;nIFRS\eEXCEL\REPORTS\R24-Estado%20de%20Resultados%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MFormattingSheet"/>
      <sheetName val="ERI"/>
      <sheetName val="Listas"/>
    </sheetNames>
    <sheetDataSet>
      <sheetData sheetId="0"/>
      <sheetData sheetId="1">
        <row r="2">
          <cell r="A2" t="str">
            <v>Natural</v>
          </cell>
        </row>
        <row r="3">
          <cell r="A3" t="str">
            <v>Miles</v>
          </cell>
        </row>
        <row r="4">
          <cell r="A4" t="str">
            <v>Millones</v>
          </cell>
        </row>
      </sheetData>
      <sheetData sheetId="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7" Type="http://schemas.openxmlformats.org/officeDocument/2006/relationships/image" Target="../media/image1.emf"/><Relationship Id="rId2" Type="http://schemas.openxmlformats.org/officeDocument/2006/relationships/customProperty" Target="../customProperty2.bin"/><Relationship Id="rId1" Type="http://schemas.openxmlformats.org/officeDocument/2006/relationships/printerSettings" Target="../printerSettings/printerSettings1.bin"/><Relationship Id="rId6" Type="http://schemas.openxmlformats.org/officeDocument/2006/relationships/control" Target="../activeX/activeX1.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5.bin"/><Relationship Id="rId1" Type="http://schemas.openxmlformats.org/officeDocument/2006/relationships/customProperty" Target="../customProperty4.bin"/><Relationship Id="rId6" Type="http://schemas.openxmlformats.org/officeDocument/2006/relationships/image" Target="../media/image2.emf"/><Relationship Id="rId5" Type="http://schemas.openxmlformats.org/officeDocument/2006/relationships/control" Target="../activeX/activeX2.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CB4B8-B0FA-4855-B56D-94AF9DC8F6CC}">
  <sheetPr>
    <tabColor theme="0"/>
  </sheetPr>
  <dimension ref="A1:BQ115"/>
  <sheetViews>
    <sheetView showGridLines="0" zoomScale="86" zoomScaleNormal="86" workbookViewId="0">
      <pane xSplit="2" ySplit="9" topLeftCell="C10" activePane="bottomRight" state="frozen"/>
      <selection pane="topRight" activeCell="C1" sqref="C1"/>
      <selection pane="bottomLeft" activeCell="A10" sqref="A10"/>
      <selection pane="bottomRight" activeCell="BN103" sqref="BN103"/>
    </sheetView>
  </sheetViews>
  <sheetFormatPr baseColWidth="10" defaultColWidth="13" defaultRowHeight="12.75" x14ac:dyDescent="0.25"/>
  <cols>
    <col min="1" max="1" width="13" style="2"/>
    <col min="2" max="2" width="39.42578125" style="2" bestFit="1" customWidth="1"/>
    <col min="3" max="3" width="11.85546875" style="2" bestFit="1" customWidth="1"/>
    <col min="4" max="4" width="1.5703125" style="2" customWidth="1"/>
    <col min="5" max="8" width="11.85546875" style="10" bestFit="1" customWidth="1"/>
    <col min="9" max="9" width="1.5703125" style="2" customWidth="1"/>
    <col min="10" max="10" width="11.85546875" style="37" bestFit="1" customWidth="1"/>
    <col min="11" max="13" width="11.85546875" style="2" bestFit="1" customWidth="1"/>
    <col min="14" max="14" width="14.42578125" style="2" bestFit="1" customWidth="1"/>
    <col min="15" max="15" width="1.5703125" style="2" customWidth="1"/>
    <col min="16" max="16" width="11.85546875" style="2" bestFit="1" customWidth="1"/>
    <col min="17" max="17" width="14.7109375" style="2" customWidth="1"/>
    <col min="18" max="18" width="11.85546875" style="2" bestFit="1" customWidth="1"/>
    <col min="19" max="19" width="14.140625" style="2" bestFit="1" customWidth="1"/>
    <col min="20" max="20" width="11.85546875" style="2" bestFit="1" customWidth="1"/>
    <col min="21" max="21" width="14.140625" style="2" customWidth="1"/>
    <col min="22" max="22" width="13" style="2"/>
    <col min="23" max="23" width="1.5703125" style="2" customWidth="1"/>
    <col min="24" max="27" width="13" style="2"/>
    <col min="28" max="28" width="1.5703125" style="2" customWidth="1"/>
    <col min="29" max="33" width="13" style="2"/>
    <col min="34" max="34" width="1.5703125" style="2" customWidth="1"/>
    <col min="35" max="38" width="13" style="2"/>
    <col min="39" max="39" width="1.7109375" style="2" customWidth="1"/>
    <col min="40" max="43" width="13" style="2"/>
    <col min="44" max="44" width="1.5703125" style="2" customWidth="1"/>
    <col min="45" max="48" width="13" style="2"/>
    <col min="49" max="49" width="1.42578125" style="2" customWidth="1"/>
    <col min="50" max="53" width="13" style="2"/>
    <col min="54" max="54" width="1.42578125" style="2" customWidth="1"/>
    <col min="55" max="58" width="13" style="2"/>
    <col min="59" max="59" width="1.42578125" style="2" customWidth="1"/>
    <col min="60" max="63" width="13" style="2"/>
    <col min="64" max="64" width="1.42578125" style="2" customWidth="1"/>
    <col min="65" max="16384" width="13" style="2"/>
  </cols>
  <sheetData>
    <row r="1" spans="2:67" x14ac:dyDescent="0.25">
      <c r="B1" s="349" t="s">
        <v>0</v>
      </c>
      <c r="C1" s="349"/>
      <c r="D1" s="349"/>
      <c r="E1" s="349"/>
      <c r="F1" s="349"/>
      <c r="G1" s="349"/>
      <c r="H1" s="349"/>
      <c r="I1" s="349"/>
      <c r="J1" s="349"/>
      <c r="K1" s="349"/>
      <c r="L1" s="349"/>
      <c r="M1" s="1"/>
      <c r="N1" s="1"/>
    </row>
    <row r="2" spans="2:67" ht="12.75" customHeight="1" x14ac:dyDescent="0.25">
      <c r="B2" s="349" t="s">
        <v>1</v>
      </c>
      <c r="C2" s="349"/>
      <c r="D2" s="349"/>
      <c r="E2" s="349"/>
      <c r="F2" s="349"/>
      <c r="G2" s="349"/>
      <c r="H2" s="349"/>
      <c r="I2" s="349"/>
      <c r="J2" s="349"/>
      <c r="K2" s="349"/>
      <c r="L2" s="349"/>
      <c r="M2" s="1"/>
      <c r="N2" s="1"/>
    </row>
    <row r="3" spans="2:67" ht="12.75" customHeight="1" x14ac:dyDescent="0.25">
      <c r="B3" s="350" t="s">
        <v>2</v>
      </c>
      <c r="C3" s="350"/>
      <c r="D3" s="350"/>
      <c r="E3" s="350"/>
      <c r="F3" s="350"/>
      <c r="G3" s="350"/>
      <c r="H3" s="350"/>
      <c r="I3" s="350"/>
      <c r="J3" s="350"/>
      <c r="K3" s="350"/>
      <c r="L3" s="350"/>
      <c r="M3" s="3"/>
      <c r="N3" s="3"/>
    </row>
    <row r="4" spans="2:67" ht="12.75" customHeight="1" x14ac:dyDescent="0.25">
      <c r="B4" s="1"/>
      <c r="C4" s="1"/>
      <c r="D4" s="1"/>
      <c r="E4" s="1"/>
      <c r="F4" s="1"/>
      <c r="G4" s="1"/>
      <c r="H4" s="1"/>
      <c r="I4" s="1"/>
      <c r="J4" s="1"/>
      <c r="K4" s="1"/>
    </row>
    <row r="6" spans="2:67" ht="21.75" customHeight="1" x14ac:dyDescent="0.25">
      <c r="C6" s="4">
        <v>2013</v>
      </c>
      <c r="E6" s="351" t="s">
        <v>3</v>
      </c>
      <c r="F6" s="352"/>
      <c r="G6" s="352"/>
      <c r="H6" s="352"/>
      <c r="J6" s="351" t="s">
        <v>4</v>
      </c>
      <c r="K6" s="352"/>
      <c r="L6" s="352"/>
      <c r="M6" s="352"/>
      <c r="N6" s="352"/>
      <c r="P6" s="346" t="s">
        <v>5</v>
      </c>
      <c r="Q6" s="346"/>
      <c r="R6" s="346"/>
      <c r="S6" s="346"/>
      <c r="T6" s="346"/>
      <c r="U6" s="346"/>
      <c r="V6" s="346"/>
      <c r="X6" s="345" t="s">
        <v>6</v>
      </c>
      <c r="Y6" s="346"/>
      <c r="Z6" s="346"/>
      <c r="AA6" s="346"/>
      <c r="AB6" s="6"/>
      <c r="AC6" s="345" t="s">
        <v>7</v>
      </c>
      <c r="AD6" s="346"/>
      <c r="AE6" s="346"/>
      <c r="AF6" s="346"/>
      <c r="AG6" s="5"/>
      <c r="AI6" s="345" t="s">
        <v>8</v>
      </c>
      <c r="AJ6" s="346"/>
      <c r="AK6" s="346"/>
      <c r="AL6" s="346"/>
      <c r="AN6" s="345">
        <v>2020</v>
      </c>
      <c r="AO6" s="346"/>
      <c r="AP6" s="346"/>
      <c r="AQ6" s="346"/>
      <c r="AS6" s="345" t="s">
        <v>9</v>
      </c>
      <c r="AT6" s="346"/>
      <c r="AU6" s="346"/>
      <c r="AV6" s="346"/>
      <c r="AX6" s="345">
        <v>2022</v>
      </c>
      <c r="AY6" s="346"/>
      <c r="AZ6" s="346"/>
      <c r="BA6" s="346"/>
      <c r="BC6" s="346" t="s">
        <v>305</v>
      </c>
      <c r="BD6" s="346"/>
      <c r="BE6" s="346"/>
      <c r="BF6" s="346"/>
      <c r="BG6" s="6"/>
      <c r="BH6" s="345" t="s">
        <v>322</v>
      </c>
      <c r="BI6" s="346"/>
      <c r="BJ6" s="346"/>
      <c r="BK6" s="346"/>
      <c r="BL6" s="6"/>
      <c r="BM6" s="4" t="s">
        <v>351</v>
      </c>
    </row>
    <row r="7" spans="2:67" ht="4.5" customHeight="1" thickBot="1" x14ac:dyDescent="0.3">
      <c r="E7" s="2"/>
      <c r="F7" s="2"/>
      <c r="G7" s="2"/>
      <c r="H7" s="2"/>
      <c r="J7" s="2"/>
    </row>
    <row r="8" spans="2:67" ht="27.75" customHeight="1" thickTop="1" thickBot="1" x14ac:dyDescent="0.3">
      <c r="C8" s="7">
        <v>41609</v>
      </c>
      <c r="E8" s="7">
        <v>41699</v>
      </c>
      <c r="F8" s="7">
        <v>41791</v>
      </c>
      <c r="G8" s="7">
        <v>41883</v>
      </c>
      <c r="H8" s="7">
        <v>41974</v>
      </c>
      <c r="J8" s="7">
        <v>42064</v>
      </c>
      <c r="K8" s="7">
        <v>42156</v>
      </c>
      <c r="L8" s="7">
        <v>42248</v>
      </c>
      <c r="M8" s="7">
        <v>42339</v>
      </c>
      <c r="N8" s="7" t="s">
        <v>10</v>
      </c>
      <c r="P8" s="7">
        <v>42430</v>
      </c>
      <c r="Q8" s="7" t="s">
        <v>11</v>
      </c>
      <c r="R8" s="7">
        <v>42522</v>
      </c>
      <c r="S8" s="7" t="s">
        <v>12</v>
      </c>
      <c r="T8" s="7">
        <v>42614</v>
      </c>
      <c r="U8" s="7" t="s">
        <v>13</v>
      </c>
      <c r="V8" s="7">
        <v>42705</v>
      </c>
      <c r="X8" s="7">
        <v>42795</v>
      </c>
      <c r="Y8" s="7">
        <v>42887</v>
      </c>
      <c r="Z8" s="7">
        <v>42979</v>
      </c>
      <c r="AA8" s="7">
        <v>43070</v>
      </c>
      <c r="AB8" s="8"/>
      <c r="AC8" s="7">
        <v>43160</v>
      </c>
      <c r="AD8" s="7">
        <v>43252</v>
      </c>
      <c r="AE8" s="7">
        <v>43344</v>
      </c>
      <c r="AF8" s="7">
        <v>43435</v>
      </c>
      <c r="AG8" s="9" t="s">
        <v>14</v>
      </c>
      <c r="AI8" s="7">
        <v>43525</v>
      </c>
      <c r="AJ8" s="7">
        <v>43617</v>
      </c>
      <c r="AK8" s="7">
        <v>43709</v>
      </c>
      <c r="AL8" s="7">
        <v>43800</v>
      </c>
      <c r="AN8" s="7">
        <v>43891</v>
      </c>
      <c r="AO8" s="7">
        <v>43983</v>
      </c>
      <c r="AP8" s="7">
        <v>44075</v>
      </c>
      <c r="AQ8" s="7">
        <v>44166</v>
      </c>
      <c r="AS8" s="7">
        <v>44256</v>
      </c>
      <c r="AT8" s="7">
        <v>44348</v>
      </c>
      <c r="AU8" s="7">
        <v>44440</v>
      </c>
      <c r="AV8" s="7">
        <v>44531</v>
      </c>
      <c r="AX8" s="7">
        <v>44621</v>
      </c>
      <c r="AY8" s="7">
        <v>44713</v>
      </c>
      <c r="AZ8" s="7">
        <v>44805</v>
      </c>
      <c r="BA8" s="7">
        <v>44896</v>
      </c>
      <c r="BC8" s="7">
        <v>44986</v>
      </c>
      <c r="BD8" s="7">
        <v>45078</v>
      </c>
      <c r="BE8" s="7">
        <v>45170</v>
      </c>
      <c r="BF8" s="7">
        <v>45261</v>
      </c>
      <c r="BG8" s="8"/>
      <c r="BH8" s="7">
        <v>45352</v>
      </c>
      <c r="BI8" s="7">
        <v>45444</v>
      </c>
      <c r="BJ8" s="7">
        <v>45536</v>
      </c>
      <c r="BK8" s="7">
        <v>45627</v>
      </c>
      <c r="BL8" s="8"/>
      <c r="BM8" s="7">
        <v>45717</v>
      </c>
    </row>
    <row r="9" spans="2:67" ht="3.75" customHeight="1" thickTop="1" x14ac:dyDescent="0.25">
      <c r="C9" s="10"/>
      <c r="D9" s="10"/>
      <c r="J9" s="10"/>
      <c r="K9" s="10"/>
    </row>
    <row r="10" spans="2:67" ht="16.5" customHeight="1" x14ac:dyDescent="0.25">
      <c r="B10" s="11" t="s">
        <v>15</v>
      </c>
      <c r="C10" s="12">
        <v>731275</v>
      </c>
      <c r="D10" s="12"/>
      <c r="E10" s="12">
        <v>559273</v>
      </c>
      <c r="F10" s="12">
        <v>391924</v>
      </c>
      <c r="G10" s="12">
        <v>1049937</v>
      </c>
      <c r="H10" s="12">
        <v>995507</v>
      </c>
      <c r="J10" s="12">
        <v>1072937</v>
      </c>
      <c r="K10" s="12">
        <v>585852</v>
      </c>
      <c r="L10" s="12">
        <v>1464840</v>
      </c>
      <c r="M10" s="12">
        <f>1628603+43215</f>
        <v>1671818</v>
      </c>
      <c r="N10" s="12">
        <f>1685187+155132</f>
        <v>1840319</v>
      </c>
      <c r="P10" s="13">
        <v>1519586</v>
      </c>
      <c r="Q10" s="13">
        <v>1519586</v>
      </c>
      <c r="R10" s="13">
        <v>1266602</v>
      </c>
      <c r="S10" s="13">
        <v>1266602</v>
      </c>
      <c r="T10" s="13">
        <v>1585276</v>
      </c>
      <c r="U10" s="13">
        <v>1910581</v>
      </c>
      <c r="V10" s="13">
        <f>1774072+147400</f>
        <v>1921472</v>
      </c>
      <c r="X10" s="13">
        <v>2450429</v>
      </c>
      <c r="Y10" s="13">
        <v>2422442</v>
      </c>
      <c r="Z10" s="13">
        <v>2356012</v>
      </c>
      <c r="AA10" s="13">
        <v>2625892</v>
      </c>
      <c r="AB10" s="13"/>
      <c r="AC10" s="13">
        <v>2492791</v>
      </c>
      <c r="AD10" s="13">
        <v>2591478</v>
      </c>
      <c r="AE10" s="13">
        <v>2498186</v>
      </c>
      <c r="AF10" s="13">
        <v>2647532</v>
      </c>
      <c r="AG10" s="13">
        <v>2647532</v>
      </c>
      <c r="AI10" s="13">
        <v>2404519</v>
      </c>
      <c r="AJ10" s="13">
        <v>2335279</v>
      </c>
      <c r="AK10" s="13">
        <v>2662535</v>
      </c>
      <c r="AL10" s="13">
        <v>2474008</v>
      </c>
      <c r="AM10" s="13"/>
      <c r="AN10" s="13">
        <v>3103516</v>
      </c>
      <c r="AO10" s="13">
        <v>3290226</v>
      </c>
      <c r="AP10" s="13">
        <v>2996482</v>
      </c>
      <c r="AQ10" s="13">
        <v>2701096</v>
      </c>
      <c r="AR10" s="14"/>
      <c r="AS10" s="13">
        <v>2660351</v>
      </c>
      <c r="AT10" s="13">
        <v>2557910</v>
      </c>
      <c r="AU10" s="13">
        <v>2511583</v>
      </c>
      <c r="AV10" s="13">
        <v>2683143</v>
      </c>
      <c r="AW10" s="14"/>
      <c r="AX10" s="13">
        <v>2765035</v>
      </c>
      <c r="AY10" s="13">
        <v>2035259</v>
      </c>
      <c r="AZ10" s="13">
        <v>1397754</v>
      </c>
      <c r="BA10" s="13">
        <v>1429105</v>
      </c>
      <c r="BB10" s="14"/>
      <c r="BC10" s="13">
        <v>1262462</v>
      </c>
      <c r="BD10" s="13">
        <v>1764595</v>
      </c>
      <c r="BE10" s="13">
        <v>1786867</v>
      </c>
      <c r="BF10" s="13">
        <v>2201475</v>
      </c>
      <c r="BG10" s="13"/>
      <c r="BH10" s="13">
        <v>3227547</v>
      </c>
      <c r="BI10" s="13">
        <v>3288376</v>
      </c>
      <c r="BJ10" s="13">
        <v>2351376</v>
      </c>
      <c r="BK10" s="13">
        <v>1593758</v>
      </c>
      <c r="BL10" s="13"/>
      <c r="BM10" s="13">
        <v>12739119</v>
      </c>
      <c r="BN10" s="14" t="e">
        <f>+BM10-#REF!</f>
        <v>#REF!</v>
      </c>
      <c r="BO10" s="14" t="e">
        <f>+BK10-#REF!</f>
        <v>#REF!</v>
      </c>
    </row>
    <row r="11" spans="2:67" ht="16.5" customHeight="1" x14ac:dyDescent="0.25">
      <c r="B11" s="11" t="s">
        <v>16</v>
      </c>
      <c r="C11" s="12">
        <v>2681</v>
      </c>
      <c r="D11" s="12"/>
      <c r="E11" s="12">
        <v>5597</v>
      </c>
      <c r="F11" s="12">
        <v>0</v>
      </c>
      <c r="G11" s="12">
        <v>4906</v>
      </c>
      <c r="H11" s="12">
        <v>23067</v>
      </c>
      <c r="J11" s="12">
        <v>2696</v>
      </c>
      <c r="K11" s="12">
        <v>1184</v>
      </c>
      <c r="L11" s="12">
        <v>17393</v>
      </c>
      <c r="M11" s="12">
        <v>38054</v>
      </c>
      <c r="N11" s="12">
        <v>38054</v>
      </c>
      <c r="P11" s="13">
        <v>17830</v>
      </c>
      <c r="Q11" s="13">
        <v>17830</v>
      </c>
      <c r="R11" s="13">
        <v>18728</v>
      </c>
      <c r="S11" s="13">
        <v>18728</v>
      </c>
      <c r="T11" s="13">
        <v>14068</v>
      </c>
      <c r="U11" s="13">
        <v>14068</v>
      </c>
      <c r="V11" s="13">
        <v>1420</v>
      </c>
      <c r="X11" s="13">
        <v>7884</v>
      </c>
      <c r="Y11" s="13">
        <v>98</v>
      </c>
      <c r="Z11" s="13">
        <v>157</v>
      </c>
      <c r="AA11" s="13">
        <v>176</v>
      </c>
      <c r="AB11" s="13"/>
      <c r="AC11" s="13">
        <v>0</v>
      </c>
      <c r="AD11" s="13">
        <v>12735</v>
      </c>
      <c r="AE11" s="13">
        <v>14919</v>
      </c>
      <c r="AF11" s="13">
        <v>10392</v>
      </c>
      <c r="AG11" s="13">
        <v>10392</v>
      </c>
      <c r="AI11" s="13">
        <v>10528</v>
      </c>
      <c r="AJ11" s="13">
        <v>18719</v>
      </c>
      <c r="AK11" s="13">
        <v>20360</v>
      </c>
      <c r="AL11" s="13">
        <v>5786</v>
      </c>
      <c r="AM11" s="13"/>
      <c r="AN11" s="13">
        <v>113734</v>
      </c>
      <c r="AO11" s="13">
        <v>16135</v>
      </c>
      <c r="AP11" s="13">
        <v>29317</v>
      </c>
      <c r="AQ11" s="13">
        <v>6354</v>
      </c>
      <c r="AR11" s="14"/>
      <c r="AS11" s="13">
        <v>24970</v>
      </c>
      <c r="AT11" s="13">
        <v>16681</v>
      </c>
      <c r="AU11" s="13">
        <v>18905</v>
      </c>
      <c r="AV11" s="13">
        <v>20856</v>
      </c>
      <c r="AW11" s="14"/>
      <c r="AX11" s="13">
        <v>5534</v>
      </c>
      <c r="AY11" s="13">
        <v>34986</v>
      </c>
      <c r="AZ11" s="13">
        <v>62187</v>
      </c>
      <c r="BA11" s="13">
        <v>70236</v>
      </c>
      <c r="BB11" s="14"/>
      <c r="BC11" s="13">
        <v>36640</v>
      </c>
      <c r="BD11" s="13">
        <v>4971</v>
      </c>
      <c r="BE11" s="13">
        <v>8599</v>
      </c>
      <c r="BF11" s="13">
        <v>159018</v>
      </c>
      <c r="BG11" s="13"/>
      <c r="BH11" s="13">
        <v>143951</v>
      </c>
      <c r="BI11" s="13">
        <v>131137</v>
      </c>
      <c r="BJ11" s="13">
        <v>59759</v>
      </c>
      <c r="BK11" s="13">
        <v>12733</v>
      </c>
      <c r="BL11" s="13"/>
      <c r="BM11" s="13">
        <v>31278</v>
      </c>
      <c r="BN11" s="14" t="e">
        <f>+BM11-#REF!</f>
        <v>#REF!</v>
      </c>
      <c r="BO11" s="14" t="e">
        <f>+BK11-#REF!</f>
        <v>#REF!</v>
      </c>
    </row>
    <row r="12" spans="2:67" ht="16.5" customHeight="1" x14ac:dyDescent="0.25">
      <c r="B12" s="11" t="s">
        <v>17</v>
      </c>
      <c r="C12" s="12">
        <v>764104</v>
      </c>
      <c r="D12" s="12"/>
      <c r="E12" s="12">
        <v>1145546</v>
      </c>
      <c r="F12" s="12">
        <v>967407</v>
      </c>
      <c r="G12" s="12">
        <v>680829</v>
      </c>
      <c r="H12" s="12">
        <v>332545</v>
      </c>
      <c r="J12" s="12">
        <v>371179</v>
      </c>
      <c r="K12" s="12">
        <v>210459</v>
      </c>
      <c r="L12" s="12">
        <v>117563</v>
      </c>
      <c r="M12" s="12">
        <v>212681</v>
      </c>
      <c r="N12" s="12">
        <f>199338-155132</f>
        <v>44206</v>
      </c>
      <c r="P12" s="13">
        <v>246961</v>
      </c>
      <c r="Q12" s="13">
        <v>246961</v>
      </c>
      <c r="R12" s="13">
        <v>376377</v>
      </c>
      <c r="S12" s="13">
        <v>376377</v>
      </c>
      <c r="T12" s="13">
        <v>360910</v>
      </c>
      <c r="U12" s="13">
        <v>35605</v>
      </c>
      <c r="V12" s="13">
        <f>149703-147400</f>
        <v>2303</v>
      </c>
      <c r="X12" s="13">
        <v>22702</v>
      </c>
      <c r="Y12" s="13">
        <v>47722</v>
      </c>
      <c r="Z12" s="13">
        <v>197273</v>
      </c>
      <c r="AA12" s="13">
        <v>45371</v>
      </c>
      <c r="AB12" s="13"/>
      <c r="AC12" s="13">
        <v>19983</v>
      </c>
      <c r="AD12" s="13">
        <v>3799</v>
      </c>
      <c r="AE12" s="13">
        <v>4943</v>
      </c>
      <c r="AF12" s="13">
        <f>72949-1</f>
        <v>72948</v>
      </c>
      <c r="AG12" s="13">
        <f>72949-1</f>
        <v>72948</v>
      </c>
      <c r="AI12" s="13">
        <v>125616</v>
      </c>
      <c r="AJ12" s="13">
        <v>83448</v>
      </c>
      <c r="AK12" s="13">
        <v>90718</v>
      </c>
      <c r="AL12" s="13">
        <v>123626</v>
      </c>
      <c r="AM12" s="13"/>
      <c r="AN12" s="13">
        <v>79674</v>
      </c>
      <c r="AO12" s="13">
        <v>55744</v>
      </c>
      <c r="AP12" s="13">
        <v>1494</v>
      </c>
      <c r="AQ12" s="13">
        <v>0</v>
      </c>
      <c r="AR12" s="14"/>
      <c r="AS12" s="13">
        <v>0</v>
      </c>
      <c r="AT12" s="13">
        <v>0</v>
      </c>
      <c r="AU12" s="13">
        <v>665</v>
      </c>
      <c r="AV12" s="13">
        <v>869849</v>
      </c>
      <c r="AW12" s="14"/>
      <c r="AX12" s="13">
        <v>24720</v>
      </c>
      <c r="AY12" s="13">
        <v>279147</v>
      </c>
      <c r="AZ12" s="13">
        <v>269711</v>
      </c>
      <c r="BA12" s="13">
        <v>763678</v>
      </c>
      <c r="BB12" s="14"/>
      <c r="BC12" s="13">
        <v>576822</v>
      </c>
      <c r="BD12" s="13">
        <v>268410</v>
      </c>
      <c r="BE12" s="13">
        <v>216481</v>
      </c>
      <c r="BF12" s="13">
        <v>45233</v>
      </c>
      <c r="BG12" s="13"/>
      <c r="BH12" s="13">
        <v>674739</v>
      </c>
      <c r="BI12" s="13">
        <v>8582</v>
      </c>
      <c r="BJ12" s="13">
        <v>96733</v>
      </c>
      <c r="BK12" s="13">
        <v>17858</v>
      </c>
      <c r="BL12" s="13"/>
      <c r="BM12" s="13">
        <v>28978</v>
      </c>
      <c r="BN12" s="14" t="e">
        <f>+BM12-#REF!</f>
        <v>#REF!</v>
      </c>
      <c r="BO12" s="14" t="e">
        <f>+BK12-#REF!</f>
        <v>#REF!</v>
      </c>
    </row>
    <row r="13" spans="2:67" ht="25.5" x14ac:dyDescent="0.25">
      <c r="B13" s="11" t="s">
        <v>18</v>
      </c>
      <c r="C13" s="12">
        <v>1061400</v>
      </c>
      <c r="D13" s="12"/>
      <c r="E13" s="12">
        <v>1666893</v>
      </c>
      <c r="F13" s="12">
        <v>1854819</v>
      </c>
      <c r="G13" s="12">
        <v>1923085</v>
      </c>
      <c r="H13" s="12">
        <v>1530058</v>
      </c>
      <c r="J13" s="12">
        <f>1910745-1</f>
        <v>1910744</v>
      </c>
      <c r="K13" s="12">
        <v>2093723</v>
      </c>
      <c r="L13" s="12">
        <f>2560289</f>
        <v>2560289</v>
      </c>
      <c r="M13" s="12">
        <f>2552232-43215-38611</f>
        <v>2470406</v>
      </c>
      <c r="N13" s="12">
        <f>2472144-35475</f>
        <v>2436669</v>
      </c>
      <c r="P13" s="13">
        <v>2948749</v>
      </c>
      <c r="Q13" s="13">
        <v>2908175</v>
      </c>
      <c r="R13" s="13">
        <v>2901854</v>
      </c>
      <c r="S13" s="13">
        <v>2850973</v>
      </c>
      <c r="T13" s="13">
        <v>2963994</v>
      </c>
      <c r="U13" s="13">
        <v>2901161</v>
      </c>
      <c r="V13" s="13">
        <f>2760967-53535</f>
        <v>2707432</v>
      </c>
      <c r="X13" s="13">
        <v>2937936</v>
      </c>
      <c r="Y13" s="13">
        <v>2915690</v>
      </c>
      <c r="Z13" s="13">
        <v>2877677</v>
      </c>
      <c r="AA13" s="13">
        <v>2713849</v>
      </c>
      <c r="AB13" s="13"/>
      <c r="AC13" s="13">
        <v>2595584</v>
      </c>
      <c r="AD13" s="13">
        <v>2628419</v>
      </c>
      <c r="AE13" s="13">
        <v>2576149</v>
      </c>
      <c r="AF13" s="13">
        <v>2534821</v>
      </c>
      <c r="AG13" s="15">
        <v>2507790</v>
      </c>
      <c r="AI13" s="13">
        <v>2590350</v>
      </c>
      <c r="AJ13" s="13">
        <v>2744064</v>
      </c>
      <c r="AK13" s="13">
        <v>2962859</v>
      </c>
      <c r="AL13" s="13">
        <v>2988955</v>
      </c>
      <c r="AM13" s="13"/>
      <c r="AN13" s="13">
        <v>3488219</v>
      </c>
      <c r="AO13" s="13">
        <v>3339823</v>
      </c>
      <c r="AP13" s="13">
        <v>2863952</v>
      </c>
      <c r="AQ13" s="13">
        <v>2255887</v>
      </c>
      <c r="AR13" s="14"/>
      <c r="AS13" s="13">
        <v>2782499</v>
      </c>
      <c r="AT13" s="13">
        <v>2855680</v>
      </c>
      <c r="AU13" s="13">
        <v>2919020</v>
      </c>
      <c r="AV13" s="13">
        <v>2746524</v>
      </c>
      <c r="AW13" s="14"/>
      <c r="AX13" s="13">
        <v>3091220</v>
      </c>
      <c r="AY13" s="13">
        <v>2934931</v>
      </c>
      <c r="AZ13" s="13">
        <v>3076175</v>
      </c>
      <c r="BA13" s="13">
        <v>2993918</v>
      </c>
      <c r="BB13" s="14"/>
      <c r="BC13" s="13">
        <v>3224310</v>
      </c>
      <c r="BD13" s="13">
        <v>3207176</v>
      </c>
      <c r="BE13" s="13">
        <v>3748725</v>
      </c>
      <c r="BF13" s="13">
        <v>3521505</v>
      </c>
      <c r="BG13" s="13"/>
      <c r="BH13" s="13">
        <v>3236444</v>
      </c>
      <c r="BI13" s="13">
        <v>3477603</v>
      </c>
      <c r="BJ13" s="13">
        <v>3314007</v>
      </c>
      <c r="BK13" s="13">
        <v>3705327</v>
      </c>
      <c r="BL13" s="13"/>
      <c r="BM13" s="13">
        <v>3922951</v>
      </c>
      <c r="BN13" s="14" t="e">
        <f>+BM13-#REF!</f>
        <v>#REF!</v>
      </c>
      <c r="BO13" s="14" t="e">
        <f>+BK13-#REF!</f>
        <v>#REF!</v>
      </c>
    </row>
    <row r="14" spans="2:67" ht="16.5" customHeight="1" x14ac:dyDescent="0.25">
      <c r="B14" s="11" t="s">
        <v>19</v>
      </c>
      <c r="C14" s="12">
        <v>457370</v>
      </c>
      <c r="D14" s="12"/>
      <c r="E14" s="12">
        <v>592168</v>
      </c>
      <c r="F14" s="12">
        <v>647365</v>
      </c>
      <c r="G14" s="12">
        <v>658829</v>
      </c>
      <c r="H14" s="12">
        <v>650462</v>
      </c>
      <c r="J14" s="12">
        <v>766184</v>
      </c>
      <c r="K14" s="12">
        <v>828060</v>
      </c>
      <c r="L14" s="12">
        <v>908413</v>
      </c>
      <c r="M14" s="12">
        <v>902218</v>
      </c>
      <c r="N14" s="12">
        <v>902218</v>
      </c>
      <c r="P14" s="13">
        <v>913588</v>
      </c>
      <c r="Q14" s="13">
        <v>913588</v>
      </c>
      <c r="R14" s="13">
        <v>997376</v>
      </c>
      <c r="S14" s="13">
        <v>997376</v>
      </c>
      <c r="T14" s="13">
        <v>1010407</v>
      </c>
      <c r="U14" s="13">
        <v>1004900</v>
      </c>
      <c r="V14" s="13">
        <v>1069615</v>
      </c>
      <c r="X14" s="13">
        <v>1161858</v>
      </c>
      <c r="Y14" s="13">
        <v>1227443</v>
      </c>
      <c r="Z14" s="13">
        <v>1151664</v>
      </c>
      <c r="AA14" s="13">
        <v>1086669</v>
      </c>
      <c r="AB14" s="13"/>
      <c r="AC14" s="13">
        <v>1134852</v>
      </c>
      <c r="AD14" s="13">
        <v>1155422</v>
      </c>
      <c r="AE14" s="13">
        <v>1122947</v>
      </c>
      <c r="AF14" s="13">
        <v>1291909</v>
      </c>
      <c r="AG14" s="13">
        <v>1291909</v>
      </c>
      <c r="AI14" s="13">
        <v>1334905</v>
      </c>
      <c r="AJ14" s="13">
        <v>1428587</v>
      </c>
      <c r="AK14" s="13">
        <v>1383694</v>
      </c>
      <c r="AL14" s="13">
        <v>1252938</v>
      </c>
      <c r="AM14" s="13"/>
      <c r="AN14" s="13">
        <v>1508333</v>
      </c>
      <c r="AO14" s="13">
        <v>1451377</v>
      </c>
      <c r="AP14" s="13">
        <v>1498599</v>
      </c>
      <c r="AQ14" s="13">
        <v>1237080</v>
      </c>
      <c r="AR14" s="14"/>
      <c r="AS14" s="13">
        <v>1304750</v>
      </c>
      <c r="AT14" s="13">
        <v>1296513</v>
      </c>
      <c r="AU14" s="13">
        <v>1351758</v>
      </c>
      <c r="AV14" s="13">
        <v>1376345</v>
      </c>
      <c r="AW14" s="14"/>
      <c r="AX14" s="13">
        <v>1479055</v>
      </c>
      <c r="AY14" s="13">
        <v>1625181</v>
      </c>
      <c r="AZ14" s="13">
        <v>1805867</v>
      </c>
      <c r="BA14" s="13">
        <v>1924803</v>
      </c>
      <c r="BB14" s="14"/>
      <c r="BC14" s="13">
        <v>1911793</v>
      </c>
      <c r="BD14" s="13">
        <v>1914339</v>
      </c>
      <c r="BE14" s="13">
        <v>1804744</v>
      </c>
      <c r="BF14" s="13">
        <v>1658803</v>
      </c>
      <c r="BG14" s="13"/>
      <c r="BH14" s="13">
        <v>1186148</v>
      </c>
      <c r="BI14" s="13">
        <v>1338544</v>
      </c>
      <c r="BJ14" s="13">
        <v>1358016</v>
      </c>
      <c r="BK14" s="13">
        <v>1250085</v>
      </c>
      <c r="BL14" s="13"/>
      <c r="BM14" s="13">
        <v>1796786</v>
      </c>
      <c r="BN14" s="14" t="e">
        <f>+BM14-#REF!</f>
        <v>#REF!</v>
      </c>
      <c r="BO14" s="14" t="e">
        <f>+BK14-#REF!</f>
        <v>#REF!</v>
      </c>
    </row>
    <row r="15" spans="2:67" ht="16.5" customHeight="1" x14ac:dyDescent="0.25">
      <c r="B15" s="11" t="s">
        <v>20</v>
      </c>
      <c r="C15" s="12">
        <v>0</v>
      </c>
      <c r="D15" s="12"/>
      <c r="E15" s="12">
        <v>0</v>
      </c>
      <c r="F15" s="12">
        <v>19249</v>
      </c>
      <c r="G15" s="12">
        <v>0</v>
      </c>
      <c r="H15" s="12">
        <v>304</v>
      </c>
      <c r="J15" s="12">
        <v>0</v>
      </c>
      <c r="K15" s="12">
        <v>0</v>
      </c>
      <c r="L15" s="12">
        <v>0</v>
      </c>
      <c r="M15" s="13">
        <v>0</v>
      </c>
      <c r="N15" s="16">
        <v>0</v>
      </c>
      <c r="P15" s="13">
        <v>0</v>
      </c>
      <c r="Q15" s="13">
        <v>0</v>
      </c>
      <c r="R15" s="13">
        <v>0</v>
      </c>
      <c r="S15" s="13">
        <v>0</v>
      </c>
      <c r="T15" s="13">
        <v>0</v>
      </c>
      <c r="U15" s="13">
        <v>0</v>
      </c>
      <c r="V15" s="13">
        <v>0</v>
      </c>
      <c r="X15" s="13">
        <v>0</v>
      </c>
      <c r="Y15" s="13">
        <v>0</v>
      </c>
      <c r="Z15" s="13">
        <v>0</v>
      </c>
      <c r="AA15" s="13">
        <v>134</v>
      </c>
      <c r="AB15" s="13"/>
      <c r="AC15" s="13">
        <v>137</v>
      </c>
      <c r="AD15" s="13">
        <v>140</v>
      </c>
      <c r="AE15" s="13">
        <v>9269</v>
      </c>
      <c r="AF15" s="13">
        <v>9360</v>
      </c>
      <c r="AG15" s="13">
        <v>9360</v>
      </c>
      <c r="AI15" s="13">
        <v>9607</v>
      </c>
      <c r="AJ15" s="13">
        <v>8911</v>
      </c>
      <c r="AK15" s="13">
        <v>8339</v>
      </c>
      <c r="AL15" s="13">
        <v>9157</v>
      </c>
      <c r="AM15" s="13"/>
      <c r="AN15" s="13">
        <v>7273</v>
      </c>
      <c r="AO15" s="13">
        <v>6911</v>
      </c>
      <c r="AP15" s="13">
        <v>5932</v>
      </c>
      <c r="AQ15" s="13">
        <v>5634</v>
      </c>
      <c r="AR15" s="14"/>
      <c r="AS15" s="13">
        <v>5367</v>
      </c>
      <c r="AT15" s="13">
        <v>5652</v>
      </c>
      <c r="AU15" s="13">
        <v>5613</v>
      </c>
      <c r="AV15" s="13">
        <v>4312</v>
      </c>
      <c r="AW15" s="14"/>
      <c r="AX15" s="13">
        <v>4626</v>
      </c>
      <c r="AY15" s="13">
        <v>4657</v>
      </c>
      <c r="AZ15" s="13">
        <v>4592</v>
      </c>
      <c r="BA15" s="13">
        <v>5112</v>
      </c>
      <c r="BB15" s="14"/>
      <c r="BC15" s="13">
        <v>5507</v>
      </c>
      <c r="BD15" s="13">
        <v>5497</v>
      </c>
      <c r="BE15" s="13">
        <v>5284</v>
      </c>
      <c r="BF15" s="13">
        <v>5892</v>
      </c>
      <c r="BG15" s="13"/>
      <c r="BH15" s="13">
        <v>6005</v>
      </c>
      <c r="BI15" s="13">
        <v>4994</v>
      </c>
      <c r="BJ15" s="13">
        <v>5129</v>
      </c>
      <c r="BK15" s="13">
        <v>5430</v>
      </c>
      <c r="BL15" s="13"/>
      <c r="BM15" s="13">
        <v>5764</v>
      </c>
      <c r="BN15" s="14" t="e">
        <f>+BM15-#REF!</f>
        <v>#REF!</v>
      </c>
      <c r="BO15" s="14" t="e">
        <f>+BK15-#REF!</f>
        <v>#REF!</v>
      </c>
    </row>
    <row r="16" spans="2:67" ht="25.5" x14ac:dyDescent="0.25">
      <c r="B16" s="11" t="s">
        <v>21</v>
      </c>
      <c r="C16" s="12">
        <v>152440</v>
      </c>
      <c r="D16" s="12"/>
      <c r="E16" s="12">
        <v>180774</v>
      </c>
      <c r="F16" s="12">
        <v>210045</v>
      </c>
      <c r="G16" s="12">
        <v>185072</v>
      </c>
      <c r="H16" s="12">
        <v>196951</v>
      </c>
      <c r="J16" s="12">
        <v>249741</v>
      </c>
      <c r="K16" s="12">
        <v>170172</v>
      </c>
      <c r="L16" s="12">
        <v>281991</v>
      </c>
      <c r="M16" s="12">
        <f>229301+38611</f>
        <v>267912</v>
      </c>
      <c r="N16" s="12">
        <f>266056-6515</f>
        <v>259541</v>
      </c>
      <c r="P16" s="13">
        <v>262726</v>
      </c>
      <c r="Q16" s="13">
        <v>303300</v>
      </c>
      <c r="R16" s="13">
        <v>218973</v>
      </c>
      <c r="S16" s="13">
        <v>269853</v>
      </c>
      <c r="T16" s="13">
        <v>248181</v>
      </c>
      <c r="U16" s="13">
        <v>311014</v>
      </c>
      <c r="V16" s="13">
        <f>204993-6515</f>
        <v>198478</v>
      </c>
      <c r="X16" s="13">
        <v>159853</v>
      </c>
      <c r="Y16" s="13">
        <v>191360</v>
      </c>
      <c r="Z16" s="13">
        <v>287373</v>
      </c>
      <c r="AA16" s="13">
        <v>228103</v>
      </c>
      <c r="AB16" s="13"/>
      <c r="AC16" s="13">
        <v>213725</v>
      </c>
      <c r="AD16" s="13">
        <v>250434</v>
      </c>
      <c r="AE16" s="13">
        <v>259758</v>
      </c>
      <c r="AF16" s="13">
        <v>244963</v>
      </c>
      <c r="AG16" s="13">
        <v>244963</v>
      </c>
      <c r="AI16" s="13">
        <v>248254</v>
      </c>
      <c r="AJ16" s="13">
        <v>296924</v>
      </c>
      <c r="AK16" s="13">
        <v>263730</v>
      </c>
      <c r="AL16" s="13">
        <v>195625</v>
      </c>
      <c r="AM16" s="13"/>
      <c r="AN16" s="13">
        <v>212748</v>
      </c>
      <c r="AO16" s="13">
        <v>218638</v>
      </c>
      <c r="AP16" s="13">
        <v>277186</v>
      </c>
      <c r="AQ16" s="13">
        <v>212046</v>
      </c>
      <c r="AR16" s="14"/>
      <c r="AS16" s="13">
        <v>213140</v>
      </c>
      <c r="AT16" s="13">
        <v>187324</v>
      </c>
      <c r="AU16" s="13">
        <v>230313</v>
      </c>
      <c r="AV16" s="13">
        <v>229924</v>
      </c>
      <c r="AW16" s="14"/>
      <c r="AX16" s="13">
        <v>222443</v>
      </c>
      <c r="AY16" s="13">
        <v>225275</v>
      </c>
      <c r="AZ16" s="13">
        <v>337379</v>
      </c>
      <c r="BA16" s="13">
        <v>336957</v>
      </c>
      <c r="BB16" s="14"/>
      <c r="BC16" s="13">
        <v>285725</v>
      </c>
      <c r="BD16" s="13">
        <v>257952</v>
      </c>
      <c r="BE16" s="13">
        <v>365699</v>
      </c>
      <c r="BF16" s="13">
        <v>334380</v>
      </c>
      <c r="BG16" s="13"/>
      <c r="BH16" s="13">
        <v>191503</v>
      </c>
      <c r="BI16" s="13">
        <v>195418</v>
      </c>
      <c r="BJ16" s="13">
        <v>269145</v>
      </c>
      <c r="BK16" s="13">
        <v>298388</v>
      </c>
      <c r="BL16" s="13"/>
      <c r="BM16" s="13">
        <v>248579</v>
      </c>
      <c r="BN16" s="14" t="e">
        <f>+BM16-#REF!</f>
        <v>#REF!</v>
      </c>
      <c r="BO16" s="14" t="e">
        <f>+BK16-#REF!</f>
        <v>#REF!</v>
      </c>
    </row>
    <row r="17" spans="2:67" ht="17.25" customHeight="1" x14ac:dyDescent="0.25">
      <c r="B17" s="11" t="s">
        <v>22</v>
      </c>
      <c r="C17" s="12">
        <v>15097</v>
      </c>
      <c r="D17" s="12"/>
      <c r="E17" s="12">
        <v>518</v>
      </c>
      <c r="F17" s="12">
        <v>159</v>
      </c>
      <c r="G17" s="12">
        <v>159</v>
      </c>
      <c r="H17" s="12">
        <v>7725</v>
      </c>
      <c r="J17" s="12">
        <v>622</v>
      </c>
      <c r="K17" s="12">
        <v>116777</v>
      </c>
      <c r="L17" s="12">
        <v>2541</v>
      </c>
      <c r="M17" s="16">
        <v>104882</v>
      </c>
      <c r="N17" s="16">
        <v>10142</v>
      </c>
      <c r="P17" s="13">
        <v>106221</v>
      </c>
      <c r="Q17" s="13">
        <v>11481</v>
      </c>
      <c r="R17" s="13">
        <v>105940</v>
      </c>
      <c r="S17" s="13">
        <v>11200</v>
      </c>
      <c r="T17" s="13">
        <v>103504</v>
      </c>
      <c r="U17" s="13">
        <v>8763</v>
      </c>
      <c r="V17" s="13">
        <v>350872</v>
      </c>
      <c r="X17" s="13">
        <v>340810</v>
      </c>
      <c r="Y17" s="13">
        <v>8346</v>
      </c>
      <c r="Z17" s="13">
        <v>8187</v>
      </c>
      <c r="AA17" s="13">
        <v>49925</v>
      </c>
      <c r="AB17" s="13"/>
      <c r="AC17" s="13">
        <v>49884</v>
      </c>
      <c r="AD17" s="13">
        <v>49797</v>
      </c>
      <c r="AE17" s="13">
        <v>63665</v>
      </c>
      <c r="AF17" s="13">
        <v>40030</v>
      </c>
      <c r="AG17" s="13">
        <v>40030</v>
      </c>
      <c r="AI17" s="13">
        <v>40088</v>
      </c>
      <c r="AJ17" s="13">
        <v>25003</v>
      </c>
      <c r="AK17" s="13">
        <v>1853</v>
      </c>
      <c r="AL17" s="13">
        <v>76744</v>
      </c>
      <c r="AM17" s="13"/>
      <c r="AN17" s="13">
        <v>30801</v>
      </c>
      <c r="AO17" s="13">
        <v>31241</v>
      </c>
      <c r="AP17" s="13">
        <v>30323</v>
      </c>
      <c r="AQ17" s="13">
        <v>247954</v>
      </c>
      <c r="AR17" s="14"/>
      <c r="AS17" s="13">
        <v>260293</v>
      </c>
      <c r="AT17" s="13">
        <v>250306</v>
      </c>
      <c r="AU17" s="13">
        <v>246530</v>
      </c>
      <c r="AV17" s="13">
        <v>58304</v>
      </c>
      <c r="AW17" s="14"/>
      <c r="AX17" s="13">
        <v>56598</v>
      </c>
      <c r="AY17" s="13">
        <v>165764</v>
      </c>
      <c r="AZ17" s="13">
        <v>3022011</v>
      </c>
      <c r="BA17" s="13">
        <v>6169569</v>
      </c>
      <c r="BB17" s="14"/>
      <c r="BC17" s="13">
        <v>5958909</v>
      </c>
      <c r="BD17" s="13">
        <v>4834246</v>
      </c>
      <c r="BE17" s="13">
        <v>4646205</v>
      </c>
      <c r="BF17" s="13">
        <v>2112245</v>
      </c>
      <c r="BG17" s="13"/>
      <c r="BH17" s="13">
        <v>75578</v>
      </c>
      <c r="BI17" s="13">
        <v>253067</v>
      </c>
      <c r="BJ17" s="13">
        <v>225543</v>
      </c>
      <c r="BK17" s="13">
        <v>9337964</v>
      </c>
      <c r="BL17" s="13"/>
      <c r="BM17" s="13">
        <v>11602542</v>
      </c>
      <c r="BN17" s="14" t="e">
        <f>+BM17-#REF!</f>
        <v>#REF!</v>
      </c>
      <c r="BO17" s="14" t="e">
        <f>+BK17-#REF!</f>
        <v>#REF!</v>
      </c>
    </row>
    <row r="18" spans="2:67" ht="6" customHeight="1" x14ac:dyDescent="0.25">
      <c r="B18" s="11"/>
      <c r="C18" s="12"/>
      <c r="D18" s="12"/>
      <c r="E18" s="12"/>
      <c r="F18" s="12"/>
      <c r="G18" s="12"/>
      <c r="H18" s="12"/>
      <c r="J18" s="12"/>
      <c r="K18" s="12"/>
      <c r="L18" s="12"/>
      <c r="M18" s="12"/>
      <c r="N18" s="12"/>
      <c r="P18" s="12"/>
      <c r="Q18" s="12"/>
      <c r="R18" s="12"/>
      <c r="S18" s="12"/>
      <c r="T18" s="12"/>
      <c r="U18" s="12"/>
      <c r="V18" s="12"/>
      <c r="X18" s="12"/>
      <c r="Y18" s="12"/>
      <c r="Z18" s="12"/>
      <c r="AA18" s="12"/>
      <c r="AB18" s="12"/>
      <c r="AC18" s="12"/>
      <c r="AD18" s="12"/>
      <c r="AE18" s="12"/>
      <c r="AF18" s="12"/>
      <c r="AG18" s="12"/>
      <c r="AI18" s="12"/>
      <c r="AJ18" s="12"/>
      <c r="AK18" s="12"/>
      <c r="AL18" s="12"/>
      <c r="AM18" s="12"/>
      <c r="AN18" s="12"/>
      <c r="AO18" s="12"/>
      <c r="AP18" s="12"/>
      <c r="AQ18" s="12"/>
      <c r="AR18" s="14"/>
      <c r="AS18" s="12"/>
      <c r="AT18" s="12"/>
      <c r="AU18" s="12"/>
      <c r="AV18" s="12"/>
      <c r="AW18" s="14"/>
      <c r="AX18" s="12"/>
      <c r="AY18" s="12"/>
      <c r="AZ18" s="12"/>
      <c r="BA18" s="12"/>
      <c r="BB18" s="14"/>
      <c r="BC18" s="12"/>
      <c r="BD18" s="12"/>
      <c r="BE18" s="12"/>
      <c r="BF18" s="12"/>
      <c r="BG18" s="12"/>
      <c r="BH18" s="12"/>
      <c r="BI18" s="12"/>
      <c r="BJ18" s="12"/>
      <c r="BK18" s="12"/>
      <c r="BL18" s="12"/>
      <c r="BM18" s="12"/>
      <c r="BN18" s="14"/>
      <c r="BO18" s="14"/>
    </row>
    <row r="19" spans="2:67" x14ac:dyDescent="0.25">
      <c r="B19" s="17" t="s">
        <v>23</v>
      </c>
      <c r="C19" s="18">
        <f>+SUM(C10:C17)</f>
        <v>3184367</v>
      </c>
      <c r="D19" s="18"/>
      <c r="E19" s="18">
        <f>+SUM(E10:E17)</f>
        <v>4150769</v>
      </c>
      <c r="F19" s="18">
        <f>+SUM(F10:F17)</f>
        <v>4090968</v>
      </c>
      <c r="G19" s="18">
        <f>+SUM(G10:G17)</f>
        <v>4502817</v>
      </c>
      <c r="H19" s="18">
        <f>+SUM(H10:H17)</f>
        <v>3736619</v>
      </c>
      <c r="J19" s="18">
        <f>+SUM(J10:J17)</f>
        <v>4374103</v>
      </c>
      <c r="K19" s="18">
        <f>+SUM(K10:K17)</f>
        <v>4006227</v>
      </c>
      <c r="L19" s="18">
        <f>+SUM(L10:L17)</f>
        <v>5353030</v>
      </c>
      <c r="M19" s="18">
        <f>+SUM(M10:M17)</f>
        <v>5667971</v>
      </c>
      <c r="N19" s="18">
        <f>+SUM(N10:N17)</f>
        <v>5531149</v>
      </c>
      <c r="P19" s="18">
        <f t="shared" ref="P19:V19" si="0">+SUM(P10:P17)</f>
        <v>6015661</v>
      </c>
      <c r="Q19" s="18">
        <f t="shared" si="0"/>
        <v>5920921</v>
      </c>
      <c r="R19" s="18">
        <f t="shared" si="0"/>
        <v>5885850</v>
      </c>
      <c r="S19" s="18">
        <f t="shared" si="0"/>
        <v>5791109</v>
      </c>
      <c r="T19" s="18">
        <f t="shared" si="0"/>
        <v>6286340</v>
      </c>
      <c r="U19" s="18">
        <f t="shared" si="0"/>
        <v>6186092</v>
      </c>
      <c r="V19" s="18">
        <f t="shared" si="0"/>
        <v>6251592</v>
      </c>
      <c r="X19" s="18">
        <f>+SUM(X10:X17)</f>
        <v>7081472</v>
      </c>
      <c r="Y19" s="18">
        <f t="shared" ref="Y19:AG19" si="1">+SUM(Y10:Y17)</f>
        <v>6813101</v>
      </c>
      <c r="Z19" s="18">
        <f t="shared" si="1"/>
        <v>6878343</v>
      </c>
      <c r="AA19" s="18">
        <f t="shared" si="1"/>
        <v>6750119</v>
      </c>
      <c r="AB19" s="18"/>
      <c r="AC19" s="18">
        <f t="shared" si="1"/>
        <v>6506956</v>
      </c>
      <c r="AD19" s="18">
        <f t="shared" si="1"/>
        <v>6692224</v>
      </c>
      <c r="AE19" s="18">
        <f t="shared" si="1"/>
        <v>6549836</v>
      </c>
      <c r="AF19" s="18">
        <f t="shared" si="1"/>
        <v>6851955</v>
      </c>
      <c r="AG19" s="19">
        <f t="shared" si="1"/>
        <v>6824924</v>
      </c>
      <c r="AI19" s="18">
        <f t="shared" ref="AI19:AL19" si="2">+SUM(AI10:AI17)</f>
        <v>6763867</v>
      </c>
      <c r="AJ19" s="18">
        <f t="shared" si="2"/>
        <v>6940935</v>
      </c>
      <c r="AK19" s="18">
        <f t="shared" si="2"/>
        <v>7394088</v>
      </c>
      <c r="AL19" s="18">
        <f t="shared" si="2"/>
        <v>7126839</v>
      </c>
      <c r="AM19" s="18"/>
      <c r="AN19" s="18">
        <f t="shared" ref="AN19:AQ19" si="3">+SUM(AN10:AN17)</f>
        <v>8544298</v>
      </c>
      <c r="AO19" s="18">
        <f t="shared" si="3"/>
        <v>8410095</v>
      </c>
      <c r="AP19" s="18">
        <f t="shared" si="3"/>
        <v>7703285</v>
      </c>
      <c r="AQ19" s="18">
        <f t="shared" si="3"/>
        <v>6666051</v>
      </c>
      <c r="AR19" s="14"/>
      <c r="AS19" s="18">
        <f t="shared" ref="AS19:AZ19" si="4">+SUM(AS10:AS17)</f>
        <v>7251370</v>
      </c>
      <c r="AT19" s="18">
        <f t="shared" si="4"/>
        <v>7170066</v>
      </c>
      <c r="AU19" s="18">
        <f t="shared" si="4"/>
        <v>7284387</v>
      </c>
      <c r="AV19" s="18">
        <f t="shared" si="4"/>
        <v>7989257</v>
      </c>
      <c r="AW19" s="14"/>
      <c r="AX19" s="18">
        <f t="shared" si="4"/>
        <v>7649231</v>
      </c>
      <c r="AY19" s="18">
        <f t="shared" si="4"/>
        <v>7305200</v>
      </c>
      <c r="AZ19" s="18">
        <f t="shared" si="4"/>
        <v>9975676</v>
      </c>
      <c r="BA19" s="18">
        <f t="shared" ref="BA19:BC19" si="5">+SUM(BA10:BA17)</f>
        <v>13693378</v>
      </c>
      <c r="BB19" s="14"/>
      <c r="BC19" s="18">
        <f t="shared" si="5"/>
        <v>13262168</v>
      </c>
      <c r="BD19" s="18">
        <f t="shared" ref="BD19:BE19" si="6">+SUM(BD10:BD17)</f>
        <v>12257186</v>
      </c>
      <c r="BE19" s="18">
        <f t="shared" si="6"/>
        <v>12582604</v>
      </c>
      <c r="BF19" s="18">
        <f t="shared" ref="BF19:BH19" si="7">+SUM(BF10:BF17)</f>
        <v>10038551</v>
      </c>
      <c r="BG19" s="18"/>
      <c r="BH19" s="18">
        <f t="shared" si="7"/>
        <v>8741915</v>
      </c>
      <c r="BI19" s="18">
        <f t="shared" ref="BI19:BK19" si="8">+SUM(BI10:BI17)</f>
        <v>8697721</v>
      </c>
      <c r="BJ19" s="18">
        <f t="shared" si="8"/>
        <v>7679708</v>
      </c>
      <c r="BK19" s="18">
        <f t="shared" si="8"/>
        <v>16221543</v>
      </c>
      <c r="BL19" s="18"/>
      <c r="BM19" s="18">
        <f t="shared" ref="BM19" si="9">+SUM(BM10:BM17)</f>
        <v>30375997</v>
      </c>
      <c r="BN19" s="14" t="e">
        <f>+BM19-#REF!</f>
        <v>#REF!</v>
      </c>
      <c r="BO19" s="14" t="e">
        <f>+BK19-#REF!</f>
        <v>#REF!</v>
      </c>
    </row>
    <row r="20" spans="2:67" ht="5.25" customHeight="1" x14ac:dyDescent="0.25">
      <c r="C20" s="20"/>
      <c r="D20" s="20"/>
      <c r="E20" s="20"/>
      <c r="F20" s="20"/>
      <c r="G20" s="20"/>
      <c r="H20" s="20"/>
      <c r="J20" s="20"/>
      <c r="K20" s="20"/>
      <c r="L20" s="20"/>
      <c r="M20" s="20"/>
      <c r="N20" s="20"/>
      <c r="P20" s="20"/>
      <c r="Q20" s="20"/>
      <c r="R20" s="20"/>
      <c r="S20" s="20"/>
      <c r="T20" s="20"/>
      <c r="U20" s="20"/>
      <c r="V20" s="20"/>
      <c r="X20" s="20"/>
      <c r="Y20" s="20"/>
      <c r="Z20" s="20"/>
      <c r="AA20" s="20"/>
      <c r="AB20" s="20"/>
      <c r="AC20" s="20"/>
      <c r="AD20" s="20"/>
      <c r="AE20" s="20"/>
      <c r="AF20" s="20"/>
      <c r="AG20" s="20"/>
      <c r="AI20" s="20"/>
      <c r="AJ20" s="20"/>
      <c r="AK20" s="20"/>
      <c r="AL20" s="20"/>
      <c r="AM20" s="20"/>
      <c r="AN20" s="20"/>
      <c r="AO20" s="20"/>
      <c r="AP20" s="20"/>
      <c r="AQ20" s="20"/>
      <c r="AR20" s="14"/>
      <c r="AS20" s="20"/>
      <c r="AT20" s="20"/>
      <c r="AU20" s="20"/>
      <c r="AV20" s="20"/>
      <c r="AW20" s="14"/>
      <c r="AX20" s="20"/>
      <c r="AY20" s="20"/>
      <c r="AZ20" s="20"/>
      <c r="BA20" s="20"/>
      <c r="BB20" s="14"/>
      <c r="BC20" s="20"/>
      <c r="BD20" s="20"/>
      <c r="BE20" s="20"/>
      <c r="BF20" s="20"/>
      <c r="BG20" s="20"/>
      <c r="BH20" s="20"/>
      <c r="BI20" s="20"/>
      <c r="BJ20" s="20"/>
      <c r="BK20" s="20"/>
      <c r="BL20" s="20"/>
      <c r="BM20" s="20"/>
      <c r="BN20" s="14"/>
      <c r="BO20" s="14"/>
    </row>
    <row r="21" spans="2:67" ht="16.5" customHeight="1" x14ac:dyDescent="0.2">
      <c r="B21" s="21" t="s">
        <v>24</v>
      </c>
      <c r="C21" s="12">
        <v>8653427</v>
      </c>
      <c r="D21" s="12"/>
      <c r="E21" s="12">
        <v>8935072</v>
      </c>
      <c r="F21" s="12">
        <v>9068100</v>
      </c>
      <c r="G21" s="12">
        <v>9214489</v>
      </c>
      <c r="H21" s="12">
        <v>9290669</v>
      </c>
      <c r="J21" s="12">
        <v>8294641</v>
      </c>
      <c r="K21" s="12">
        <v>9415204</v>
      </c>
      <c r="L21" s="12">
        <v>9276252</v>
      </c>
      <c r="M21" s="16">
        <v>10149084</v>
      </c>
      <c r="N21" s="16">
        <v>11057388</v>
      </c>
      <c r="P21" s="13">
        <v>10186863</v>
      </c>
      <c r="Q21" s="13">
        <v>10523808</v>
      </c>
      <c r="R21" s="13">
        <v>10021757</v>
      </c>
      <c r="S21" s="13">
        <v>10352899</v>
      </c>
      <c r="T21" s="13">
        <v>10724307</v>
      </c>
      <c r="U21" s="13">
        <v>10068031</v>
      </c>
      <c r="V21" s="13">
        <v>9925907</v>
      </c>
      <c r="X21" s="13">
        <v>9305216</v>
      </c>
      <c r="Y21" s="13">
        <v>9415214</v>
      </c>
      <c r="Z21" s="13">
        <v>9217994</v>
      </c>
      <c r="AA21" s="13">
        <v>9616673</v>
      </c>
      <c r="AB21" s="22"/>
      <c r="AC21" s="13">
        <v>9294677</v>
      </c>
      <c r="AD21" s="13">
        <v>9539703</v>
      </c>
      <c r="AE21" s="13">
        <v>9593645</v>
      </c>
      <c r="AF21" s="13">
        <v>9846505</v>
      </c>
      <c r="AG21" s="13">
        <v>9846505</v>
      </c>
      <c r="AI21" s="13">
        <v>10062303</v>
      </c>
      <c r="AJ21" s="13">
        <v>10155467</v>
      </c>
      <c r="AK21" s="13">
        <v>10718255</v>
      </c>
      <c r="AL21" s="13">
        <v>10206002</v>
      </c>
      <c r="AM21" s="13"/>
      <c r="AN21" s="13">
        <v>10242667</v>
      </c>
      <c r="AO21" s="13">
        <v>10132137</v>
      </c>
      <c r="AP21" s="13">
        <v>10496967</v>
      </c>
      <c r="AQ21" s="13">
        <v>10263780</v>
      </c>
      <c r="AR21" s="14"/>
      <c r="AS21" s="13">
        <v>10463122</v>
      </c>
      <c r="AT21" s="13">
        <v>10613651</v>
      </c>
      <c r="AU21" s="13">
        <v>10665617</v>
      </c>
      <c r="AV21" s="13">
        <v>11590167</v>
      </c>
      <c r="AW21" s="14"/>
      <c r="AX21" s="13">
        <v>12353168</v>
      </c>
      <c r="AY21" s="13">
        <v>12378988</v>
      </c>
      <c r="AZ21" s="13">
        <v>12354606</v>
      </c>
      <c r="BA21" s="13">
        <v>13489764</v>
      </c>
      <c r="BB21" s="14"/>
      <c r="BC21" s="13">
        <v>14318261</v>
      </c>
      <c r="BD21" s="13">
        <v>11746217</v>
      </c>
      <c r="BE21" s="13">
        <v>11546483</v>
      </c>
      <c r="BF21" s="13">
        <v>11727430</v>
      </c>
      <c r="BG21" s="13"/>
      <c r="BH21" s="13">
        <v>22643007</v>
      </c>
      <c r="BI21" s="13">
        <v>24509369</v>
      </c>
      <c r="BJ21" s="13">
        <v>24517825</v>
      </c>
      <c r="BK21" s="13">
        <v>15158949</v>
      </c>
      <c r="BL21" s="13"/>
      <c r="BM21" s="13">
        <v>3485081</v>
      </c>
      <c r="BN21" s="14" t="e">
        <f>+BM21-#REF!</f>
        <v>#REF!</v>
      </c>
      <c r="BO21" s="14" t="e">
        <f>+BK21-#REF!</f>
        <v>#REF!</v>
      </c>
    </row>
    <row r="22" spans="2:67" ht="25.5" x14ac:dyDescent="0.25">
      <c r="B22" s="11" t="s">
        <v>18</v>
      </c>
      <c r="C22" s="12">
        <v>39047</v>
      </c>
      <c r="D22" s="12"/>
      <c r="E22" s="12">
        <v>50040</v>
      </c>
      <c r="F22" s="12">
        <v>686285</v>
      </c>
      <c r="G22" s="12">
        <v>40533</v>
      </c>
      <c r="H22" s="12">
        <v>52726</v>
      </c>
      <c r="J22" s="12">
        <v>36393</v>
      </c>
      <c r="K22" s="12">
        <v>43929</v>
      </c>
      <c r="L22" s="12">
        <v>183826</v>
      </c>
      <c r="M22" s="16">
        <v>217495</v>
      </c>
      <c r="N22" s="12">
        <f>281064+35475</f>
        <v>316539</v>
      </c>
      <c r="P22" s="13">
        <v>212255</v>
      </c>
      <c r="Q22" s="13">
        <v>850529</v>
      </c>
      <c r="R22" s="13">
        <v>1205357</v>
      </c>
      <c r="S22" s="13">
        <f>1818303-1</f>
        <v>1818302</v>
      </c>
      <c r="T22" s="13">
        <v>1478723</v>
      </c>
      <c r="U22" s="13">
        <f>2022828+1</f>
        <v>2022829</v>
      </c>
      <c r="V22" s="13">
        <f>2506692+53535</f>
        <v>2560227</v>
      </c>
      <c r="X22" s="13">
        <v>2413115</v>
      </c>
      <c r="Y22" s="13">
        <v>2632075</v>
      </c>
      <c r="Z22" s="13">
        <v>2564302</v>
      </c>
      <c r="AA22" s="13">
        <f>2619430</f>
        <v>2619430</v>
      </c>
      <c r="AB22" s="22"/>
      <c r="AC22" s="13">
        <v>2452386</v>
      </c>
      <c r="AD22" s="13">
        <v>2541049</v>
      </c>
      <c r="AE22" s="13">
        <v>2626524</v>
      </c>
      <c r="AF22" s="13">
        <f>2632021-1</f>
        <v>2632020</v>
      </c>
      <c r="AG22" s="13">
        <f>2632021-1</f>
        <v>2632020</v>
      </c>
      <c r="AI22" s="13">
        <v>2531992</v>
      </c>
      <c r="AJ22" s="13">
        <v>2534900</v>
      </c>
      <c r="AK22" s="13">
        <v>2804985</v>
      </c>
      <c r="AL22" s="13">
        <v>2493612</v>
      </c>
      <c r="AM22" s="13"/>
      <c r="AN22" s="13">
        <v>3054316</v>
      </c>
      <c r="AO22" s="13">
        <v>2833245</v>
      </c>
      <c r="AP22" s="13">
        <v>3195490</v>
      </c>
      <c r="AQ22" s="13">
        <f>2828010-2</f>
        <v>2828008</v>
      </c>
      <c r="AR22" s="14"/>
      <c r="AS22" s="13">
        <v>3078305</v>
      </c>
      <c r="AT22" s="13">
        <v>3136391</v>
      </c>
      <c r="AU22" s="13">
        <v>3119248</v>
      </c>
      <c r="AV22" s="13">
        <v>867991</v>
      </c>
      <c r="AW22" s="14"/>
      <c r="AX22" s="13">
        <v>915013</v>
      </c>
      <c r="AY22" s="13">
        <v>779178</v>
      </c>
      <c r="AZ22" s="13">
        <v>866636</v>
      </c>
      <c r="BA22" s="13">
        <v>574099</v>
      </c>
      <c r="BB22" s="14"/>
      <c r="BC22" s="13">
        <v>585505</v>
      </c>
      <c r="BD22" s="13">
        <v>518730</v>
      </c>
      <c r="BE22" s="13">
        <v>530104</v>
      </c>
      <c r="BF22" s="13">
        <v>713673</v>
      </c>
      <c r="BG22" s="13"/>
      <c r="BH22" s="13">
        <v>718366</v>
      </c>
      <c r="BI22" s="13">
        <v>789080</v>
      </c>
      <c r="BJ22" s="13">
        <v>831313</v>
      </c>
      <c r="BK22" s="13">
        <v>597111</v>
      </c>
      <c r="BL22" s="13"/>
      <c r="BM22" s="13">
        <v>542571</v>
      </c>
      <c r="BN22" s="14" t="e">
        <f>+BM22-#REF!</f>
        <v>#REF!</v>
      </c>
      <c r="BO22" s="14" t="e">
        <f>+BK22-#REF!</f>
        <v>#REF!</v>
      </c>
    </row>
    <row r="23" spans="2:67" ht="16.5" customHeight="1" x14ac:dyDescent="0.2">
      <c r="B23" s="21" t="s">
        <v>19</v>
      </c>
      <c r="C23" s="12">
        <v>0</v>
      </c>
      <c r="D23" s="12"/>
      <c r="E23" s="12">
        <v>0</v>
      </c>
      <c r="F23" s="12">
        <v>0</v>
      </c>
      <c r="G23" s="12">
        <v>0</v>
      </c>
      <c r="H23" s="12">
        <v>29508</v>
      </c>
      <c r="J23" s="12">
        <v>0</v>
      </c>
      <c r="K23" s="12">
        <v>0</v>
      </c>
      <c r="L23" s="12">
        <v>0</v>
      </c>
      <c r="M23" s="16">
        <v>24146</v>
      </c>
      <c r="N23" s="16">
        <v>24146</v>
      </c>
      <c r="P23" s="13">
        <v>26594</v>
      </c>
      <c r="Q23" s="13">
        <v>26594</v>
      </c>
      <c r="R23" s="13">
        <v>26594</v>
      </c>
      <c r="S23" s="13">
        <v>26594</v>
      </c>
      <c r="T23" s="13">
        <v>20659</v>
      </c>
      <c r="U23" s="13">
        <v>20659</v>
      </c>
      <c r="V23" s="13">
        <v>42583</v>
      </c>
      <c r="X23" s="13">
        <v>44913</v>
      </c>
      <c r="Y23" s="13">
        <v>46887</v>
      </c>
      <c r="Z23" s="13">
        <v>46720</v>
      </c>
      <c r="AA23" s="13">
        <v>47275</v>
      </c>
      <c r="AB23" s="13"/>
      <c r="AC23" s="13">
        <v>47952</v>
      </c>
      <c r="AD23" s="13">
        <v>49144</v>
      </c>
      <c r="AE23" s="13">
        <v>50734</v>
      </c>
      <c r="AF23" s="13">
        <v>36747</v>
      </c>
      <c r="AG23" s="13">
        <v>36747</v>
      </c>
      <c r="AI23" s="13">
        <v>36959</v>
      </c>
      <c r="AJ23" s="13">
        <v>37029</v>
      </c>
      <c r="AK23" s="13">
        <v>36065</v>
      </c>
      <c r="AL23" s="13">
        <v>37204</v>
      </c>
      <c r="AM23" s="13"/>
      <c r="AN23" s="13">
        <v>37366</v>
      </c>
      <c r="AO23" s="13">
        <v>0</v>
      </c>
      <c r="AP23" s="13">
        <v>0</v>
      </c>
      <c r="AQ23" s="13">
        <v>0</v>
      </c>
      <c r="AR23" s="14"/>
      <c r="AS23" s="13">
        <v>0</v>
      </c>
      <c r="AT23" s="13">
        <v>0</v>
      </c>
      <c r="AU23" s="13">
        <v>0</v>
      </c>
      <c r="AV23" s="13">
        <v>0</v>
      </c>
      <c r="AW23" s="14"/>
      <c r="AX23" s="13">
        <v>0</v>
      </c>
      <c r="AY23" s="13">
        <v>0</v>
      </c>
      <c r="AZ23" s="13">
        <v>0</v>
      </c>
      <c r="BA23" s="13">
        <v>0</v>
      </c>
      <c r="BB23" s="14"/>
      <c r="BC23" s="13">
        <v>0</v>
      </c>
      <c r="BD23" s="13">
        <v>0</v>
      </c>
      <c r="BE23" s="13">
        <v>0</v>
      </c>
      <c r="BF23" s="13">
        <v>0</v>
      </c>
      <c r="BG23" s="13"/>
      <c r="BH23" s="13">
        <v>0</v>
      </c>
      <c r="BI23" s="13">
        <v>0</v>
      </c>
      <c r="BJ23" s="13">
        <v>0</v>
      </c>
      <c r="BK23" s="13">
        <v>0</v>
      </c>
      <c r="BL23" s="13"/>
      <c r="BM23" s="13">
        <v>0</v>
      </c>
      <c r="BN23" s="14" t="e">
        <f>+BM23-#REF!</f>
        <v>#REF!</v>
      </c>
      <c r="BO23" s="14" t="e">
        <f>+BK23-#REF!</f>
        <v>#REF!</v>
      </c>
    </row>
    <row r="24" spans="2:67" ht="16.5" customHeight="1" x14ac:dyDescent="0.2">
      <c r="B24" s="21" t="s">
        <v>25</v>
      </c>
      <c r="C24" s="12">
        <v>0</v>
      </c>
      <c r="D24" s="12"/>
      <c r="E24" s="12">
        <v>0</v>
      </c>
      <c r="F24" s="12">
        <v>0</v>
      </c>
      <c r="G24" s="12">
        <v>0</v>
      </c>
      <c r="H24" s="12">
        <v>0</v>
      </c>
      <c r="J24" s="12">
        <v>0</v>
      </c>
      <c r="K24" s="12">
        <v>0</v>
      </c>
      <c r="L24" s="12">
        <v>0</v>
      </c>
      <c r="M24" s="12">
        <v>0</v>
      </c>
      <c r="N24" s="12">
        <v>0</v>
      </c>
      <c r="P24" s="12">
        <v>0</v>
      </c>
      <c r="Q24" s="12">
        <v>0</v>
      </c>
      <c r="R24" s="12">
        <v>0</v>
      </c>
      <c r="S24" s="12">
        <v>0</v>
      </c>
      <c r="T24" s="12">
        <v>0</v>
      </c>
      <c r="U24" s="12">
        <v>0</v>
      </c>
      <c r="V24" s="12">
        <v>0</v>
      </c>
      <c r="X24" s="12">
        <v>0</v>
      </c>
      <c r="Y24" s="12">
        <v>0</v>
      </c>
      <c r="Z24" s="12">
        <v>0</v>
      </c>
      <c r="AA24" s="12">
        <v>0</v>
      </c>
      <c r="AB24" s="13"/>
      <c r="AC24" s="12">
        <v>0</v>
      </c>
      <c r="AD24" s="12">
        <v>0</v>
      </c>
      <c r="AE24" s="12">
        <v>0</v>
      </c>
      <c r="AF24" s="12">
        <v>0</v>
      </c>
      <c r="AG24" s="12">
        <v>0</v>
      </c>
      <c r="AI24" s="13">
        <v>1052531</v>
      </c>
      <c r="AJ24" s="13">
        <v>1126595</v>
      </c>
      <c r="AK24" s="13">
        <v>1142187</v>
      </c>
      <c r="AL24" s="13">
        <v>1071329</v>
      </c>
      <c r="AM24" s="13"/>
      <c r="AN24" s="13">
        <v>1024970</v>
      </c>
      <c r="AO24" s="13">
        <v>902442</v>
      </c>
      <c r="AP24" s="13">
        <v>875096</v>
      </c>
      <c r="AQ24" s="13">
        <v>813037</v>
      </c>
      <c r="AR24" s="14"/>
      <c r="AS24" s="13">
        <v>720008</v>
      </c>
      <c r="AT24" s="13">
        <v>688018</v>
      </c>
      <c r="AU24" s="13">
        <v>691925</v>
      </c>
      <c r="AV24" s="13">
        <v>704186</v>
      </c>
      <c r="AW24" s="14"/>
      <c r="AX24" s="13">
        <v>674017</v>
      </c>
      <c r="AY24" s="13">
        <v>689454</v>
      </c>
      <c r="AZ24" s="13">
        <v>665541</v>
      </c>
      <c r="BA24" s="13">
        <v>669838</v>
      </c>
      <c r="BB24" s="14"/>
      <c r="BC24" s="13">
        <v>633519</v>
      </c>
      <c r="BD24" s="13">
        <v>568297</v>
      </c>
      <c r="BE24" s="13">
        <v>570439</v>
      </c>
      <c r="BF24" s="13">
        <v>513956</v>
      </c>
      <c r="BG24" s="13"/>
      <c r="BH24" s="13">
        <v>223289</v>
      </c>
      <c r="BI24" s="13">
        <v>209256</v>
      </c>
      <c r="BJ24" s="13">
        <v>197681</v>
      </c>
      <c r="BK24" s="13">
        <v>178306</v>
      </c>
      <c r="BL24" s="13"/>
      <c r="BM24" s="13">
        <v>152699</v>
      </c>
      <c r="BN24" s="14" t="e">
        <f>+BM24-#REF!</f>
        <v>#REF!</v>
      </c>
      <c r="BO24" s="14" t="e">
        <f>+BK24-#REF!</f>
        <v>#REF!</v>
      </c>
    </row>
    <row r="25" spans="2:67" ht="16.5" customHeight="1" x14ac:dyDescent="0.2">
      <c r="B25" s="21" t="s">
        <v>319</v>
      </c>
      <c r="C25" s="23">
        <v>2237788</v>
      </c>
      <c r="D25" s="23"/>
      <c r="E25" s="23">
        <v>2751255</v>
      </c>
      <c r="F25" s="23">
        <v>2220411</v>
      </c>
      <c r="G25" s="23">
        <v>2435384</v>
      </c>
      <c r="H25" s="23">
        <v>3409486</v>
      </c>
      <c r="J25" s="23">
        <v>2804196</v>
      </c>
      <c r="K25" s="23">
        <v>3410689</v>
      </c>
      <c r="L25" s="23">
        <v>4668749</v>
      </c>
      <c r="M25" s="16">
        <v>5298574</v>
      </c>
      <c r="N25" s="12">
        <f>4842947+1</f>
        <v>4842948</v>
      </c>
      <c r="P25" s="13">
        <v>5147746</v>
      </c>
      <c r="Q25" s="13">
        <v>4671225</v>
      </c>
      <c r="R25" s="13">
        <v>5169608</v>
      </c>
      <c r="S25" s="13">
        <v>4702047</v>
      </c>
      <c r="T25" s="13">
        <v>4553369</v>
      </c>
      <c r="U25" s="13">
        <v>4647798</v>
      </c>
      <c r="V25" s="13">
        <v>4638553</v>
      </c>
      <c r="X25" s="13">
        <v>7252336</v>
      </c>
      <c r="Y25" s="13">
        <v>7409157</v>
      </c>
      <c r="Z25" s="13">
        <v>7237219</v>
      </c>
      <c r="AA25" s="13">
        <v>7196127</v>
      </c>
      <c r="AB25" s="13"/>
      <c r="AC25" s="13">
        <v>6895316</v>
      </c>
      <c r="AD25" s="13">
        <v>6940394</v>
      </c>
      <c r="AE25" s="13">
        <v>6881011</v>
      </c>
      <c r="AF25" s="13">
        <v>7101499</v>
      </c>
      <c r="AG25" s="13">
        <v>7101499</v>
      </c>
      <c r="AI25" s="13">
        <v>6924103</v>
      </c>
      <c r="AJ25" s="13">
        <v>6926606</v>
      </c>
      <c r="AK25" s="13">
        <v>7117601</v>
      </c>
      <c r="AL25" s="13">
        <v>7985719</v>
      </c>
      <c r="AM25" s="13"/>
      <c r="AN25" s="13">
        <v>8589497</v>
      </c>
      <c r="AO25" s="13">
        <v>8240836</v>
      </c>
      <c r="AP25" s="13">
        <v>8263998</v>
      </c>
      <c r="AQ25" s="13">
        <v>7713637</v>
      </c>
      <c r="AR25" s="14"/>
      <c r="AS25" s="13">
        <v>7869026</v>
      </c>
      <c r="AT25" s="13">
        <v>7554862</v>
      </c>
      <c r="AU25" s="13">
        <v>7494806</v>
      </c>
      <c r="AV25" s="13">
        <v>7430883</v>
      </c>
      <c r="AW25" s="14"/>
      <c r="AX25" s="13">
        <v>6992098</v>
      </c>
      <c r="AY25" s="13">
        <v>5569580</v>
      </c>
      <c r="AZ25" s="13">
        <v>4083321</v>
      </c>
      <c r="BA25" s="13">
        <v>3103213</v>
      </c>
      <c r="BB25" s="14"/>
      <c r="BC25" s="13">
        <v>2978309</v>
      </c>
      <c r="BD25" s="13">
        <v>2729535</v>
      </c>
      <c r="BE25" s="13">
        <v>2623910</v>
      </c>
      <c r="BF25" s="13">
        <v>2419039</v>
      </c>
      <c r="BG25" s="13"/>
      <c r="BH25" s="13">
        <v>1655691</v>
      </c>
      <c r="BI25" s="13">
        <v>1758485</v>
      </c>
      <c r="BJ25" s="13">
        <v>1786366</v>
      </c>
      <c r="BK25" s="13">
        <v>1827226</v>
      </c>
      <c r="BL25" s="13"/>
      <c r="BM25" s="13">
        <v>1741914</v>
      </c>
      <c r="BN25" s="14" t="e">
        <f>+BM25-#REF!</f>
        <v>#REF!</v>
      </c>
      <c r="BO25" s="14" t="e">
        <f>+BK25-#REF!</f>
        <v>#REF!</v>
      </c>
    </row>
    <row r="26" spans="2:67" ht="16.5" customHeight="1" x14ac:dyDescent="0.2">
      <c r="B26" s="21" t="s">
        <v>27</v>
      </c>
      <c r="C26" s="12">
        <v>11812193</v>
      </c>
      <c r="D26" s="12"/>
      <c r="E26" s="12">
        <v>12809441</v>
      </c>
      <c r="F26" s="12">
        <v>13268791</v>
      </c>
      <c r="G26" s="12">
        <v>12820449</v>
      </c>
      <c r="H26" s="12">
        <v>15566951</v>
      </c>
      <c r="J26" s="12">
        <v>16155449</v>
      </c>
      <c r="K26" s="12">
        <v>16238337</v>
      </c>
      <c r="L26" s="12">
        <v>17428525</v>
      </c>
      <c r="M26" s="16">
        <v>17935551</v>
      </c>
      <c r="N26" s="16">
        <v>17087908</v>
      </c>
      <c r="P26" s="13">
        <v>17484599</v>
      </c>
      <c r="Q26" s="13">
        <v>16673832</v>
      </c>
      <c r="R26" s="13">
        <v>17222744</v>
      </c>
      <c r="S26" s="13">
        <v>16447557</v>
      </c>
      <c r="T26" s="13">
        <v>17079909</v>
      </c>
      <c r="U26" s="13">
        <v>16451973</v>
      </c>
      <c r="V26" s="13">
        <v>18258476</v>
      </c>
      <c r="X26" s="13">
        <v>17933353</v>
      </c>
      <c r="Y26" s="13">
        <v>18415650</v>
      </c>
      <c r="Z26" s="13">
        <v>18125618</v>
      </c>
      <c r="AA26" s="13">
        <v>18481446</v>
      </c>
      <c r="AB26" s="13"/>
      <c r="AC26" s="13">
        <v>17804943</v>
      </c>
      <c r="AD26" s="13">
        <v>18224517</v>
      </c>
      <c r="AE26" s="13">
        <v>18354637</v>
      </c>
      <c r="AF26" s="13">
        <v>19332437</v>
      </c>
      <c r="AG26" s="13">
        <v>19332437</v>
      </c>
      <c r="AI26" s="13">
        <v>18884036</v>
      </c>
      <c r="AJ26" s="13">
        <v>20616563</v>
      </c>
      <c r="AK26" s="13">
        <v>20540962</v>
      </c>
      <c r="AL26" s="13">
        <v>19082640</v>
      </c>
      <c r="AM26" s="13"/>
      <c r="AN26" s="13">
        <v>21225828</v>
      </c>
      <c r="AO26" s="13">
        <v>20323657</v>
      </c>
      <c r="AP26" s="13">
        <v>20656340</v>
      </c>
      <c r="AQ26" s="13">
        <v>19659963</v>
      </c>
      <c r="AR26" s="14"/>
      <c r="AS26" s="13">
        <v>20572767</v>
      </c>
      <c r="AT26" s="13">
        <v>20499106</v>
      </c>
      <c r="AU26" s="13">
        <v>20985155</v>
      </c>
      <c r="AV26" s="13">
        <v>21057939</v>
      </c>
      <c r="AW26" s="14"/>
      <c r="AX26" s="13">
        <v>20557447</v>
      </c>
      <c r="AY26" s="13">
        <v>21684861</v>
      </c>
      <c r="AZ26" s="13">
        <v>22994241</v>
      </c>
      <c r="BA26" s="13">
        <v>22497982</v>
      </c>
      <c r="BB26" s="14"/>
      <c r="BC26" s="13">
        <v>22399803</v>
      </c>
      <c r="BD26" s="13">
        <v>21632655</v>
      </c>
      <c r="BE26" s="13">
        <v>21586711</v>
      </c>
      <c r="BF26" s="13">
        <v>21292470</v>
      </c>
      <c r="BG26" s="13"/>
      <c r="BH26" s="13">
        <v>14804391</v>
      </c>
      <c r="BI26" s="13">
        <v>14711795</v>
      </c>
      <c r="BJ26" s="13">
        <v>15048941</v>
      </c>
      <c r="BK26" s="13">
        <v>15569044</v>
      </c>
      <c r="BL26" s="13"/>
      <c r="BM26" s="13">
        <v>15607068</v>
      </c>
      <c r="BN26" s="14" t="e">
        <f>+BM26-#REF!</f>
        <v>#REF!</v>
      </c>
      <c r="BO26" s="14" t="e">
        <f>+BK26-#REF!</f>
        <v>#REF!</v>
      </c>
    </row>
    <row r="27" spans="2:67" ht="16.5" customHeight="1" x14ac:dyDescent="0.2">
      <c r="B27" s="21" t="s">
        <v>28</v>
      </c>
      <c r="C27" s="12">
        <v>0</v>
      </c>
      <c r="D27" s="12"/>
      <c r="E27" s="12">
        <v>0</v>
      </c>
      <c r="F27" s="12">
        <v>0</v>
      </c>
      <c r="G27" s="12">
        <v>0</v>
      </c>
      <c r="H27" s="12">
        <v>0</v>
      </c>
      <c r="J27" s="12">
        <v>0</v>
      </c>
      <c r="K27" s="12">
        <v>0</v>
      </c>
      <c r="L27" s="12">
        <v>0</v>
      </c>
      <c r="M27" s="16">
        <v>0</v>
      </c>
      <c r="N27" s="16">
        <v>0</v>
      </c>
      <c r="P27" s="13">
        <v>0</v>
      </c>
      <c r="Q27" s="13">
        <v>0</v>
      </c>
      <c r="R27" s="13">
        <v>0</v>
      </c>
      <c r="S27" s="13">
        <v>0</v>
      </c>
      <c r="T27" s="13">
        <v>0</v>
      </c>
      <c r="U27" s="13">
        <v>0</v>
      </c>
      <c r="V27" s="13">
        <v>0</v>
      </c>
      <c r="X27" s="13">
        <v>0</v>
      </c>
      <c r="Y27" s="13">
        <v>0</v>
      </c>
      <c r="Z27" s="13">
        <v>0</v>
      </c>
      <c r="AA27" s="13">
        <v>0</v>
      </c>
      <c r="AB27" s="13"/>
      <c r="AC27" s="13">
        <v>0</v>
      </c>
      <c r="AD27" s="13">
        <v>0</v>
      </c>
      <c r="AE27" s="13">
        <v>0</v>
      </c>
      <c r="AF27" s="13">
        <v>0</v>
      </c>
      <c r="AG27" s="13">
        <v>0</v>
      </c>
      <c r="AI27" s="13">
        <v>0</v>
      </c>
      <c r="AJ27" s="13">
        <v>0</v>
      </c>
      <c r="AK27" s="13">
        <v>0</v>
      </c>
      <c r="AL27" s="13">
        <v>0</v>
      </c>
      <c r="AM27" s="13"/>
      <c r="AN27" s="13">
        <v>0</v>
      </c>
      <c r="AO27" s="13">
        <v>0</v>
      </c>
      <c r="AP27" s="13">
        <v>0</v>
      </c>
      <c r="AQ27" s="13">
        <v>0</v>
      </c>
      <c r="AR27" s="14"/>
      <c r="AS27" s="13">
        <v>0</v>
      </c>
      <c r="AT27" s="13">
        <v>0</v>
      </c>
      <c r="AU27" s="13">
        <v>0</v>
      </c>
      <c r="AV27" s="13">
        <v>0</v>
      </c>
      <c r="AW27" s="14"/>
      <c r="AX27" s="13">
        <v>0</v>
      </c>
      <c r="AY27" s="13">
        <v>0</v>
      </c>
      <c r="AZ27" s="13">
        <v>0</v>
      </c>
      <c r="BA27" s="13">
        <v>0</v>
      </c>
      <c r="BB27" s="14"/>
      <c r="BC27" s="13">
        <v>0</v>
      </c>
      <c r="BD27" s="13">
        <v>0</v>
      </c>
      <c r="BE27" s="13">
        <v>0</v>
      </c>
      <c r="BF27" s="13">
        <v>0</v>
      </c>
      <c r="BG27" s="13"/>
      <c r="BH27" s="13">
        <v>0</v>
      </c>
      <c r="BI27" s="13">
        <v>0</v>
      </c>
      <c r="BJ27" s="13">
        <v>0</v>
      </c>
      <c r="BK27" s="13">
        <v>0</v>
      </c>
      <c r="BL27" s="13"/>
      <c r="BM27" s="13">
        <v>0</v>
      </c>
      <c r="BN27" s="14" t="e">
        <f>+BM27-#REF!</f>
        <v>#REF!</v>
      </c>
      <c r="BO27" s="14" t="e">
        <f>+BK27-#REF!</f>
        <v>#REF!</v>
      </c>
    </row>
    <row r="28" spans="2:67" ht="16.5" customHeight="1" x14ac:dyDescent="0.2">
      <c r="B28" s="21" t="s">
        <v>29</v>
      </c>
      <c r="C28" s="23">
        <v>1713424</v>
      </c>
      <c r="D28" s="23"/>
      <c r="E28" s="23">
        <v>1861384</v>
      </c>
      <c r="F28" s="23">
        <v>1878130</v>
      </c>
      <c r="G28" s="23">
        <v>2592574</v>
      </c>
      <c r="H28" s="23">
        <v>1721516</v>
      </c>
      <c r="J28" s="23">
        <v>1877932</v>
      </c>
      <c r="K28" s="23">
        <v>1893825</v>
      </c>
      <c r="L28" s="23">
        <v>2727437</v>
      </c>
      <c r="M28" s="16">
        <v>1669342</v>
      </c>
      <c r="N28" s="16">
        <v>2403554</v>
      </c>
      <c r="P28" s="13">
        <v>1690358</v>
      </c>
      <c r="Q28" s="13">
        <v>2410241</v>
      </c>
      <c r="R28" s="13">
        <v>1625165</v>
      </c>
      <c r="S28" s="13">
        <v>2319070</v>
      </c>
      <c r="T28" s="13">
        <v>1627804</v>
      </c>
      <c r="U28" s="13">
        <v>2324647</v>
      </c>
      <c r="V28" s="13">
        <v>2273994</v>
      </c>
      <c r="X28" s="13">
        <v>2183436</v>
      </c>
      <c r="Y28" s="13">
        <v>2167970</v>
      </c>
      <c r="Z28" s="13">
        <v>2282995</v>
      </c>
      <c r="AA28" s="13">
        <v>2203222</v>
      </c>
      <c r="AB28" s="13"/>
      <c r="AC28" s="13">
        <v>2217013</v>
      </c>
      <c r="AD28" s="13">
        <v>2224874</v>
      </c>
      <c r="AE28" s="13">
        <v>2240665</v>
      </c>
      <c r="AF28" s="13">
        <v>2298386</v>
      </c>
      <c r="AG28" s="13">
        <v>2298386</v>
      </c>
      <c r="AI28" s="13">
        <v>2330133</v>
      </c>
      <c r="AJ28" s="13">
        <v>2339892</v>
      </c>
      <c r="AK28" s="13">
        <v>2352844</v>
      </c>
      <c r="AL28" s="13">
        <v>2317216</v>
      </c>
      <c r="AM28" s="13"/>
      <c r="AN28" s="13">
        <v>2343832</v>
      </c>
      <c r="AO28" s="13">
        <v>2336459</v>
      </c>
      <c r="AP28" s="13">
        <v>2342004</v>
      </c>
      <c r="AQ28" s="13">
        <v>2280815</v>
      </c>
      <c r="AR28" s="14"/>
      <c r="AS28" s="13">
        <v>2305584</v>
      </c>
      <c r="AT28" s="13">
        <v>2319505</v>
      </c>
      <c r="AU28" s="13">
        <v>2319460</v>
      </c>
      <c r="AV28" s="13">
        <v>2352836</v>
      </c>
      <c r="AW28" s="14"/>
      <c r="AX28" s="13">
        <v>2291062</v>
      </c>
      <c r="AY28" s="13">
        <v>2309735</v>
      </c>
      <c r="AZ28" s="13">
        <v>2324029</v>
      </c>
      <c r="BA28" s="13">
        <v>2290960</v>
      </c>
      <c r="BB28" s="14"/>
      <c r="BC28" s="13">
        <v>2325788</v>
      </c>
      <c r="BD28" s="13">
        <v>2259873</v>
      </c>
      <c r="BE28" s="13">
        <v>2236591</v>
      </c>
      <c r="BF28" s="13">
        <v>2203969</v>
      </c>
      <c r="BG28" s="13"/>
      <c r="BH28" s="13">
        <v>2059342</v>
      </c>
      <c r="BI28" s="13">
        <v>1965681</v>
      </c>
      <c r="BJ28" s="13">
        <v>1975033</v>
      </c>
      <c r="BK28" s="13">
        <v>1963422</v>
      </c>
      <c r="BL28" s="13"/>
      <c r="BM28" s="13">
        <v>1361405</v>
      </c>
      <c r="BN28" s="14" t="e">
        <f>+BM28-#REF!</f>
        <v>#REF!</v>
      </c>
      <c r="BO28" s="14" t="e">
        <f>+BK28-#REF!</f>
        <v>#REF!</v>
      </c>
    </row>
    <row r="29" spans="2:67" ht="16.5" customHeight="1" x14ac:dyDescent="0.2">
      <c r="B29" s="21" t="s">
        <v>30</v>
      </c>
      <c r="C29" s="23">
        <v>271714</v>
      </c>
      <c r="D29" s="23"/>
      <c r="E29" s="23">
        <v>167370</v>
      </c>
      <c r="F29" s="23">
        <v>173351</v>
      </c>
      <c r="G29" s="23">
        <v>112227</v>
      </c>
      <c r="H29" s="23">
        <v>417462</v>
      </c>
      <c r="I29" s="23"/>
      <c r="J29" s="23">
        <v>525806</v>
      </c>
      <c r="K29" s="23">
        <v>209240</v>
      </c>
      <c r="L29" s="23">
        <v>412071</v>
      </c>
      <c r="M29" s="16">
        <v>769633</v>
      </c>
      <c r="N29" s="16">
        <v>767054</v>
      </c>
      <c r="P29" s="13">
        <v>743212</v>
      </c>
      <c r="Q29" s="13">
        <v>740683</v>
      </c>
      <c r="R29" s="13">
        <v>743402</v>
      </c>
      <c r="S29" s="13">
        <v>740873</v>
      </c>
      <c r="T29" s="13">
        <v>715743</v>
      </c>
      <c r="U29" s="13">
        <v>715743</v>
      </c>
      <c r="V29" s="13">
        <v>758382</v>
      </c>
      <c r="X29" s="13">
        <v>746592</v>
      </c>
      <c r="Y29" s="13">
        <v>760516</v>
      </c>
      <c r="Z29" s="13">
        <v>725115</v>
      </c>
      <c r="AA29" s="13">
        <v>573316</v>
      </c>
      <c r="AB29" s="13"/>
      <c r="AC29" s="13">
        <v>419998</v>
      </c>
      <c r="AD29" s="13">
        <v>472307</v>
      </c>
      <c r="AE29" s="13">
        <v>541332</v>
      </c>
      <c r="AF29" s="13">
        <v>555133</v>
      </c>
      <c r="AG29" s="13">
        <v>515693</v>
      </c>
      <c r="AI29" s="13">
        <v>569084</v>
      </c>
      <c r="AJ29" s="13">
        <v>553460</v>
      </c>
      <c r="AK29" s="13">
        <v>578496</v>
      </c>
      <c r="AL29" s="13">
        <v>332321</v>
      </c>
      <c r="AM29" s="13"/>
      <c r="AN29" s="13">
        <v>539515</v>
      </c>
      <c r="AO29" s="13">
        <v>569749</v>
      </c>
      <c r="AP29" s="13">
        <v>567450</v>
      </c>
      <c r="AQ29" s="13">
        <v>388664</v>
      </c>
      <c r="AR29" s="14"/>
      <c r="AS29" s="13">
        <v>397401</v>
      </c>
      <c r="AT29" s="13">
        <v>383622</v>
      </c>
      <c r="AU29" s="13">
        <v>430793</v>
      </c>
      <c r="AV29" s="13">
        <v>400299</v>
      </c>
      <c r="AW29" s="14"/>
      <c r="AX29" s="13">
        <v>391973</v>
      </c>
      <c r="AY29" s="13">
        <v>358404</v>
      </c>
      <c r="AZ29" s="13">
        <v>323958</v>
      </c>
      <c r="BA29" s="13">
        <v>326029</v>
      </c>
      <c r="BB29" s="14"/>
      <c r="BC29" s="13">
        <v>353359</v>
      </c>
      <c r="BD29" s="13">
        <v>388606</v>
      </c>
      <c r="BE29" s="13">
        <v>412387</v>
      </c>
      <c r="BF29" s="13">
        <v>306791</v>
      </c>
      <c r="BG29" s="13"/>
      <c r="BH29" s="13">
        <v>161251</v>
      </c>
      <c r="BI29" s="13">
        <v>146482</v>
      </c>
      <c r="BJ29" s="13">
        <v>149905</v>
      </c>
      <c r="BK29" s="13">
        <v>114560</v>
      </c>
      <c r="BL29" s="13"/>
      <c r="BM29" s="13">
        <v>109663</v>
      </c>
      <c r="BN29" s="14" t="e">
        <f>+BM29-#REF!</f>
        <v>#REF!</v>
      </c>
      <c r="BO29" s="14" t="e">
        <f>+BK29-#REF!</f>
        <v>#REF!</v>
      </c>
    </row>
    <row r="30" spans="2:67" ht="16.5" customHeight="1" x14ac:dyDescent="0.2">
      <c r="B30" s="21" t="s">
        <v>20</v>
      </c>
      <c r="C30" s="23">
        <v>61767</v>
      </c>
      <c r="D30" s="23"/>
      <c r="E30" s="23">
        <v>58571</v>
      </c>
      <c r="F30" s="23">
        <v>40591</v>
      </c>
      <c r="G30" s="23">
        <v>60006</v>
      </c>
      <c r="H30" s="23">
        <v>66970</v>
      </c>
      <c r="I30" s="23"/>
      <c r="J30" s="23">
        <v>58855</v>
      </c>
      <c r="K30" s="23">
        <v>18921</v>
      </c>
      <c r="L30" s="23">
        <v>18921</v>
      </c>
      <c r="M30" s="16">
        <v>20243</v>
      </c>
      <c r="N30" s="16">
        <v>20243</v>
      </c>
      <c r="P30" s="13">
        <v>20242</v>
      </c>
      <c r="Q30" s="13">
        <v>20242</v>
      </c>
      <c r="R30" s="13">
        <v>20242</v>
      </c>
      <c r="S30" s="13">
        <v>20242</v>
      </c>
      <c r="T30" s="13">
        <v>20242</v>
      </c>
      <c r="U30" s="13">
        <v>20242</v>
      </c>
      <c r="V30" s="13">
        <v>20870</v>
      </c>
      <c r="X30" s="13">
        <v>20870</v>
      </c>
      <c r="Y30" s="13">
        <v>20870</v>
      </c>
      <c r="Z30" s="13">
        <v>54414</v>
      </c>
      <c r="AA30" s="13">
        <v>54129</v>
      </c>
      <c r="AB30" s="13"/>
      <c r="AC30" s="13">
        <v>55109</v>
      </c>
      <c r="AD30" s="13">
        <v>55427</v>
      </c>
      <c r="AE30" s="13">
        <v>45945</v>
      </c>
      <c r="AF30" s="13">
        <v>48225</v>
      </c>
      <c r="AG30" s="13">
        <v>48225</v>
      </c>
      <c r="AI30" s="13">
        <v>47262</v>
      </c>
      <c r="AJ30" s="13">
        <v>46974</v>
      </c>
      <c r="AK30" s="13">
        <v>45919</v>
      </c>
      <c r="AL30" s="13">
        <v>48444</v>
      </c>
      <c r="AM30" s="13"/>
      <c r="AN30" s="13">
        <v>50533</v>
      </c>
      <c r="AO30" s="13">
        <v>50211</v>
      </c>
      <c r="AP30" s="13">
        <v>49675</v>
      </c>
      <c r="AQ30" s="13">
        <v>53721</v>
      </c>
      <c r="AR30" s="14"/>
      <c r="AS30" s="13">
        <v>54700</v>
      </c>
      <c r="AT30" s="13">
        <v>54786</v>
      </c>
      <c r="AU30" s="13">
        <v>54729</v>
      </c>
      <c r="AV30" s="13">
        <v>56866</v>
      </c>
      <c r="AW30" s="14"/>
      <c r="AX30" s="13">
        <v>56632</v>
      </c>
      <c r="AY30" s="13">
        <v>56014</v>
      </c>
      <c r="AZ30" s="13">
        <v>55340</v>
      </c>
      <c r="BA30" s="13">
        <v>57993</v>
      </c>
      <c r="BB30" s="14"/>
      <c r="BC30" s="13">
        <v>56208</v>
      </c>
      <c r="BD30" s="13">
        <v>54824</v>
      </c>
      <c r="BE30" s="13">
        <v>54394</v>
      </c>
      <c r="BF30" s="13">
        <v>57170</v>
      </c>
      <c r="BG30" s="13"/>
      <c r="BH30" s="13">
        <v>57142</v>
      </c>
      <c r="BI30" s="13">
        <v>56847</v>
      </c>
      <c r="BJ30" s="13">
        <v>56339</v>
      </c>
      <c r="BK30" s="13">
        <v>63407</v>
      </c>
      <c r="BL30" s="13"/>
      <c r="BM30" s="13">
        <v>63736</v>
      </c>
      <c r="BN30" s="14" t="e">
        <f>+BM30-#REF!</f>
        <v>#REF!</v>
      </c>
      <c r="BO30" s="14" t="e">
        <f>+BK30-#REF!</f>
        <v>#REF!</v>
      </c>
    </row>
    <row r="31" spans="2:67" ht="16.5" customHeight="1" x14ac:dyDescent="0.2">
      <c r="B31" s="21" t="s">
        <v>31</v>
      </c>
      <c r="C31" s="12">
        <v>2272</v>
      </c>
      <c r="D31" s="12"/>
      <c r="E31" s="12">
        <v>3294</v>
      </c>
      <c r="F31" s="12">
        <v>-14</v>
      </c>
      <c r="G31" s="12">
        <v>8738</v>
      </c>
      <c r="H31" s="12">
        <v>168</v>
      </c>
      <c r="J31" s="12">
        <v>0</v>
      </c>
      <c r="K31" s="12">
        <v>0</v>
      </c>
      <c r="L31" s="12">
        <v>16436</v>
      </c>
      <c r="M31" s="16">
        <v>324</v>
      </c>
      <c r="N31" s="16">
        <v>324</v>
      </c>
      <c r="P31" s="13">
        <v>0</v>
      </c>
      <c r="Q31" s="13">
        <v>0</v>
      </c>
      <c r="R31" s="13">
        <v>0</v>
      </c>
      <c r="S31" s="13">
        <v>0</v>
      </c>
      <c r="T31" s="13">
        <v>0</v>
      </c>
      <c r="U31" s="13">
        <v>0</v>
      </c>
      <c r="V31" s="13">
        <v>650</v>
      </c>
      <c r="X31" s="13">
        <v>701</v>
      </c>
      <c r="Y31" s="13">
        <v>548</v>
      </c>
      <c r="Z31" s="13">
        <v>563</v>
      </c>
      <c r="AA31" s="13">
        <v>2533</v>
      </c>
      <c r="AB31" s="13"/>
      <c r="AC31" s="13">
        <v>8278</v>
      </c>
      <c r="AD31" s="13">
        <v>10384</v>
      </c>
      <c r="AE31" s="13">
        <v>11024</v>
      </c>
      <c r="AF31" s="13">
        <v>309</v>
      </c>
      <c r="AG31" s="13">
        <v>309</v>
      </c>
      <c r="AI31" s="13">
        <v>0</v>
      </c>
      <c r="AJ31" s="13">
        <v>0</v>
      </c>
      <c r="AK31" s="13">
        <v>715</v>
      </c>
      <c r="AL31" s="13">
        <v>3675</v>
      </c>
      <c r="AM31" s="13"/>
      <c r="AN31" s="13">
        <v>0</v>
      </c>
      <c r="AO31" s="13">
        <v>0</v>
      </c>
      <c r="AP31" s="13">
        <v>4546</v>
      </c>
      <c r="AQ31" s="13">
        <v>0</v>
      </c>
      <c r="AR31" s="14"/>
      <c r="AS31" s="13">
        <v>2292</v>
      </c>
      <c r="AT31" s="13">
        <v>15578</v>
      </c>
      <c r="AU31" s="13">
        <v>15690</v>
      </c>
      <c r="AV31" s="13">
        <v>15974</v>
      </c>
      <c r="AW31" s="14"/>
      <c r="AX31" s="13">
        <v>21352</v>
      </c>
      <c r="AY31" s="13">
        <v>42541</v>
      </c>
      <c r="AZ31" s="13">
        <v>71990</v>
      </c>
      <c r="BA31" s="13">
        <v>87544</v>
      </c>
      <c r="BB31" s="14"/>
      <c r="BC31" s="13">
        <v>54920</v>
      </c>
      <c r="BD31" s="13">
        <v>30692</v>
      </c>
      <c r="BE31" s="13">
        <v>42722</v>
      </c>
      <c r="BF31" s="13">
        <v>34916</v>
      </c>
      <c r="BG31" s="13"/>
      <c r="BH31" s="13">
        <v>26185</v>
      </c>
      <c r="BI31" s="13">
        <v>62556</v>
      </c>
      <c r="BJ31" s="13">
        <v>100754</v>
      </c>
      <c r="BK31" s="13">
        <v>146755</v>
      </c>
      <c r="BL31" s="13"/>
      <c r="BM31" s="13">
        <v>99745</v>
      </c>
      <c r="BN31" s="14" t="e">
        <f>+BM31-#REF!</f>
        <v>#REF!</v>
      </c>
      <c r="BO31" s="14" t="e">
        <f>+BK31-#REF!</f>
        <v>#REF!</v>
      </c>
    </row>
    <row r="32" spans="2:67" ht="16.5" customHeight="1" x14ac:dyDescent="0.2">
      <c r="B32" s="21" t="s">
        <v>32</v>
      </c>
      <c r="C32" s="23">
        <v>0</v>
      </c>
      <c r="D32" s="23"/>
      <c r="E32" s="23">
        <v>0</v>
      </c>
      <c r="F32" s="23">
        <v>0</v>
      </c>
      <c r="G32" s="23">
        <v>0</v>
      </c>
      <c r="H32" s="23">
        <v>0</v>
      </c>
      <c r="J32" s="23">
        <v>0</v>
      </c>
      <c r="K32" s="23">
        <v>0</v>
      </c>
      <c r="L32" s="23">
        <v>0</v>
      </c>
      <c r="M32" s="16">
        <v>10019</v>
      </c>
      <c r="N32" s="16">
        <v>10019</v>
      </c>
      <c r="P32" s="13">
        <v>9650</v>
      </c>
      <c r="Q32" s="13">
        <v>9650</v>
      </c>
      <c r="R32" s="13">
        <v>0</v>
      </c>
      <c r="S32" s="13">
        <v>0</v>
      </c>
      <c r="T32" s="13">
        <v>0</v>
      </c>
      <c r="U32" s="13">
        <v>0</v>
      </c>
      <c r="V32" s="13">
        <v>0</v>
      </c>
      <c r="X32" s="13">
        <v>0</v>
      </c>
      <c r="Y32" s="13">
        <v>0</v>
      </c>
      <c r="Z32" s="13">
        <v>0</v>
      </c>
      <c r="AA32" s="13">
        <v>0</v>
      </c>
      <c r="AB32" s="13"/>
      <c r="AC32" s="13">
        <v>0</v>
      </c>
      <c r="AD32" s="13">
        <v>0</v>
      </c>
      <c r="AE32" s="13">
        <v>0</v>
      </c>
      <c r="AF32" s="13">
        <v>0</v>
      </c>
      <c r="AG32" s="13">
        <v>0</v>
      </c>
      <c r="AI32" s="13">
        <v>0</v>
      </c>
      <c r="AJ32" s="13">
        <v>0</v>
      </c>
      <c r="AK32" s="13">
        <v>0</v>
      </c>
      <c r="AL32" s="13">
        <v>0</v>
      </c>
      <c r="AM32" s="13"/>
      <c r="AN32" s="13">
        <v>0</v>
      </c>
      <c r="AO32" s="13">
        <v>0</v>
      </c>
      <c r="AP32" s="13">
        <v>0</v>
      </c>
      <c r="AQ32" s="13">
        <v>0</v>
      </c>
      <c r="AR32" s="14"/>
      <c r="AS32" s="13">
        <v>0</v>
      </c>
      <c r="AT32" s="13">
        <v>0</v>
      </c>
      <c r="AU32" s="13">
        <v>0</v>
      </c>
      <c r="AV32" s="13">
        <v>0</v>
      </c>
      <c r="AW32" s="14"/>
      <c r="AX32" s="13">
        <v>0</v>
      </c>
      <c r="AY32" s="13">
        <v>0</v>
      </c>
      <c r="AZ32" s="13">
        <v>0</v>
      </c>
      <c r="BA32" s="13">
        <v>0</v>
      </c>
      <c r="BB32" s="14"/>
      <c r="BC32" s="13">
        <v>0</v>
      </c>
      <c r="BD32" s="13">
        <v>0</v>
      </c>
      <c r="BE32" s="13">
        <v>0</v>
      </c>
      <c r="BF32" s="13">
        <v>0</v>
      </c>
      <c r="BG32" s="13"/>
      <c r="BH32" s="13">
        <v>0</v>
      </c>
      <c r="BI32" s="13">
        <v>0</v>
      </c>
      <c r="BJ32" s="13">
        <v>0</v>
      </c>
      <c r="BK32" s="13">
        <v>0</v>
      </c>
      <c r="BL32" s="13"/>
      <c r="BM32" s="13">
        <v>0</v>
      </c>
      <c r="BN32" s="14" t="e">
        <f>+BM32-#REF!</f>
        <v>#REF!</v>
      </c>
      <c r="BO32" s="14" t="e">
        <f>+BK32-#REF!</f>
        <v>#REF!</v>
      </c>
    </row>
    <row r="33" spans="1:67" x14ac:dyDescent="0.2">
      <c r="B33" s="21" t="s">
        <v>21</v>
      </c>
      <c r="C33" s="23">
        <v>8897</v>
      </c>
      <c r="D33" s="23"/>
      <c r="E33" s="23">
        <v>11471</v>
      </c>
      <c r="F33" s="23">
        <f>12131-1</f>
        <v>12130</v>
      </c>
      <c r="G33" s="23">
        <f>12457-1</f>
        <v>12456</v>
      </c>
      <c r="H33" s="23">
        <v>7409</v>
      </c>
      <c r="J33" s="23">
        <f>8720-1</f>
        <v>8719</v>
      </c>
      <c r="K33" s="23">
        <v>7936</v>
      </c>
      <c r="L33" s="23">
        <v>21769</v>
      </c>
      <c r="M33" s="16">
        <v>12631</v>
      </c>
      <c r="N33" s="16">
        <f>12614+6515</f>
        <v>19129</v>
      </c>
      <c r="P33" s="13">
        <v>23927</v>
      </c>
      <c r="Q33" s="13">
        <v>23927</v>
      </c>
      <c r="R33" s="13">
        <v>22962</v>
      </c>
      <c r="S33" s="13">
        <v>22962</v>
      </c>
      <c r="T33" s="13">
        <v>29701</v>
      </c>
      <c r="U33" s="13">
        <v>29701</v>
      </c>
      <c r="V33" s="13">
        <f>11825+6515</f>
        <v>18340</v>
      </c>
      <c r="X33" s="13">
        <v>34429</v>
      </c>
      <c r="Y33" s="13">
        <v>32531</v>
      </c>
      <c r="Z33" s="13">
        <v>30597</v>
      </c>
      <c r="AA33" s="13">
        <v>23678</v>
      </c>
      <c r="AB33" s="13"/>
      <c r="AC33" s="13">
        <v>21330</v>
      </c>
      <c r="AD33" s="13">
        <v>19885</v>
      </c>
      <c r="AE33" s="13">
        <v>11582</v>
      </c>
      <c r="AF33" s="13">
        <v>11137</v>
      </c>
      <c r="AG33" s="13">
        <v>11137</v>
      </c>
      <c r="AI33" s="13">
        <v>8536</v>
      </c>
      <c r="AJ33" s="13">
        <v>7005</v>
      </c>
      <c r="AK33" s="13">
        <v>7494</v>
      </c>
      <c r="AL33" s="13">
        <v>120140</v>
      </c>
      <c r="AM33" s="13"/>
      <c r="AN33" s="13">
        <v>126913</v>
      </c>
      <c r="AO33" s="13">
        <v>113488</v>
      </c>
      <c r="AP33" s="13">
        <v>117153</v>
      </c>
      <c r="AQ33" s="13">
        <v>105891</v>
      </c>
      <c r="AR33" s="14"/>
      <c r="AS33" s="13">
        <v>115293</v>
      </c>
      <c r="AT33" s="13">
        <v>116149</v>
      </c>
      <c r="AU33" s="13">
        <v>121325</v>
      </c>
      <c r="AV33" s="13">
        <v>122946</v>
      </c>
      <c r="AW33" s="14"/>
      <c r="AX33" s="13">
        <v>116476</v>
      </c>
      <c r="AY33" s="13">
        <v>129945</v>
      </c>
      <c r="AZ33" s="13">
        <v>143940</v>
      </c>
      <c r="BA33" s="13">
        <v>150268</v>
      </c>
      <c r="BB33" s="14"/>
      <c r="BC33" s="13">
        <v>144998</v>
      </c>
      <c r="BD33" s="13">
        <v>136630</v>
      </c>
      <c r="BE33" s="13">
        <v>126351</v>
      </c>
      <c r="BF33" s="13">
        <v>94376</v>
      </c>
      <c r="BG33" s="13"/>
      <c r="BH33" s="13">
        <v>80429</v>
      </c>
      <c r="BI33" s="13">
        <v>53838</v>
      </c>
      <c r="BJ33" s="13">
        <v>14465</v>
      </c>
      <c r="BK33" s="13">
        <v>12326</v>
      </c>
      <c r="BL33" s="13"/>
      <c r="BM33" s="13">
        <v>12204</v>
      </c>
      <c r="BN33" s="14" t="e">
        <f>+BM33-#REF!</f>
        <v>#REF!</v>
      </c>
      <c r="BO33" s="14" t="e">
        <f>+BK33-#REF!</f>
        <v>#REF!</v>
      </c>
    </row>
    <row r="34" spans="1:67" ht="7.5" customHeight="1" x14ac:dyDescent="0.2">
      <c r="B34" s="21"/>
      <c r="C34" s="20"/>
      <c r="D34" s="20"/>
      <c r="E34" s="20"/>
      <c r="F34" s="20"/>
      <c r="G34" s="20"/>
      <c r="H34" s="20"/>
      <c r="J34" s="20"/>
      <c r="K34" s="20"/>
      <c r="L34" s="20"/>
      <c r="M34" s="20"/>
      <c r="N34" s="20"/>
      <c r="P34" s="20"/>
      <c r="Q34" s="20"/>
      <c r="R34" s="20"/>
      <c r="S34" s="20"/>
      <c r="T34" s="20"/>
      <c r="U34" s="20"/>
      <c r="V34" s="20"/>
      <c r="X34" s="20"/>
      <c r="Y34" s="20"/>
      <c r="Z34" s="20"/>
      <c r="AA34" s="20"/>
      <c r="AB34" s="20"/>
      <c r="AC34" s="20"/>
      <c r="AD34" s="20"/>
      <c r="AE34" s="20"/>
      <c r="AF34" s="20"/>
      <c r="AG34" s="20"/>
      <c r="AI34" s="20"/>
      <c r="AJ34" s="20"/>
      <c r="AK34" s="20"/>
      <c r="AL34" s="20"/>
      <c r="AM34" s="20"/>
      <c r="AN34" s="20"/>
      <c r="AO34" s="20"/>
      <c r="AP34" s="20"/>
      <c r="AQ34" s="20"/>
      <c r="AR34" s="14"/>
      <c r="AS34" s="20"/>
      <c r="AT34" s="20"/>
      <c r="AU34" s="20"/>
      <c r="AV34" s="20"/>
      <c r="AW34" s="14"/>
      <c r="AX34" s="20"/>
      <c r="AY34" s="20"/>
      <c r="AZ34" s="20"/>
      <c r="BA34" s="20"/>
      <c r="BB34" s="14"/>
      <c r="BC34" s="20"/>
      <c r="BD34" s="20"/>
      <c r="BE34" s="20"/>
      <c r="BF34" s="20"/>
      <c r="BG34" s="20"/>
      <c r="BH34" s="20"/>
      <c r="BI34" s="20"/>
      <c r="BJ34" s="20"/>
      <c r="BK34" s="20"/>
      <c r="BL34" s="20"/>
      <c r="BM34" s="20"/>
      <c r="BN34" s="14"/>
      <c r="BO34" s="14"/>
    </row>
    <row r="35" spans="1:67" x14ac:dyDescent="0.25">
      <c r="B35" s="17" t="s">
        <v>33</v>
      </c>
      <c r="C35" s="18">
        <f>SUM(C21:C34)</f>
        <v>24800529</v>
      </c>
      <c r="D35" s="18"/>
      <c r="E35" s="18">
        <f>SUM(E21:E34)</f>
        <v>26647898</v>
      </c>
      <c r="F35" s="18">
        <f>SUM(F21:F34)</f>
        <v>27347775</v>
      </c>
      <c r="G35" s="18">
        <f>SUM(G21:G34)</f>
        <v>27296856</v>
      </c>
      <c r="H35" s="18">
        <f>SUM(H21:H34)</f>
        <v>30562865</v>
      </c>
      <c r="J35" s="18">
        <f>SUM(J21:J34)</f>
        <v>29761991</v>
      </c>
      <c r="K35" s="18">
        <f>SUM(K21:K34)</f>
        <v>31238081</v>
      </c>
      <c r="L35" s="18">
        <f>SUM(L21:L34)</f>
        <v>34753986</v>
      </c>
      <c r="M35" s="18">
        <f>SUM(M21:M34)</f>
        <v>36107042</v>
      </c>
      <c r="N35" s="18">
        <f>SUM(N21:N34)</f>
        <v>36549252</v>
      </c>
      <c r="P35" s="18">
        <f t="shared" ref="P35:V35" si="10">SUM(P21:P34)</f>
        <v>35545446</v>
      </c>
      <c r="Q35" s="18">
        <f t="shared" si="10"/>
        <v>35950731</v>
      </c>
      <c r="R35" s="18">
        <f t="shared" si="10"/>
        <v>36057831</v>
      </c>
      <c r="S35" s="18">
        <f t="shared" si="10"/>
        <v>36450546</v>
      </c>
      <c r="T35" s="18">
        <f t="shared" si="10"/>
        <v>36250457</v>
      </c>
      <c r="U35" s="18">
        <f t="shared" si="10"/>
        <v>36301623</v>
      </c>
      <c r="V35" s="18">
        <f t="shared" si="10"/>
        <v>38497982</v>
      </c>
      <c r="X35" s="18">
        <f>SUM(X21:X34)</f>
        <v>39934961</v>
      </c>
      <c r="Y35" s="18">
        <f>SUM(Y21:Y34)</f>
        <v>40901418</v>
      </c>
      <c r="Z35" s="18">
        <f>SUM(Z21:Z34)</f>
        <v>40285537</v>
      </c>
      <c r="AA35" s="18">
        <f>SUM(AA21:AA34)</f>
        <v>40817829</v>
      </c>
      <c r="AB35" s="18"/>
      <c r="AC35" s="18">
        <f>SUM(AC21:AC34)</f>
        <v>39217002</v>
      </c>
      <c r="AD35" s="18">
        <f>SUM(AD21:AD34)</f>
        <v>40077684</v>
      </c>
      <c r="AE35" s="18">
        <f>SUM(AE21:AE34)</f>
        <v>40357099</v>
      </c>
      <c r="AF35" s="18">
        <f>SUM(AF21:AF34)</f>
        <v>41862398</v>
      </c>
      <c r="AG35" s="18">
        <f>SUM(AG21:AG34)</f>
        <v>41822958</v>
      </c>
      <c r="AI35" s="18">
        <f>SUM(AI21:AI34)</f>
        <v>42446939</v>
      </c>
      <c r="AJ35" s="18">
        <f>SUM(AJ21:AJ34)</f>
        <v>44344491</v>
      </c>
      <c r="AK35" s="18">
        <f>SUM(AK21:AK34)</f>
        <v>45345523</v>
      </c>
      <c r="AL35" s="18">
        <f>SUM(AL21:AL34)</f>
        <v>43698302</v>
      </c>
      <c r="AM35" s="18"/>
      <c r="AN35" s="18">
        <f>SUM(AN21:AN34)</f>
        <v>47235437</v>
      </c>
      <c r="AO35" s="18">
        <f>SUM(AO21:AO34)</f>
        <v>45502224</v>
      </c>
      <c r="AP35" s="18">
        <f>SUM(AP21:AP34)</f>
        <v>46568719</v>
      </c>
      <c r="AQ35" s="18">
        <f>SUM(AQ21:AQ34)</f>
        <v>44107516</v>
      </c>
      <c r="AR35" s="14"/>
      <c r="AS35" s="18">
        <f>SUM(AS21:AS34)</f>
        <v>45578498</v>
      </c>
      <c r="AT35" s="18">
        <f>SUM(AT21:AT34)</f>
        <v>45381668</v>
      </c>
      <c r="AU35" s="18">
        <f>SUM(AU21:AU34)</f>
        <v>45898748</v>
      </c>
      <c r="AV35" s="18">
        <f>SUM(AV21:AV34)</f>
        <v>44600087</v>
      </c>
      <c r="AW35" s="14"/>
      <c r="AX35" s="18">
        <f>SUM(AX21:AX34)</f>
        <v>44369238</v>
      </c>
      <c r="AY35" s="18">
        <f>SUM(AY21:AY34)</f>
        <v>43998700</v>
      </c>
      <c r="AZ35" s="18">
        <f>SUM(AZ21:AZ34)</f>
        <v>43883602</v>
      </c>
      <c r="BA35" s="18">
        <f>SUM(BA21:BA34)</f>
        <v>43247690</v>
      </c>
      <c r="BB35" s="14"/>
      <c r="BC35" s="18">
        <f>SUM(BC21:BC34)</f>
        <v>43850670</v>
      </c>
      <c r="BD35" s="18">
        <f>SUM(BD21:BD34)</f>
        <v>40066059</v>
      </c>
      <c r="BE35" s="18">
        <f>SUM(BE21:BE34)</f>
        <v>39730092</v>
      </c>
      <c r="BF35" s="18">
        <f>SUM(BF21:BF34)</f>
        <v>39363790</v>
      </c>
      <c r="BG35" s="18"/>
      <c r="BH35" s="18">
        <f>SUM(BH21:BH34)</f>
        <v>42429093</v>
      </c>
      <c r="BI35" s="18">
        <f>SUM(BI21:BI34)</f>
        <v>44263389</v>
      </c>
      <c r="BJ35" s="18">
        <f>SUM(BJ21:BJ34)</f>
        <v>44678622</v>
      </c>
      <c r="BK35" s="18">
        <f>SUM(BK21:BK34)</f>
        <v>35631106</v>
      </c>
      <c r="BL35" s="18"/>
      <c r="BM35" s="18">
        <f>SUM(BM21:BM34)</f>
        <v>23176086</v>
      </c>
      <c r="BN35" s="14" t="e">
        <f>+BM35-#REF!</f>
        <v>#REF!</v>
      </c>
      <c r="BO35" s="14" t="e">
        <f>+BK35-#REF!</f>
        <v>#REF!</v>
      </c>
    </row>
    <row r="36" spans="1:67" ht="5.25" customHeight="1" x14ac:dyDescent="0.2">
      <c r="B36" s="21"/>
      <c r="C36" s="20"/>
      <c r="D36" s="20"/>
      <c r="E36" s="20"/>
      <c r="F36" s="20"/>
      <c r="G36" s="20"/>
      <c r="H36" s="20"/>
      <c r="J36" s="20"/>
      <c r="K36" s="20"/>
      <c r="L36" s="20"/>
      <c r="M36" s="20"/>
      <c r="N36" s="20"/>
      <c r="P36" s="20"/>
      <c r="Q36" s="20"/>
      <c r="R36" s="20"/>
      <c r="S36" s="20"/>
      <c r="T36" s="20"/>
      <c r="U36" s="20"/>
      <c r="V36" s="20"/>
      <c r="X36" s="20"/>
      <c r="Y36" s="20"/>
      <c r="Z36" s="20"/>
      <c r="AA36" s="20"/>
      <c r="AB36" s="20"/>
      <c r="AC36" s="20"/>
      <c r="AD36" s="20"/>
      <c r="AE36" s="20"/>
      <c r="AF36" s="20"/>
      <c r="AG36" s="20"/>
      <c r="AI36" s="20"/>
      <c r="AJ36" s="20"/>
      <c r="AK36" s="20"/>
      <c r="AL36" s="20"/>
      <c r="AM36" s="20"/>
      <c r="AN36" s="20"/>
      <c r="AO36" s="20"/>
      <c r="AP36" s="20"/>
      <c r="AQ36" s="20"/>
      <c r="AR36" s="14"/>
      <c r="AS36" s="20"/>
      <c r="AT36" s="20"/>
      <c r="AU36" s="20"/>
      <c r="AV36" s="20"/>
      <c r="AW36" s="14"/>
      <c r="AX36" s="20"/>
      <c r="AY36" s="20"/>
      <c r="AZ36" s="20"/>
      <c r="BA36" s="20"/>
      <c r="BB36" s="14"/>
      <c r="BC36" s="20"/>
      <c r="BD36" s="20"/>
      <c r="BE36" s="20"/>
      <c r="BF36" s="20"/>
      <c r="BG36" s="20"/>
      <c r="BH36" s="20"/>
      <c r="BI36" s="20"/>
      <c r="BJ36" s="20"/>
      <c r="BK36" s="20"/>
      <c r="BL36" s="20"/>
      <c r="BM36" s="20"/>
      <c r="BN36" s="14"/>
      <c r="BO36" s="14"/>
    </row>
    <row r="37" spans="1:67" ht="16.5" customHeight="1" x14ac:dyDescent="0.25">
      <c r="B37" s="24" t="s">
        <v>34</v>
      </c>
      <c r="C37" s="25">
        <f>+C19+C35</f>
        <v>27984896</v>
      </c>
      <c r="D37" s="25"/>
      <c r="E37" s="25">
        <f>+E19+E35</f>
        <v>30798667</v>
      </c>
      <c r="F37" s="25">
        <f>+F19+F35</f>
        <v>31438743</v>
      </c>
      <c r="G37" s="25">
        <f>+G19+G35</f>
        <v>31799673</v>
      </c>
      <c r="H37" s="25">
        <f>+H19+H35</f>
        <v>34299484</v>
      </c>
      <c r="I37" s="26"/>
      <c r="J37" s="25">
        <f>+J19+J35</f>
        <v>34136094</v>
      </c>
      <c r="K37" s="25">
        <f>+K19+K35</f>
        <v>35244308</v>
      </c>
      <c r="L37" s="25">
        <f>+L19+L35</f>
        <v>40107016</v>
      </c>
      <c r="M37" s="25">
        <f>+M19+M35</f>
        <v>41775013</v>
      </c>
      <c r="N37" s="25">
        <f>+N19+N35</f>
        <v>42080401</v>
      </c>
      <c r="P37" s="25">
        <f t="shared" ref="P37:V37" si="11">+P19+P35</f>
        <v>41561107</v>
      </c>
      <c r="Q37" s="25">
        <f t="shared" si="11"/>
        <v>41871652</v>
      </c>
      <c r="R37" s="25">
        <f t="shared" si="11"/>
        <v>41943681</v>
      </c>
      <c r="S37" s="25">
        <f t="shared" si="11"/>
        <v>42241655</v>
      </c>
      <c r="T37" s="25">
        <f t="shared" si="11"/>
        <v>42536797</v>
      </c>
      <c r="U37" s="25">
        <f t="shared" si="11"/>
        <v>42487715</v>
      </c>
      <c r="V37" s="25">
        <f t="shared" si="11"/>
        <v>44749574</v>
      </c>
      <c r="X37" s="25">
        <f>+X19+X35</f>
        <v>47016433</v>
      </c>
      <c r="Y37" s="25">
        <f>+Y19+Y35</f>
        <v>47714519</v>
      </c>
      <c r="Z37" s="25">
        <f>+Z19+Z35</f>
        <v>47163880</v>
      </c>
      <c r="AA37" s="25">
        <f>+AA19+AA35</f>
        <v>47567948</v>
      </c>
      <c r="AB37" s="18"/>
      <c r="AC37" s="25">
        <f>+AC19+AC35</f>
        <v>45723958</v>
      </c>
      <c r="AD37" s="25">
        <f>+AD19+AD35</f>
        <v>46769908</v>
      </c>
      <c r="AE37" s="25">
        <f>+AE19+AE35</f>
        <v>46906935</v>
      </c>
      <c r="AF37" s="25">
        <f>+AF19+AF35</f>
        <v>48714353</v>
      </c>
      <c r="AG37" s="19">
        <f>+AG19+AG35</f>
        <v>48647882</v>
      </c>
      <c r="AI37" s="25">
        <f>+AI19+AI35</f>
        <v>49210806</v>
      </c>
      <c r="AJ37" s="25">
        <f>+AJ19+AJ35</f>
        <v>51285426</v>
      </c>
      <c r="AK37" s="18">
        <f>+AK19+AK35</f>
        <v>52739611</v>
      </c>
      <c r="AL37" s="18">
        <f>+AL19+AL35</f>
        <v>50825141</v>
      </c>
      <c r="AM37" s="18"/>
      <c r="AN37" s="18">
        <f>+AN19+AN35</f>
        <v>55779735</v>
      </c>
      <c r="AO37" s="18">
        <f>+AO19+AO35</f>
        <v>53912319</v>
      </c>
      <c r="AP37" s="18">
        <f>+AP19+AP35</f>
        <v>54272004</v>
      </c>
      <c r="AQ37" s="18">
        <f>+AQ19+AQ35</f>
        <v>50773567</v>
      </c>
      <c r="AR37" s="14"/>
      <c r="AS37" s="18">
        <f>+AS19+AS35</f>
        <v>52829868</v>
      </c>
      <c r="AT37" s="18">
        <f>+AT19+AT35</f>
        <v>52551734</v>
      </c>
      <c r="AU37" s="18">
        <f>+AU19+AU35</f>
        <v>53183135</v>
      </c>
      <c r="AV37" s="18">
        <f>+AV19+AV35</f>
        <v>52589344</v>
      </c>
      <c r="AW37" s="14"/>
      <c r="AX37" s="18">
        <f>+AX19+AX35</f>
        <v>52018469</v>
      </c>
      <c r="AY37" s="18">
        <f>+AY19+AY35</f>
        <v>51303900</v>
      </c>
      <c r="AZ37" s="18">
        <f>+AZ19+AZ35</f>
        <v>53859278</v>
      </c>
      <c r="BA37" s="18">
        <f>+BA19+BA35</f>
        <v>56941068</v>
      </c>
      <c r="BB37" s="14"/>
      <c r="BC37" s="18">
        <f>+BC19+BC35</f>
        <v>57112838</v>
      </c>
      <c r="BD37" s="18">
        <f>+BD19+BD35</f>
        <v>52323245</v>
      </c>
      <c r="BE37" s="18">
        <f>+BE19+BE35</f>
        <v>52312696</v>
      </c>
      <c r="BF37" s="18">
        <f>+BF19+BF35</f>
        <v>49402341</v>
      </c>
      <c r="BG37" s="18"/>
      <c r="BH37" s="18">
        <f>+BH19+BH35</f>
        <v>51171008</v>
      </c>
      <c r="BI37" s="18">
        <f>+BI19+BI35</f>
        <v>52961110</v>
      </c>
      <c r="BJ37" s="18">
        <f>+BJ19+BJ35</f>
        <v>52358330</v>
      </c>
      <c r="BK37" s="18">
        <f>+BK19+BK35</f>
        <v>51852649</v>
      </c>
      <c r="BL37" s="18"/>
      <c r="BM37" s="18">
        <f>+BM19+BM35</f>
        <v>53552083</v>
      </c>
      <c r="BN37" s="14" t="e">
        <f>+BM37-#REF!</f>
        <v>#REF!</v>
      </c>
      <c r="BO37" s="14" t="e">
        <f>+BK37-#REF!</f>
        <v>#REF!</v>
      </c>
    </row>
    <row r="38" spans="1:67" ht="16.5" customHeight="1" x14ac:dyDescent="0.25">
      <c r="B38" s="27" t="s">
        <v>35</v>
      </c>
      <c r="C38" s="28">
        <f>+C37/C95</f>
        <v>14523.801269442556</v>
      </c>
      <c r="D38" s="28"/>
      <c r="E38" s="28">
        <f>+E37/E95</f>
        <v>15671.069851220158</v>
      </c>
      <c r="F38" s="28">
        <f>+F37/F95</f>
        <v>16712.157198369117</v>
      </c>
      <c r="G38" s="28">
        <f>+G37/G95</f>
        <v>15676.601691907241</v>
      </c>
      <c r="H38" s="28">
        <f>+H37/H95</f>
        <v>14336.492146159184</v>
      </c>
      <c r="I38" s="29"/>
      <c r="J38" s="28">
        <f>+J37/J95</f>
        <v>13251.332078181711</v>
      </c>
      <c r="K38" s="28">
        <f>+K37/K95</f>
        <v>13633.581549721288</v>
      </c>
      <c r="L38" s="28">
        <f>+L37/L95</f>
        <v>12846.824730776376</v>
      </c>
      <c r="M38" s="28">
        <f>+M37/M95</f>
        <v>13264.140633185902</v>
      </c>
      <c r="N38" s="28">
        <f>+N37/N95</f>
        <v>13361.10551934135</v>
      </c>
      <c r="P38" s="28">
        <f t="shared" ref="P38:V38" si="12">+P37/P95</f>
        <v>13751.255480007279</v>
      </c>
      <c r="Q38" s="28">
        <f t="shared" si="12"/>
        <v>13854.004996112297</v>
      </c>
      <c r="R38" s="28">
        <f t="shared" si="12"/>
        <v>14383.238516537214</v>
      </c>
      <c r="S38" s="28">
        <f t="shared" si="12"/>
        <v>14485.419131388988</v>
      </c>
      <c r="T38" s="28">
        <f t="shared" si="12"/>
        <v>14769.977603777845</v>
      </c>
      <c r="U38" s="28">
        <f t="shared" si="12"/>
        <v>14752.934946787271</v>
      </c>
      <c r="V38" s="28">
        <f t="shared" si="12"/>
        <v>14912.995257788989</v>
      </c>
      <c r="X38" s="28">
        <f>+X37/X95</f>
        <v>16323.790031386274</v>
      </c>
      <c r="Y38" s="28">
        <f>+Y37/Y95</f>
        <v>15704.554251446551</v>
      </c>
      <c r="Z38" s="28">
        <f>+Z37/Z95</f>
        <v>16060.326832773175</v>
      </c>
      <c r="AA38" s="28">
        <f>+AA37/AA95</f>
        <v>15941.001340482573</v>
      </c>
      <c r="AB38" s="30"/>
      <c r="AC38" s="28">
        <f>+AC37/AC95</f>
        <v>16444.686689660382</v>
      </c>
      <c r="AD38" s="28">
        <f>+AD37/AD95</f>
        <v>15958.068786679403</v>
      </c>
      <c r="AE38" s="28">
        <f>+AE37/AE95</f>
        <v>15781.996716215035</v>
      </c>
      <c r="AF38" s="28">
        <f>+AF37/AF95</f>
        <v>14990.18478344488</v>
      </c>
      <c r="AG38" s="31">
        <f>+AG37/AG95</f>
        <v>14969.730594661129</v>
      </c>
      <c r="AI38" s="28">
        <f>+AI37/AI95</f>
        <v>15500.491686064275</v>
      </c>
      <c r="AJ38" s="28">
        <f>+AJ37/AJ95</f>
        <v>15998.348551160911</v>
      </c>
      <c r="AK38" s="30">
        <f>+AK37/AK95</f>
        <v>15233.812438438941</v>
      </c>
      <c r="AL38" s="30">
        <f>+AL37/AL95</f>
        <v>15508.99290234778</v>
      </c>
      <c r="AM38" s="30"/>
      <c r="AN38" s="30">
        <f>+AN37/AN95</f>
        <v>13722.593429951216</v>
      </c>
      <c r="AO38" s="30">
        <f>+AO37/AO95</f>
        <v>14342.540523715652</v>
      </c>
      <c r="AP38" s="30">
        <f>+AP37/AP95</f>
        <v>13991.452303979953</v>
      </c>
      <c r="AQ38" s="30">
        <f>+AQ37/AQ95</f>
        <v>14792.00786598689</v>
      </c>
      <c r="AR38" s="14"/>
      <c r="AS38" s="30">
        <f>+AS37/AS95</f>
        <v>14137.313448811987</v>
      </c>
      <c r="AT38" s="30">
        <f>+AT37/AT95</f>
        <v>13988.914118088625</v>
      </c>
      <c r="AU38" s="30">
        <f>+AU37/AU95</f>
        <v>13868.989068188219</v>
      </c>
      <c r="AV38" s="30">
        <f>+AV37/AV95</f>
        <v>13209.552994604588</v>
      </c>
      <c r="AW38" s="14"/>
      <c r="AX38" s="30">
        <f>+AX37/AX95</f>
        <v>13878.438429625281</v>
      </c>
      <c r="AY38" s="30">
        <f>+AY37/AY95</f>
        <v>12429.866237671018</v>
      </c>
      <c r="AZ38" s="30">
        <f>+AZ37/AZ95</f>
        <v>11884.034889134546</v>
      </c>
      <c r="BA38" s="30">
        <f>+BA37/BA95</f>
        <v>11837.567668704005</v>
      </c>
      <c r="BB38" s="14"/>
      <c r="BC38" s="30">
        <f>+BC37/BC95</f>
        <v>12342.663816894194</v>
      </c>
      <c r="BD38" s="30">
        <f>+BD37/BD95</f>
        <v>12483.834294058141</v>
      </c>
      <c r="BE38" s="30">
        <f>+BE37/BE95</f>
        <v>12904.734370066308</v>
      </c>
      <c r="BF38" s="30">
        <f>+BF37/BF95</f>
        <v>12925.613479677137</v>
      </c>
      <c r="BG38" s="30"/>
      <c r="BH38" s="30">
        <f>+BH37/BH95</f>
        <v>13317.806522135179</v>
      </c>
      <c r="BI38" s="30">
        <f>+BI37/BI95</f>
        <v>12767.74331973655</v>
      </c>
      <c r="BJ38" s="30">
        <f>+BJ37/BJ95</f>
        <v>12573.412484000566</v>
      </c>
      <c r="BK38" s="30">
        <f>+BK37/BK95</f>
        <v>11760.237007132895</v>
      </c>
      <c r="BL38" s="30"/>
      <c r="BM38" s="30">
        <f>+BM37/BM95</f>
        <v>12773.092160655637</v>
      </c>
      <c r="BN38" s="14" t="e">
        <f>+BM38-#REF!</f>
        <v>#REF!</v>
      </c>
      <c r="BO38" s="14" t="e">
        <f>+BK38-#REF!</f>
        <v>#REF!</v>
      </c>
    </row>
    <row r="39" spans="1:67" ht="6.75" customHeight="1" x14ac:dyDescent="0.25">
      <c r="C39" s="10"/>
      <c r="D39" s="10"/>
      <c r="J39" s="10"/>
      <c r="K39" s="10"/>
      <c r="L39" s="10"/>
      <c r="M39" s="10"/>
      <c r="N39" s="10"/>
      <c r="P39" s="10"/>
      <c r="Q39" s="10"/>
      <c r="R39" s="10"/>
      <c r="S39" s="10"/>
      <c r="T39" s="10"/>
      <c r="U39" s="10"/>
      <c r="V39" s="10"/>
      <c r="X39" s="10"/>
      <c r="Y39" s="10"/>
      <c r="Z39" s="10"/>
      <c r="AA39" s="10"/>
      <c r="AB39" s="10"/>
      <c r="AC39" s="10"/>
      <c r="AD39" s="10"/>
      <c r="AE39" s="10"/>
      <c r="AF39" s="10"/>
      <c r="AG39" s="10"/>
      <c r="AI39" s="10"/>
      <c r="AJ39" s="10"/>
      <c r="AK39" s="10"/>
      <c r="AL39" s="10"/>
      <c r="AM39" s="10"/>
      <c r="AN39" s="10"/>
      <c r="AO39" s="10"/>
      <c r="AP39" s="10"/>
      <c r="AQ39" s="10"/>
      <c r="AR39" s="14"/>
      <c r="AS39" s="10"/>
      <c r="AT39" s="10"/>
      <c r="AU39" s="10"/>
      <c r="AV39" s="10"/>
      <c r="AW39" s="14"/>
      <c r="AX39" s="10"/>
      <c r="AY39" s="10"/>
      <c r="AZ39" s="10"/>
      <c r="BA39" s="10"/>
      <c r="BB39" s="14"/>
      <c r="BC39" s="10"/>
      <c r="BD39" s="10"/>
      <c r="BE39" s="10"/>
      <c r="BF39" s="10"/>
      <c r="BG39" s="10"/>
      <c r="BH39" s="10"/>
      <c r="BI39" s="10"/>
      <c r="BJ39" s="10"/>
      <c r="BK39" s="10"/>
      <c r="BL39" s="10"/>
      <c r="BM39" s="10"/>
      <c r="BN39" s="14"/>
      <c r="BO39" s="14"/>
    </row>
    <row r="40" spans="1:67" ht="16.5" customHeight="1" x14ac:dyDescent="0.25">
      <c r="B40" s="11" t="s">
        <v>36</v>
      </c>
      <c r="C40" s="12">
        <f>754243+12435</f>
        <v>766678</v>
      </c>
      <c r="D40" s="12"/>
      <c r="E40" s="12">
        <v>1269387</v>
      </c>
      <c r="F40" s="12">
        <v>2666188</v>
      </c>
      <c r="G40" s="12">
        <v>1469420</v>
      </c>
      <c r="H40" s="12">
        <v>1594526</v>
      </c>
      <c r="J40" s="12">
        <v>1999345</v>
      </c>
      <c r="K40" s="12">
        <v>2021761</v>
      </c>
      <c r="L40" s="12">
        <v>2828910</v>
      </c>
      <c r="M40" s="16">
        <v>3305497</v>
      </c>
      <c r="N40" s="16">
        <v>3264839</v>
      </c>
      <c r="P40" s="13">
        <v>3167340</v>
      </c>
      <c r="Q40" s="13">
        <v>3167340</v>
      </c>
      <c r="R40" s="13">
        <v>2646179</v>
      </c>
      <c r="S40" s="13">
        <v>2646179</v>
      </c>
      <c r="T40" s="13">
        <v>2433539</v>
      </c>
      <c r="U40" s="13">
        <v>2433539</v>
      </c>
      <c r="V40" s="13">
        <v>3407874</v>
      </c>
      <c r="X40" s="13">
        <v>4568190</v>
      </c>
      <c r="Y40" s="13">
        <v>3908209</v>
      </c>
      <c r="Z40" s="13">
        <v>3867304</v>
      </c>
      <c r="AA40" s="13">
        <v>2874332</v>
      </c>
      <c r="AB40" s="13"/>
      <c r="AC40" s="13">
        <v>3280206</v>
      </c>
      <c r="AD40" s="13">
        <v>3385004</v>
      </c>
      <c r="AE40" s="13">
        <v>3705938</v>
      </c>
      <c r="AF40" s="13">
        <f>2613134-1</f>
        <v>2613133</v>
      </c>
      <c r="AG40" s="13">
        <f>2613134-1</f>
        <v>2613133</v>
      </c>
      <c r="AI40" s="13">
        <v>3147152</v>
      </c>
      <c r="AJ40" s="13">
        <v>3231081</v>
      </c>
      <c r="AK40" s="13">
        <v>2792083</v>
      </c>
      <c r="AL40" s="13">
        <v>1587714</v>
      </c>
      <c r="AM40" s="13"/>
      <c r="AN40" s="13">
        <v>2348069</v>
      </c>
      <c r="AO40" s="13">
        <v>2904914</v>
      </c>
      <c r="AP40" s="13">
        <v>2135593</v>
      </c>
      <c r="AQ40" s="13">
        <v>1741257</v>
      </c>
      <c r="AR40" s="14"/>
      <c r="AS40" s="13">
        <v>1712248</v>
      </c>
      <c r="AT40" s="13">
        <v>2538565</v>
      </c>
      <c r="AU40" s="13">
        <v>2576395</v>
      </c>
      <c r="AV40" s="13">
        <v>2628060</v>
      </c>
      <c r="AW40" s="14"/>
      <c r="AX40" s="13">
        <v>2159686</v>
      </c>
      <c r="AY40" s="13">
        <v>2417890</v>
      </c>
      <c r="AZ40" s="13">
        <v>2918586</v>
      </c>
      <c r="BA40" s="13">
        <v>1635930</v>
      </c>
      <c r="BB40" s="14"/>
      <c r="BC40" s="13">
        <v>1663498</v>
      </c>
      <c r="BD40" s="13">
        <v>1892743</v>
      </c>
      <c r="BE40" s="13">
        <v>2465933</v>
      </c>
      <c r="BF40" s="13">
        <v>2797619</v>
      </c>
      <c r="BG40" s="13"/>
      <c r="BH40" s="13">
        <v>3079267</v>
      </c>
      <c r="BI40" s="13">
        <v>3280937</v>
      </c>
      <c r="BJ40" s="13">
        <v>3019637</v>
      </c>
      <c r="BK40" s="13">
        <v>2171508</v>
      </c>
      <c r="BL40" s="13"/>
      <c r="BM40" s="15">
        <v>3108842</v>
      </c>
      <c r="BN40" s="14" t="e">
        <f>+BM40-#REF!</f>
        <v>#REF!</v>
      </c>
      <c r="BO40" s="14" t="e">
        <f>+BK40-#REF!</f>
        <v>#REF!</v>
      </c>
    </row>
    <row r="41" spans="1:67" ht="16.5" customHeight="1" x14ac:dyDescent="0.25">
      <c r="B41" s="11" t="s">
        <v>37</v>
      </c>
      <c r="C41" s="12">
        <v>0</v>
      </c>
      <c r="D41" s="12"/>
      <c r="E41" s="12">
        <v>0</v>
      </c>
      <c r="F41" s="12">
        <v>0</v>
      </c>
      <c r="G41" s="12">
        <v>0</v>
      </c>
      <c r="H41" s="12">
        <v>0</v>
      </c>
      <c r="J41" s="12">
        <v>0</v>
      </c>
      <c r="K41" s="12">
        <v>0</v>
      </c>
      <c r="L41" s="12">
        <v>0</v>
      </c>
      <c r="M41" s="16">
        <v>0</v>
      </c>
      <c r="N41" s="16">
        <v>0</v>
      </c>
      <c r="P41" s="13">
        <v>0</v>
      </c>
      <c r="Q41" s="13">
        <v>0</v>
      </c>
      <c r="R41" s="13">
        <v>0</v>
      </c>
      <c r="S41" s="13">
        <v>0</v>
      </c>
      <c r="T41" s="13">
        <v>0</v>
      </c>
      <c r="U41" s="13">
        <v>0</v>
      </c>
      <c r="V41" s="13">
        <v>0</v>
      </c>
      <c r="X41" s="13">
        <v>0</v>
      </c>
      <c r="Y41" s="13">
        <v>0</v>
      </c>
      <c r="Z41" s="13">
        <v>0</v>
      </c>
      <c r="AA41" s="13">
        <v>0</v>
      </c>
      <c r="AB41" s="13"/>
      <c r="AC41" s="13">
        <v>0</v>
      </c>
      <c r="AD41" s="13">
        <v>0</v>
      </c>
      <c r="AE41" s="13">
        <v>0</v>
      </c>
      <c r="AF41" s="13">
        <v>0</v>
      </c>
      <c r="AG41" s="13">
        <v>0</v>
      </c>
      <c r="AI41" s="13">
        <v>221975</v>
      </c>
      <c r="AJ41" s="13">
        <v>195599</v>
      </c>
      <c r="AK41" s="13">
        <v>132061</v>
      </c>
      <c r="AL41" s="13">
        <v>164605</v>
      </c>
      <c r="AM41" s="13"/>
      <c r="AN41" s="13">
        <v>162302</v>
      </c>
      <c r="AO41" s="13">
        <v>154297</v>
      </c>
      <c r="AP41" s="13">
        <v>138701</v>
      </c>
      <c r="AQ41" s="13">
        <v>132103</v>
      </c>
      <c r="AR41" s="14"/>
      <c r="AS41" s="13">
        <v>134837</v>
      </c>
      <c r="AT41" s="13">
        <v>115660</v>
      </c>
      <c r="AU41" s="13">
        <v>114104</v>
      </c>
      <c r="AV41" s="13">
        <v>137257</v>
      </c>
      <c r="AW41" s="14"/>
      <c r="AX41" s="13">
        <v>130208</v>
      </c>
      <c r="AY41" s="13">
        <v>136921</v>
      </c>
      <c r="AZ41" s="13">
        <v>129693</v>
      </c>
      <c r="BA41" s="13">
        <v>148443</v>
      </c>
      <c r="BB41" s="14"/>
      <c r="BC41" s="13">
        <v>134289</v>
      </c>
      <c r="BD41" s="13">
        <v>115946</v>
      </c>
      <c r="BE41" s="13">
        <v>112470</v>
      </c>
      <c r="BF41" s="13">
        <v>127258</v>
      </c>
      <c r="BG41" s="13"/>
      <c r="BH41" s="13">
        <v>67646</v>
      </c>
      <c r="BI41" s="13">
        <v>56366</v>
      </c>
      <c r="BJ41" s="13">
        <v>45500</v>
      </c>
      <c r="BK41" s="13">
        <v>51704</v>
      </c>
      <c r="BL41" s="13"/>
      <c r="BM41" s="13">
        <v>70948</v>
      </c>
      <c r="BN41" s="14" t="e">
        <f>+BM41-#REF!</f>
        <v>#REF!</v>
      </c>
      <c r="BO41" s="14" t="e">
        <f>+BK41-#REF!</f>
        <v>#REF!</v>
      </c>
    </row>
    <row r="42" spans="1:67" ht="12.75" customHeight="1" x14ac:dyDescent="0.25">
      <c r="A42" s="32"/>
      <c r="B42" s="11" t="s">
        <v>38</v>
      </c>
      <c r="C42" s="12">
        <f>351457+47065</f>
        <v>398522</v>
      </c>
      <c r="D42" s="12"/>
      <c r="E42" s="12">
        <v>357313</v>
      </c>
      <c r="F42" s="12">
        <v>278564</v>
      </c>
      <c r="G42" s="12">
        <v>277886</v>
      </c>
      <c r="H42" s="12">
        <f>422092+47065</f>
        <v>469157</v>
      </c>
      <c r="J42" s="12">
        <v>371397</v>
      </c>
      <c r="K42" s="12">
        <v>404127</v>
      </c>
      <c r="L42" s="12">
        <v>397546</v>
      </c>
      <c r="M42" s="12">
        <f>548185+24935</f>
        <v>573120</v>
      </c>
      <c r="N42" s="12">
        <v>410660</v>
      </c>
      <c r="P42" s="13">
        <v>544029</v>
      </c>
      <c r="Q42" s="13">
        <v>544029</v>
      </c>
      <c r="R42" s="13">
        <v>695158</v>
      </c>
      <c r="S42" s="13">
        <v>695158</v>
      </c>
      <c r="T42" s="13">
        <v>744073</v>
      </c>
      <c r="U42" s="13">
        <v>744073</v>
      </c>
      <c r="V42" s="13">
        <v>760339</v>
      </c>
      <c r="X42" s="13">
        <v>760567</v>
      </c>
      <c r="Y42" s="13">
        <v>755847</v>
      </c>
      <c r="Z42" s="13">
        <v>1015489</v>
      </c>
      <c r="AA42" s="13">
        <v>704251</v>
      </c>
      <c r="AB42" s="13"/>
      <c r="AC42" s="13">
        <v>717532</v>
      </c>
      <c r="AD42" s="13">
        <v>415226</v>
      </c>
      <c r="AE42" s="13">
        <v>307505</v>
      </c>
      <c r="AF42" s="13">
        <v>665719</v>
      </c>
      <c r="AG42" s="13">
        <v>665719</v>
      </c>
      <c r="AI42" s="13">
        <v>664541</v>
      </c>
      <c r="AJ42" s="13">
        <v>859860</v>
      </c>
      <c r="AK42" s="13">
        <v>798019</v>
      </c>
      <c r="AL42" s="13">
        <v>951924</v>
      </c>
      <c r="AM42" s="13"/>
      <c r="AN42" s="13">
        <v>1053342</v>
      </c>
      <c r="AO42" s="13">
        <v>1063702</v>
      </c>
      <c r="AP42" s="13">
        <v>1016084</v>
      </c>
      <c r="AQ42" s="13">
        <v>643567</v>
      </c>
      <c r="AR42" s="14"/>
      <c r="AS42" s="13">
        <v>662964</v>
      </c>
      <c r="AT42" s="13">
        <v>940358</v>
      </c>
      <c r="AU42" s="13">
        <v>1017542</v>
      </c>
      <c r="AV42" s="13">
        <v>1126948</v>
      </c>
      <c r="AW42" s="14"/>
      <c r="AX42" s="13">
        <v>1101224</v>
      </c>
      <c r="AY42" s="13">
        <v>757633</v>
      </c>
      <c r="AZ42" s="13">
        <v>524533</v>
      </c>
      <c r="BA42" s="13">
        <v>830643</v>
      </c>
      <c r="BB42" s="14"/>
      <c r="BC42" s="13">
        <v>839197</v>
      </c>
      <c r="BD42" s="13">
        <v>619015</v>
      </c>
      <c r="BE42" s="13">
        <v>798837</v>
      </c>
      <c r="BF42" s="13">
        <v>404052</v>
      </c>
      <c r="BG42" s="13"/>
      <c r="BH42" s="13">
        <v>356199</v>
      </c>
      <c r="BI42" s="13">
        <v>627300</v>
      </c>
      <c r="BJ42" s="13">
        <v>661352</v>
      </c>
      <c r="BK42" s="13">
        <v>731549</v>
      </c>
      <c r="BL42" s="13"/>
      <c r="BM42" s="13">
        <v>485823</v>
      </c>
      <c r="BN42" s="14" t="e">
        <f>+BM42-#REF!</f>
        <v>#REF!</v>
      </c>
      <c r="BO42" s="14" t="e">
        <f>+BK42-#REF!</f>
        <v>#REF!</v>
      </c>
    </row>
    <row r="43" spans="1:67" ht="16.5" customHeight="1" x14ac:dyDescent="0.25">
      <c r="B43" s="11" t="s">
        <v>39</v>
      </c>
      <c r="C43" s="12">
        <f>913874-72322</f>
        <v>841552</v>
      </c>
      <c r="D43" s="12"/>
      <c r="E43" s="12">
        <v>1177180</v>
      </c>
      <c r="F43" s="12">
        <f>1863210+1</f>
        <v>1863211</v>
      </c>
      <c r="G43" s="12">
        <f>1593004</f>
        <v>1593004</v>
      </c>
      <c r="H43" s="12">
        <f>1365778-71013</f>
        <v>1294765</v>
      </c>
      <c r="J43" s="12">
        <v>1686160</v>
      </c>
      <c r="K43" s="12">
        <f>1463741+1</f>
        <v>1463742</v>
      </c>
      <c r="L43" s="12">
        <v>1825733</v>
      </c>
      <c r="M43" s="12">
        <f>1925576-44432</f>
        <v>1881144</v>
      </c>
      <c r="N43" s="12">
        <f>1879441-78634</f>
        <v>1800807</v>
      </c>
      <c r="P43" s="13">
        <v>2319547</v>
      </c>
      <c r="Q43" s="13">
        <v>2320289</v>
      </c>
      <c r="R43" s="13">
        <v>1979360</v>
      </c>
      <c r="S43" s="13">
        <v>1979513</v>
      </c>
      <c r="T43" s="13">
        <v>1784599</v>
      </c>
      <c r="U43" s="13">
        <v>1785640</v>
      </c>
      <c r="V43" s="13">
        <f>1646522-79157</f>
        <v>1567365</v>
      </c>
      <c r="X43" s="13">
        <v>2839627</v>
      </c>
      <c r="Y43" s="13">
        <v>2406692</v>
      </c>
      <c r="Z43" s="13">
        <v>2215714</v>
      </c>
      <c r="AA43" s="13">
        <v>2116725</v>
      </c>
      <c r="AB43" s="13"/>
      <c r="AC43" s="13">
        <v>2182165</v>
      </c>
      <c r="AD43" s="13">
        <v>2385460</v>
      </c>
      <c r="AE43" s="13">
        <v>2105770</v>
      </c>
      <c r="AF43" s="13">
        <v>2348111</v>
      </c>
      <c r="AG43" s="13">
        <v>2449899</v>
      </c>
      <c r="AI43" s="13">
        <v>2662684</v>
      </c>
      <c r="AJ43" s="13">
        <v>2716187</v>
      </c>
      <c r="AK43" s="13">
        <v>2599395</v>
      </c>
      <c r="AL43" s="13">
        <v>2734393</v>
      </c>
      <c r="AM43" s="13"/>
      <c r="AN43" s="13">
        <v>3437710</v>
      </c>
      <c r="AO43" s="13">
        <v>2950859</v>
      </c>
      <c r="AP43" s="13">
        <v>2692937</v>
      </c>
      <c r="AQ43" s="13">
        <v>2353159</v>
      </c>
      <c r="AR43" s="14"/>
      <c r="AS43" s="13">
        <v>3149689</v>
      </c>
      <c r="AT43" s="13">
        <v>2596634</v>
      </c>
      <c r="AU43" s="13">
        <v>2611813</v>
      </c>
      <c r="AV43" s="13">
        <v>2603991</v>
      </c>
      <c r="AW43" s="14"/>
      <c r="AX43" s="13">
        <v>3465274</v>
      </c>
      <c r="AY43" s="13">
        <v>3300641</v>
      </c>
      <c r="AZ43" s="13">
        <v>2653270</v>
      </c>
      <c r="BA43" s="13">
        <v>2840691</v>
      </c>
      <c r="BB43" s="14"/>
      <c r="BC43" s="13">
        <v>3382742</v>
      </c>
      <c r="BD43" s="13">
        <v>3207952</v>
      </c>
      <c r="BE43" s="13">
        <v>3502050</v>
      </c>
      <c r="BF43" s="13">
        <v>3490702</v>
      </c>
      <c r="BG43" s="13"/>
      <c r="BH43" s="13">
        <v>3724786</v>
      </c>
      <c r="BI43" s="13">
        <v>3668887</v>
      </c>
      <c r="BJ43" s="13">
        <v>3467080</v>
      </c>
      <c r="BK43" s="13">
        <v>3918438</v>
      </c>
      <c r="BL43" s="13"/>
      <c r="BM43" s="13">
        <v>4370356</v>
      </c>
      <c r="BN43" s="14" t="e">
        <f>+BM43-#REF!</f>
        <v>#REF!</v>
      </c>
      <c r="BO43" s="14" t="e">
        <f>+BK43-#REF!</f>
        <v>#REF!</v>
      </c>
    </row>
    <row r="44" spans="1:67" ht="16.5" customHeight="1" x14ac:dyDescent="0.25">
      <c r="B44" s="11" t="s">
        <v>40</v>
      </c>
      <c r="C44" s="12">
        <v>94012</v>
      </c>
      <c r="D44" s="12"/>
      <c r="E44" s="12">
        <v>120444</v>
      </c>
      <c r="F44" s="12">
        <v>116012</v>
      </c>
      <c r="G44" s="12">
        <v>122011</v>
      </c>
      <c r="H44" s="12">
        <v>99531</v>
      </c>
      <c r="J44" s="12">
        <v>113818</v>
      </c>
      <c r="K44" s="12">
        <v>120852</v>
      </c>
      <c r="L44" s="12">
        <v>171749</v>
      </c>
      <c r="M44" s="12">
        <v>307137</v>
      </c>
      <c r="N44" s="12">
        <v>306708</v>
      </c>
      <c r="P44" s="13">
        <v>303660</v>
      </c>
      <c r="Q44" s="13">
        <v>312192</v>
      </c>
      <c r="R44" s="13">
        <v>310172</v>
      </c>
      <c r="S44" s="13">
        <v>313121</v>
      </c>
      <c r="T44" s="13">
        <v>327919</v>
      </c>
      <c r="U44" s="13">
        <v>318945</v>
      </c>
      <c r="V44" s="13">
        <v>328471</v>
      </c>
      <c r="X44" s="13">
        <v>331590</v>
      </c>
      <c r="Y44" s="13">
        <v>346850</v>
      </c>
      <c r="Z44" s="13">
        <v>337961</v>
      </c>
      <c r="AA44" s="13">
        <v>340185</v>
      </c>
      <c r="AB44" s="13"/>
      <c r="AC44" s="13">
        <v>328365</v>
      </c>
      <c r="AD44" s="13">
        <v>322243</v>
      </c>
      <c r="AE44" s="13">
        <v>329681</v>
      </c>
      <c r="AF44" s="13">
        <v>337855</v>
      </c>
      <c r="AG44" s="13">
        <v>337855</v>
      </c>
      <c r="AI44" s="13">
        <v>331083</v>
      </c>
      <c r="AJ44" s="13">
        <v>323892</v>
      </c>
      <c r="AK44" s="13">
        <v>338418</v>
      </c>
      <c r="AL44" s="13">
        <v>336153</v>
      </c>
      <c r="AM44" s="13"/>
      <c r="AN44" s="13">
        <v>335838</v>
      </c>
      <c r="AO44" s="13">
        <v>330069</v>
      </c>
      <c r="AP44" s="13">
        <v>324970</v>
      </c>
      <c r="AQ44" s="13">
        <v>430062</v>
      </c>
      <c r="AR44" s="14"/>
      <c r="AS44" s="13">
        <v>373242</v>
      </c>
      <c r="AT44" s="13">
        <v>373211</v>
      </c>
      <c r="AU44" s="13">
        <v>362924</v>
      </c>
      <c r="AV44" s="13">
        <v>309164</v>
      </c>
      <c r="AW44" s="14"/>
      <c r="AX44" s="13">
        <v>139876</v>
      </c>
      <c r="AY44" s="13">
        <v>131057</v>
      </c>
      <c r="AZ44" s="13">
        <v>134657</v>
      </c>
      <c r="BA44" s="13">
        <v>142956</v>
      </c>
      <c r="BB44" s="14"/>
      <c r="BC44" s="13">
        <v>96697</v>
      </c>
      <c r="BD44" s="13">
        <v>87569</v>
      </c>
      <c r="BE44" s="13">
        <v>85509</v>
      </c>
      <c r="BF44" s="13">
        <v>99539</v>
      </c>
      <c r="BG44" s="13"/>
      <c r="BH44" s="13">
        <v>69418</v>
      </c>
      <c r="BI44" s="13">
        <v>54819</v>
      </c>
      <c r="BJ44" s="13">
        <v>43767</v>
      </c>
      <c r="BK44" s="13">
        <v>56398</v>
      </c>
      <c r="BL44" s="13"/>
      <c r="BM44" s="13">
        <v>56215</v>
      </c>
      <c r="BN44" s="14" t="e">
        <f>+BM44-#REF!</f>
        <v>#REF!</v>
      </c>
      <c r="BO44" s="14" t="e">
        <f>+BK44-#REF!</f>
        <v>#REF!</v>
      </c>
    </row>
    <row r="45" spans="1:67" ht="16.5" customHeight="1" x14ac:dyDescent="0.25">
      <c r="B45" s="11" t="s">
        <v>41</v>
      </c>
      <c r="C45" s="12">
        <v>377955</v>
      </c>
      <c r="D45" s="12"/>
      <c r="E45" s="12">
        <v>423058</v>
      </c>
      <c r="F45" s="12">
        <v>410678</v>
      </c>
      <c r="G45" s="12">
        <v>399074</v>
      </c>
      <c r="H45" s="12">
        <v>300784</v>
      </c>
      <c r="J45" s="12">
        <v>398432</v>
      </c>
      <c r="K45" s="12">
        <v>417923</v>
      </c>
      <c r="L45" s="12">
        <v>520494</v>
      </c>
      <c r="M45" s="12">
        <v>264623</v>
      </c>
      <c r="N45" s="12">
        <v>264623</v>
      </c>
      <c r="P45" s="13">
        <v>578747</v>
      </c>
      <c r="Q45" s="13">
        <v>339336</v>
      </c>
      <c r="R45" s="13">
        <v>521686</v>
      </c>
      <c r="S45" s="13">
        <v>318559</v>
      </c>
      <c r="T45" s="13">
        <v>556587</v>
      </c>
      <c r="U45" s="13">
        <v>407780</v>
      </c>
      <c r="V45" s="13">
        <v>169270</v>
      </c>
      <c r="X45" s="13">
        <v>226125</v>
      </c>
      <c r="Y45" s="13">
        <v>223377</v>
      </c>
      <c r="Z45" s="13">
        <v>323382</v>
      </c>
      <c r="AA45" s="13">
        <v>189664</v>
      </c>
      <c r="AB45" s="13"/>
      <c r="AC45" s="13">
        <v>219921</v>
      </c>
      <c r="AD45" s="13">
        <v>219011</v>
      </c>
      <c r="AE45" s="13">
        <v>293100</v>
      </c>
      <c r="AF45" s="13">
        <v>237356</v>
      </c>
      <c r="AG45" s="15">
        <v>210325</v>
      </c>
      <c r="AI45" s="13">
        <v>302895</v>
      </c>
      <c r="AJ45" s="13">
        <v>265683</v>
      </c>
      <c r="AK45" s="13">
        <v>350583</v>
      </c>
      <c r="AL45" s="13">
        <v>242697</v>
      </c>
      <c r="AM45" s="13"/>
      <c r="AN45" s="13">
        <v>356331</v>
      </c>
      <c r="AO45" s="13">
        <v>259411</v>
      </c>
      <c r="AP45" s="13">
        <v>307791</v>
      </c>
      <c r="AQ45" s="13">
        <v>183414</v>
      </c>
      <c r="AR45" s="14"/>
      <c r="AS45" s="13">
        <v>270220</v>
      </c>
      <c r="AT45" s="13">
        <v>303929</v>
      </c>
      <c r="AU45" s="13">
        <v>381322</v>
      </c>
      <c r="AV45" s="13">
        <v>171501</v>
      </c>
      <c r="AW45" s="14"/>
      <c r="AX45" s="13">
        <v>258481</v>
      </c>
      <c r="AY45" s="13">
        <v>354443</v>
      </c>
      <c r="AZ45" s="13">
        <v>399197</v>
      </c>
      <c r="BA45" s="13">
        <v>233247</v>
      </c>
      <c r="BB45" s="14"/>
      <c r="BC45" s="13">
        <v>271018</v>
      </c>
      <c r="BD45" s="13">
        <v>223325</v>
      </c>
      <c r="BE45" s="13">
        <v>295821</v>
      </c>
      <c r="BF45" s="13">
        <v>125450</v>
      </c>
      <c r="BG45" s="13"/>
      <c r="BH45" s="13">
        <v>362160</v>
      </c>
      <c r="BI45" s="13">
        <v>357614</v>
      </c>
      <c r="BJ45" s="13">
        <v>424574</v>
      </c>
      <c r="BK45" s="13">
        <v>331412</v>
      </c>
      <c r="BL45" s="13"/>
      <c r="BM45" s="13">
        <v>371098</v>
      </c>
      <c r="BN45" s="14" t="e">
        <f>+BM45-#REF!</f>
        <v>#REF!</v>
      </c>
      <c r="BO45" s="14" t="e">
        <f>+BK45-#REF!</f>
        <v>#REF!</v>
      </c>
    </row>
    <row r="46" spans="1:67" ht="16.5" customHeight="1" x14ac:dyDescent="0.25">
      <c r="B46" s="11" t="s">
        <v>42</v>
      </c>
      <c r="C46" s="12">
        <f>95859+36201</f>
        <v>132060</v>
      </c>
      <c r="D46" s="12"/>
      <c r="E46" s="12">
        <f>96045+25332</f>
        <v>121377</v>
      </c>
      <c r="F46" s="12">
        <f>72053+35278</f>
        <v>107331</v>
      </c>
      <c r="G46" s="12">
        <f>108534+37993</f>
        <v>146527</v>
      </c>
      <c r="H46" s="12">
        <f>102639+32809</f>
        <v>135448</v>
      </c>
      <c r="J46" s="12">
        <f>122878+22768</f>
        <v>145646</v>
      </c>
      <c r="K46" s="12">
        <f>99740+22968</f>
        <v>122708</v>
      </c>
      <c r="L46" s="12">
        <f>164914+30356</f>
        <v>195270</v>
      </c>
      <c r="M46" s="12">
        <f>151948+32714</f>
        <v>184662</v>
      </c>
      <c r="N46" s="12">
        <v>190722</v>
      </c>
      <c r="P46" s="13">
        <f>152228+32030</f>
        <v>184258</v>
      </c>
      <c r="Q46" s="13">
        <f>152228+32030</f>
        <v>184258</v>
      </c>
      <c r="R46" s="13">
        <f>118505+23123</f>
        <v>141628</v>
      </c>
      <c r="S46" s="13">
        <f>118505+23123</f>
        <v>141628</v>
      </c>
      <c r="T46" s="13">
        <f>154576+21612</f>
        <v>176188</v>
      </c>
      <c r="U46" s="13">
        <f>154576+21612</f>
        <v>176188</v>
      </c>
      <c r="V46" s="13">
        <v>202657</v>
      </c>
      <c r="X46" s="13">
        <v>212707</v>
      </c>
      <c r="Y46" s="13">
        <v>168478</v>
      </c>
      <c r="Z46" s="13">
        <v>166675</v>
      </c>
      <c r="AA46" s="13">
        <v>210547</v>
      </c>
      <c r="AB46" s="13"/>
      <c r="AC46" s="13">
        <v>223459</v>
      </c>
      <c r="AD46" s="13">
        <v>193306</v>
      </c>
      <c r="AE46" s="13">
        <v>221824</v>
      </c>
      <c r="AF46" s="13">
        <v>241141</v>
      </c>
      <c r="AG46" s="13">
        <v>241141</v>
      </c>
      <c r="AI46" s="13">
        <v>232511</v>
      </c>
      <c r="AJ46" s="13">
        <v>195683</v>
      </c>
      <c r="AK46" s="13">
        <v>237845</v>
      </c>
      <c r="AL46" s="13">
        <v>250091</v>
      </c>
      <c r="AM46" s="13"/>
      <c r="AN46" s="13">
        <v>239870</v>
      </c>
      <c r="AO46" s="13">
        <v>199601</v>
      </c>
      <c r="AP46" s="13">
        <v>224714</v>
      </c>
      <c r="AQ46" s="13">
        <v>208396</v>
      </c>
      <c r="AR46" s="14"/>
      <c r="AS46" s="13">
        <v>207750</v>
      </c>
      <c r="AT46" s="13">
        <v>210044</v>
      </c>
      <c r="AU46" s="13">
        <v>259292</v>
      </c>
      <c r="AV46" s="13">
        <v>290224</v>
      </c>
      <c r="AW46" s="14"/>
      <c r="AX46" s="13">
        <v>244361</v>
      </c>
      <c r="AY46" s="13">
        <v>221424</v>
      </c>
      <c r="AZ46" s="13">
        <v>282005</v>
      </c>
      <c r="BA46" s="13">
        <v>277951</v>
      </c>
      <c r="BB46" s="14"/>
      <c r="BC46" s="13">
        <v>292610</v>
      </c>
      <c r="BD46" s="13">
        <v>272166</v>
      </c>
      <c r="BE46" s="13">
        <v>369142</v>
      </c>
      <c r="BF46" s="13">
        <v>373964</v>
      </c>
      <c r="BG46" s="13"/>
      <c r="BH46" s="13">
        <v>234404</v>
      </c>
      <c r="BI46" s="13">
        <v>238777</v>
      </c>
      <c r="BJ46" s="13">
        <v>298798</v>
      </c>
      <c r="BK46" s="13">
        <v>291976</v>
      </c>
      <c r="BL46" s="13"/>
      <c r="BM46" s="13">
        <v>241763</v>
      </c>
      <c r="BN46" s="14" t="e">
        <f>+BM46-#REF!</f>
        <v>#REF!</v>
      </c>
      <c r="BO46" s="14" t="e">
        <f>+BK46-#REF!</f>
        <v>#REF!</v>
      </c>
    </row>
    <row r="47" spans="1:67" ht="25.5" x14ac:dyDescent="0.25">
      <c r="B47" s="11" t="s">
        <v>43</v>
      </c>
      <c r="C47" s="12">
        <v>0</v>
      </c>
      <c r="D47" s="12"/>
      <c r="E47" s="12">
        <v>0</v>
      </c>
      <c r="F47" s="12">
        <v>0</v>
      </c>
      <c r="G47" s="12">
        <v>0</v>
      </c>
      <c r="H47" s="12">
        <v>0</v>
      </c>
      <c r="J47" s="12">
        <v>0</v>
      </c>
      <c r="K47" s="12">
        <v>0</v>
      </c>
      <c r="L47" s="12">
        <v>0</v>
      </c>
      <c r="M47" s="12">
        <v>0</v>
      </c>
      <c r="N47" s="13">
        <v>0</v>
      </c>
      <c r="P47" s="12">
        <v>0</v>
      </c>
      <c r="Q47" s="12">
        <v>0</v>
      </c>
      <c r="R47" s="12">
        <v>0</v>
      </c>
      <c r="S47" s="12">
        <v>0</v>
      </c>
      <c r="T47" s="12">
        <v>0</v>
      </c>
      <c r="U47" s="12">
        <v>0</v>
      </c>
      <c r="V47" s="12">
        <v>0</v>
      </c>
      <c r="X47" s="12">
        <v>0</v>
      </c>
      <c r="Y47" s="12">
        <v>0</v>
      </c>
      <c r="Z47" s="12">
        <v>0</v>
      </c>
      <c r="AA47" s="12">
        <v>0</v>
      </c>
      <c r="AB47" s="12"/>
      <c r="AC47" s="12">
        <v>0</v>
      </c>
      <c r="AD47" s="12">
        <v>0</v>
      </c>
      <c r="AE47" s="12">
        <v>0</v>
      </c>
      <c r="AF47" s="12">
        <v>0</v>
      </c>
      <c r="AG47" s="12">
        <v>0</v>
      </c>
      <c r="AI47" s="12">
        <v>0</v>
      </c>
      <c r="AJ47" s="12">
        <v>0</v>
      </c>
      <c r="AK47" s="12">
        <v>0</v>
      </c>
      <c r="AL47" s="12">
        <v>0</v>
      </c>
      <c r="AM47" s="12"/>
      <c r="AN47" s="12">
        <v>0</v>
      </c>
      <c r="AO47" s="12">
        <v>0</v>
      </c>
      <c r="AP47" s="12">
        <v>0</v>
      </c>
      <c r="AQ47" s="12">
        <v>0</v>
      </c>
      <c r="AR47" s="14"/>
      <c r="AS47" s="12">
        <v>0</v>
      </c>
      <c r="AT47" s="12">
        <v>0</v>
      </c>
      <c r="AU47" s="12">
        <v>0</v>
      </c>
      <c r="AV47" s="12">
        <v>0</v>
      </c>
      <c r="AW47" s="14"/>
      <c r="AX47" s="12">
        <v>0</v>
      </c>
      <c r="AY47" s="12">
        <v>0</v>
      </c>
      <c r="AZ47" s="12">
        <v>0</v>
      </c>
      <c r="BA47" s="12">
        <v>0</v>
      </c>
      <c r="BB47" s="14"/>
      <c r="BC47" s="12">
        <v>0</v>
      </c>
      <c r="BD47" s="12">
        <v>0</v>
      </c>
      <c r="BE47" s="12">
        <v>0</v>
      </c>
      <c r="BF47" s="12">
        <v>0</v>
      </c>
      <c r="BG47" s="12"/>
      <c r="BH47" s="12">
        <v>0</v>
      </c>
      <c r="BI47" s="12">
        <v>0</v>
      </c>
      <c r="BJ47" s="12">
        <v>0</v>
      </c>
      <c r="BK47" s="12">
        <v>0</v>
      </c>
      <c r="BL47" s="12"/>
      <c r="BM47" s="12">
        <v>0</v>
      </c>
      <c r="BN47" s="14" t="e">
        <f>+BM47-#REF!</f>
        <v>#REF!</v>
      </c>
      <c r="BO47" s="14" t="e">
        <f>+BK47-#REF!</f>
        <v>#REF!</v>
      </c>
    </row>
    <row r="48" spans="1:67" x14ac:dyDescent="0.25">
      <c r="B48" s="11" t="s">
        <v>44</v>
      </c>
      <c r="C48" s="12">
        <v>0</v>
      </c>
      <c r="D48" s="12"/>
      <c r="E48" s="12">
        <v>0</v>
      </c>
      <c r="F48" s="12">
        <v>0</v>
      </c>
      <c r="G48" s="12">
        <v>0</v>
      </c>
      <c r="H48" s="12">
        <v>0</v>
      </c>
      <c r="J48" s="12">
        <v>0</v>
      </c>
      <c r="K48" s="12">
        <v>0</v>
      </c>
      <c r="L48" s="12">
        <v>0</v>
      </c>
      <c r="M48" s="12">
        <v>0</v>
      </c>
      <c r="N48" s="12">
        <v>0</v>
      </c>
      <c r="P48" s="12">
        <v>0</v>
      </c>
      <c r="Q48" s="12">
        <v>0</v>
      </c>
      <c r="R48" s="12">
        <v>0</v>
      </c>
      <c r="S48" s="12">
        <v>0</v>
      </c>
      <c r="T48" s="12">
        <v>0</v>
      </c>
      <c r="U48" s="12">
        <v>0</v>
      </c>
      <c r="V48" s="12">
        <v>0</v>
      </c>
      <c r="X48" s="12">
        <v>0</v>
      </c>
      <c r="Y48" s="12">
        <v>0</v>
      </c>
      <c r="Z48" s="12">
        <v>0</v>
      </c>
      <c r="AA48" s="12">
        <v>0</v>
      </c>
      <c r="AB48" s="12"/>
      <c r="AC48" s="12">
        <v>0</v>
      </c>
      <c r="AD48" s="12">
        <v>0</v>
      </c>
      <c r="AE48" s="12">
        <v>0</v>
      </c>
      <c r="AF48" s="12">
        <v>0</v>
      </c>
      <c r="AG48" s="12">
        <v>0</v>
      </c>
      <c r="AI48" s="12">
        <v>0</v>
      </c>
      <c r="AJ48" s="12">
        <v>0</v>
      </c>
      <c r="AK48" s="12">
        <v>0</v>
      </c>
      <c r="AL48" s="12">
        <v>0</v>
      </c>
      <c r="AM48" s="12"/>
      <c r="AN48" s="12">
        <v>0</v>
      </c>
      <c r="AO48" s="12">
        <v>0</v>
      </c>
      <c r="AP48" s="12">
        <v>0</v>
      </c>
      <c r="AQ48" s="12">
        <v>0</v>
      </c>
      <c r="AR48" s="14"/>
      <c r="AS48" s="12">
        <v>0</v>
      </c>
      <c r="AT48" s="12">
        <v>0</v>
      </c>
      <c r="AU48" s="12">
        <v>0</v>
      </c>
      <c r="AV48" s="12">
        <v>0</v>
      </c>
      <c r="AW48" s="14"/>
      <c r="AX48" s="12">
        <v>0</v>
      </c>
      <c r="AY48" s="12">
        <v>0</v>
      </c>
      <c r="AZ48" s="12">
        <v>0</v>
      </c>
      <c r="BA48" s="12">
        <v>0</v>
      </c>
      <c r="BB48" s="14"/>
      <c r="BC48" s="12">
        <v>0</v>
      </c>
      <c r="BD48" s="12">
        <v>0</v>
      </c>
      <c r="BE48" s="12">
        <v>0</v>
      </c>
      <c r="BF48" s="12">
        <v>0</v>
      </c>
      <c r="BG48" s="12"/>
      <c r="BH48" s="12">
        <v>0</v>
      </c>
      <c r="BI48" s="12">
        <v>0</v>
      </c>
      <c r="BJ48" s="12">
        <v>0</v>
      </c>
      <c r="BK48" s="12">
        <v>0</v>
      </c>
      <c r="BL48" s="12"/>
      <c r="BM48" s="12">
        <v>0</v>
      </c>
      <c r="BN48" s="14" t="e">
        <f>+BM48-#REF!</f>
        <v>#REF!</v>
      </c>
      <c r="BO48" s="14" t="e">
        <f>+BK48-#REF!</f>
        <v>#REF!</v>
      </c>
    </row>
    <row r="49" spans="1:67" x14ac:dyDescent="0.25">
      <c r="B49" s="11" t="s">
        <v>45</v>
      </c>
      <c r="C49" s="12">
        <v>0</v>
      </c>
      <c r="D49" s="12"/>
      <c r="E49" s="12">
        <v>0</v>
      </c>
      <c r="F49" s="12">
        <v>0</v>
      </c>
      <c r="G49" s="12">
        <v>0</v>
      </c>
      <c r="H49" s="12">
        <v>0</v>
      </c>
      <c r="J49" s="12">
        <v>0</v>
      </c>
      <c r="K49" s="12">
        <v>0</v>
      </c>
      <c r="L49" s="12">
        <v>0</v>
      </c>
      <c r="M49" s="12">
        <v>0</v>
      </c>
      <c r="N49" s="12">
        <v>0</v>
      </c>
      <c r="P49" s="12">
        <v>0</v>
      </c>
      <c r="Q49" s="12">
        <v>0</v>
      </c>
      <c r="R49" s="12">
        <v>0</v>
      </c>
      <c r="S49" s="12">
        <v>0</v>
      </c>
      <c r="T49" s="12">
        <v>0</v>
      </c>
      <c r="U49" s="12">
        <v>0</v>
      </c>
      <c r="V49" s="12">
        <v>0</v>
      </c>
      <c r="X49" s="12">
        <v>0</v>
      </c>
      <c r="Y49" s="12">
        <v>0</v>
      </c>
      <c r="Z49" s="12">
        <v>0</v>
      </c>
      <c r="AA49" s="12">
        <v>0</v>
      </c>
      <c r="AB49" s="12"/>
      <c r="AC49" s="12">
        <v>0</v>
      </c>
      <c r="AD49" s="12">
        <v>0</v>
      </c>
      <c r="AE49" s="12">
        <v>0</v>
      </c>
      <c r="AF49" s="12">
        <v>0</v>
      </c>
      <c r="AG49" s="12">
        <v>0</v>
      </c>
      <c r="AI49" s="12">
        <v>0</v>
      </c>
      <c r="AJ49" s="12">
        <v>0</v>
      </c>
      <c r="AK49" s="12">
        <v>21390</v>
      </c>
      <c r="AL49" s="12">
        <v>16030</v>
      </c>
      <c r="AM49" s="12"/>
      <c r="AN49" s="12">
        <v>27417</v>
      </c>
      <c r="AO49" s="12">
        <v>70</v>
      </c>
      <c r="AP49" s="12">
        <v>1406</v>
      </c>
      <c r="AQ49" s="12">
        <v>3811</v>
      </c>
      <c r="AR49" s="14"/>
      <c r="AS49" s="12">
        <v>3270</v>
      </c>
      <c r="AT49" s="12">
        <v>4734</v>
      </c>
      <c r="AU49" s="12">
        <v>3795</v>
      </c>
      <c r="AV49" s="12">
        <v>0</v>
      </c>
      <c r="AW49" s="14"/>
      <c r="AX49" s="12">
        <v>0</v>
      </c>
      <c r="AY49" s="12">
        <v>0</v>
      </c>
      <c r="AZ49" s="12">
        <v>0</v>
      </c>
      <c r="BA49" s="12">
        <v>85018</v>
      </c>
      <c r="BB49" s="14"/>
      <c r="BC49" s="12">
        <v>94435</v>
      </c>
      <c r="BD49" s="12">
        <v>96360</v>
      </c>
      <c r="BE49" s="12">
        <v>97407</v>
      </c>
      <c r="BF49" s="12">
        <v>88266</v>
      </c>
      <c r="BG49" s="12"/>
      <c r="BH49" s="12">
        <v>101163</v>
      </c>
      <c r="BI49" s="12">
        <v>78600</v>
      </c>
      <c r="BJ49" s="12">
        <v>80576</v>
      </c>
      <c r="BK49" s="12">
        <v>89941</v>
      </c>
      <c r="BL49" s="12"/>
      <c r="BM49" s="12">
        <v>0</v>
      </c>
      <c r="BN49" s="14" t="e">
        <f>+BM49-#REF!</f>
        <v>#REF!</v>
      </c>
      <c r="BO49" s="14" t="e">
        <f>+BK49-#REF!</f>
        <v>#REF!</v>
      </c>
    </row>
    <row r="50" spans="1:67" ht="16.5" customHeight="1" x14ac:dyDescent="0.25">
      <c r="B50" s="11" t="s">
        <v>46</v>
      </c>
      <c r="C50" s="12">
        <v>129949</v>
      </c>
      <c r="D50" s="12"/>
      <c r="E50" s="12">
        <v>174259</v>
      </c>
      <c r="F50" s="12">
        <v>83180</v>
      </c>
      <c r="G50" s="12">
        <v>213513</v>
      </c>
      <c r="H50" s="12">
        <v>158889</v>
      </c>
      <c r="J50" s="12">
        <f>146472-1</f>
        <v>146471</v>
      </c>
      <c r="K50" s="12">
        <f>177557+6073</f>
        <v>183630</v>
      </c>
      <c r="L50" s="12">
        <v>182460</v>
      </c>
      <c r="M50" s="16">
        <f>455016+1+17209</f>
        <v>472226</v>
      </c>
      <c r="N50" s="16">
        <v>471619</v>
      </c>
      <c r="P50" s="13">
        <v>254615</v>
      </c>
      <c r="Q50" s="13">
        <v>494025</v>
      </c>
      <c r="R50" s="13">
        <v>247564</v>
      </c>
      <c r="S50" s="13">
        <v>450691</v>
      </c>
      <c r="T50" s="13">
        <v>599752</v>
      </c>
      <c r="U50" s="13">
        <v>748558</v>
      </c>
      <c r="V50" s="13">
        <v>480889</v>
      </c>
      <c r="X50" s="13">
        <v>627659</v>
      </c>
      <c r="Y50" s="13">
        <v>599439</v>
      </c>
      <c r="Z50" s="13">
        <v>552475</v>
      </c>
      <c r="AA50" s="13">
        <v>667596</v>
      </c>
      <c r="AB50" s="13"/>
      <c r="AC50" s="13">
        <v>598154</v>
      </c>
      <c r="AD50" s="13">
        <v>614751</v>
      </c>
      <c r="AE50" s="13">
        <v>682352</v>
      </c>
      <c r="AF50" s="13">
        <v>586007</v>
      </c>
      <c r="AG50" s="13">
        <v>484219</v>
      </c>
      <c r="AI50" s="13">
        <v>525293</v>
      </c>
      <c r="AJ50" s="13">
        <v>552717</v>
      </c>
      <c r="AK50" s="13">
        <f>585495-21390</f>
        <v>564105</v>
      </c>
      <c r="AL50" s="13">
        <v>460758</v>
      </c>
      <c r="AM50" s="13"/>
      <c r="AN50" s="13">
        <v>397000</v>
      </c>
      <c r="AO50" s="13">
        <v>415898</v>
      </c>
      <c r="AP50" s="13">
        <v>406818</v>
      </c>
      <c r="AQ50" s="13">
        <v>407731</v>
      </c>
      <c r="AR50" s="14"/>
      <c r="AS50" s="13">
        <v>406817</v>
      </c>
      <c r="AT50" s="13">
        <v>433876</v>
      </c>
      <c r="AU50" s="13">
        <v>450001</v>
      </c>
      <c r="AV50" s="13">
        <v>487959</v>
      </c>
      <c r="AW50" s="14"/>
      <c r="AX50" s="13">
        <v>454639</v>
      </c>
      <c r="AY50" s="13">
        <v>510076</v>
      </c>
      <c r="AZ50" s="13">
        <v>535476</v>
      </c>
      <c r="BA50" s="13">
        <v>594852</v>
      </c>
      <c r="BB50" s="14"/>
      <c r="BC50" s="13">
        <v>519246</v>
      </c>
      <c r="BD50" s="13">
        <v>532374</v>
      </c>
      <c r="BE50" s="13">
        <v>522057</v>
      </c>
      <c r="BF50" s="13">
        <v>587961</v>
      </c>
      <c r="BG50" s="13"/>
      <c r="BH50" s="13">
        <v>503166</v>
      </c>
      <c r="BI50" s="13">
        <v>575652</v>
      </c>
      <c r="BJ50" s="13">
        <v>448622</v>
      </c>
      <c r="BK50" s="13">
        <v>585500</v>
      </c>
      <c r="BL50" s="13"/>
      <c r="BM50" s="13">
        <v>487699</v>
      </c>
      <c r="BN50" s="14" t="e">
        <f>+BM50-#REF!</f>
        <v>#REF!</v>
      </c>
      <c r="BO50" s="14" t="e">
        <f>+BK50-#REF!</f>
        <v>#REF!</v>
      </c>
    </row>
    <row r="51" spans="1:67" ht="16.5" customHeight="1" x14ac:dyDescent="0.25">
      <c r="B51" s="11" t="s">
        <v>31</v>
      </c>
      <c r="C51" s="12">
        <v>2491</v>
      </c>
      <c r="D51" s="12"/>
      <c r="E51" s="12">
        <v>7639</v>
      </c>
      <c r="F51" s="12">
        <v>19717</v>
      </c>
      <c r="G51" s="12">
        <v>0</v>
      </c>
      <c r="H51" s="12">
        <v>0</v>
      </c>
      <c r="J51" s="12">
        <v>0</v>
      </c>
      <c r="K51" s="12">
        <v>0</v>
      </c>
      <c r="L51" s="12">
        <v>0</v>
      </c>
      <c r="M51" s="16">
        <v>0</v>
      </c>
      <c r="N51" s="16">
        <v>0</v>
      </c>
      <c r="P51" s="13">
        <v>6841</v>
      </c>
      <c r="Q51" s="13">
        <v>6841</v>
      </c>
      <c r="R51" s="13">
        <v>111</v>
      </c>
      <c r="S51" s="13">
        <v>111</v>
      </c>
      <c r="T51" s="13">
        <v>0</v>
      </c>
      <c r="U51" s="13">
        <v>0</v>
      </c>
      <c r="V51" s="13">
        <v>102555</v>
      </c>
      <c r="X51" s="13">
        <v>77486</v>
      </c>
      <c r="Y51" s="13">
        <v>109876</v>
      </c>
      <c r="Z51" s="13">
        <v>87797</v>
      </c>
      <c r="AA51" s="13">
        <v>3622</v>
      </c>
      <c r="AB51" s="13"/>
      <c r="AC51" s="13">
        <v>17087</v>
      </c>
      <c r="AD51" s="13">
        <v>0</v>
      </c>
      <c r="AE51" s="13">
        <v>1411</v>
      </c>
      <c r="AF51" s="13">
        <v>525</v>
      </c>
      <c r="AG51" s="13">
        <v>525</v>
      </c>
      <c r="AI51" s="13">
        <v>3182</v>
      </c>
      <c r="AJ51" s="13">
        <v>16913</v>
      </c>
      <c r="AK51" s="13">
        <v>2599</v>
      </c>
      <c r="AL51" s="13">
        <v>16353</v>
      </c>
      <c r="AM51" s="13"/>
      <c r="AN51" s="13">
        <v>68383</v>
      </c>
      <c r="AO51" s="13">
        <v>76462</v>
      </c>
      <c r="AP51" s="13">
        <v>34949</v>
      </c>
      <c r="AQ51" s="13">
        <v>65085</v>
      </c>
      <c r="AR51" s="14"/>
      <c r="AS51" s="13">
        <v>1682</v>
      </c>
      <c r="AT51" s="13">
        <v>2105</v>
      </c>
      <c r="AU51" s="13">
        <v>4964</v>
      </c>
      <c r="AV51" s="13">
        <v>2087</v>
      </c>
      <c r="AW51" s="14"/>
      <c r="AX51" s="13">
        <v>12692</v>
      </c>
      <c r="AY51" s="13">
        <v>6929</v>
      </c>
      <c r="AZ51" s="13">
        <v>275</v>
      </c>
      <c r="BA51" s="13">
        <v>22014</v>
      </c>
      <c r="BB51" s="14"/>
      <c r="BC51" s="13">
        <v>36435</v>
      </c>
      <c r="BD51" s="13">
        <v>90195</v>
      </c>
      <c r="BE51" s="13">
        <v>110696</v>
      </c>
      <c r="BF51" s="13">
        <v>226271</v>
      </c>
      <c r="BG51" s="13"/>
      <c r="BH51" s="13">
        <v>160658</v>
      </c>
      <c r="BI51" s="13">
        <v>235323</v>
      </c>
      <c r="BJ51" s="13">
        <v>69495</v>
      </c>
      <c r="BK51" s="13">
        <v>37575</v>
      </c>
      <c r="BL51" s="13"/>
      <c r="BM51" s="13">
        <v>50562</v>
      </c>
      <c r="BN51" s="14" t="e">
        <f>+BM51-#REF!</f>
        <v>#REF!</v>
      </c>
      <c r="BO51" s="14" t="e">
        <f>+BK51-#REF!</f>
        <v>#REF!</v>
      </c>
    </row>
    <row r="52" spans="1:67" x14ac:dyDescent="0.25">
      <c r="A52" s="32"/>
      <c r="B52" s="11" t="s">
        <v>47</v>
      </c>
      <c r="C52" s="12">
        <v>8935</v>
      </c>
      <c r="D52" s="12"/>
      <c r="E52" s="12">
        <v>0</v>
      </c>
      <c r="F52" s="12">
        <v>0</v>
      </c>
      <c r="G52" s="12">
        <v>0</v>
      </c>
      <c r="H52" s="12">
        <v>856</v>
      </c>
      <c r="J52" s="12">
        <v>0</v>
      </c>
      <c r="K52" s="12">
        <v>29704</v>
      </c>
      <c r="L52" s="12">
        <v>0</v>
      </c>
      <c r="M52" s="16">
        <v>856</v>
      </c>
      <c r="N52" s="16">
        <v>856</v>
      </c>
      <c r="P52" s="13">
        <v>856</v>
      </c>
      <c r="Q52" s="13">
        <v>856</v>
      </c>
      <c r="R52" s="13">
        <v>856</v>
      </c>
      <c r="S52" s="13">
        <v>856</v>
      </c>
      <c r="T52" s="13">
        <v>824</v>
      </c>
      <c r="U52" s="13">
        <v>824</v>
      </c>
      <c r="V52" s="13">
        <v>191699</v>
      </c>
      <c r="X52" s="13">
        <v>187469</v>
      </c>
      <c r="Y52" s="13">
        <v>824</v>
      </c>
      <c r="Z52" s="13">
        <v>824</v>
      </c>
      <c r="AA52" s="13">
        <v>824</v>
      </c>
      <c r="AB52" s="13"/>
      <c r="AC52" s="13">
        <v>824</v>
      </c>
      <c r="AD52" s="13">
        <v>824</v>
      </c>
      <c r="AE52" s="13">
        <v>824</v>
      </c>
      <c r="AF52" s="13">
        <v>0</v>
      </c>
      <c r="AG52" s="13">
        <v>0</v>
      </c>
      <c r="AI52" s="13">
        <v>0</v>
      </c>
      <c r="AJ52" s="13">
        <v>0</v>
      </c>
      <c r="AK52" s="13">
        <v>0</v>
      </c>
      <c r="AL52" s="13">
        <v>0</v>
      </c>
      <c r="AM52" s="13"/>
      <c r="AN52" s="13">
        <v>0</v>
      </c>
      <c r="AO52" s="13">
        <v>0</v>
      </c>
      <c r="AP52" s="13">
        <v>0</v>
      </c>
      <c r="AQ52" s="13">
        <v>455564</v>
      </c>
      <c r="AR52" s="14"/>
      <c r="AS52" s="13">
        <v>500662</v>
      </c>
      <c r="AT52" s="13">
        <v>443973</v>
      </c>
      <c r="AU52" s="13">
        <v>345051</v>
      </c>
      <c r="AV52" s="13">
        <v>7772</v>
      </c>
      <c r="AW52" s="14"/>
      <c r="AX52" s="13">
        <v>3695</v>
      </c>
      <c r="AY52" s="13">
        <v>3589</v>
      </c>
      <c r="AZ52" s="13">
        <v>2326699</v>
      </c>
      <c r="BA52" s="13">
        <v>3509787</v>
      </c>
      <c r="BB52" s="14"/>
      <c r="BC52" s="13">
        <v>3383599</v>
      </c>
      <c r="BD52" s="13">
        <v>819200</v>
      </c>
      <c r="BE52" s="13">
        <v>792078</v>
      </c>
      <c r="BF52" s="13">
        <v>628</v>
      </c>
      <c r="BG52" s="13"/>
      <c r="BH52" s="13">
        <v>742</v>
      </c>
      <c r="BI52" s="13">
        <v>783</v>
      </c>
      <c r="BJ52" s="13">
        <v>764</v>
      </c>
      <c r="BK52" s="13">
        <v>842</v>
      </c>
      <c r="BL52" s="13"/>
      <c r="BM52" s="13">
        <v>832</v>
      </c>
      <c r="BN52" s="14" t="e">
        <f>+BM52-#REF!</f>
        <v>#REF!</v>
      </c>
      <c r="BO52" s="14" t="e">
        <f>+BK52-#REF!</f>
        <v>#REF!</v>
      </c>
    </row>
    <row r="53" spans="1:67" ht="3.75" customHeight="1" x14ac:dyDescent="0.25">
      <c r="B53" s="11"/>
      <c r="C53" s="20"/>
      <c r="D53" s="20"/>
      <c r="E53" s="20"/>
      <c r="F53" s="20"/>
      <c r="G53" s="20"/>
      <c r="H53" s="20"/>
      <c r="J53" s="20"/>
      <c r="K53" s="20"/>
      <c r="L53" s="20"/>
      <c r="M53" s="20"/>
      <c r="N53" s="20"/>
      <c r="P53" s="20"/>
      <c r="Q53" s="20"/>
      <c r="R53" s="20"/>
      <c r="S53" s="20"/>
      <c r="T53" s="20"/>
      <c r="U53" s="20"/>
      <c r="V53" s="20"/>
      <c r="X53" s="20"/>
      <c r="Y53" s="20"/>
      <c r="Z53" s="20"/>
      <c r="AA53" s="20"/>
      <c r="AB53" s="20"/>
      <c r="AC53" s="20"/>
      <c r="AD53" s="20"/>
      <c r="AE53" s="20"/>
      <c r="AF53" s="20"/>
      <c r="AG53" s="20"/>
      <c r="AI53" s="20"/>
      <c r="AJ53" s="20"/>
      <c r="AK53" s="20"/>
      <c r="AL53" s="20"/>
      <c r="AM53" s="20"/>
      <c r="AN53" s="20"/>
      <c r="AO53" s="20"/>
      <c r="AP53" s="20"/>
      <c r="AQ53" s="20"/>
      <c r="AR53" s="14"/>
      <c r="AS53" s="20"/>
      <c r="AT53" s="20"/>
      <c r="AU53" s="20"/>
      <c r="AV53" s="20"/>
      <c r="AW53" s="14"/>
      <c r="AX53" s="20"/>
      <c r="AY53" s="20"/>
      <c r="AZ53" s="20"/>
      <c r="BA53" s="20"/>
      <c r="BB53" s="14"/>
      <c r="BC53" s="20"/>
      <c r="BD53" s="20"/>
      <c r="BE53" s="20"/>
      <c r="BF53" s="20"/>
      <c r="BG53" s="20"/>
      <c r="BH53" s="20"/>
      <c r="BI53" s="20"/>
      <c r="BJ53" s="20"/>
      <c r="BK53" s="20"/>
      <c r="BL53" s="20"/>
      <c r="BM53" s="20"/>
      <c r="BN53" s="14"/>
      <c r="BO53" s="14"/>
    </row>
    <row r="54" spans="1:67" ht="16.5" customHeight="1" x14ac:dyDescent="0.25">
      <c r="B54" s="17" t="s">
        <v>48</v>
      </c>
      <c r="C54" s="18">
        <f>+SUM(C40:C52)</f>
        <v>2752154</v>
      </c>
      <c r="D54" s="18"/>
      <c r="E54" s="18">
        <f>+SUM(E40:E52)</f>
        <v>3650657</v>
      </c>
      <c r="F54" s="18">
        <f>+SUM(F40:F52)</f>
        <v>5544881</v>
      </c>
      <c r="G54" s="18">
        <f>+SUM(G40:G52)</f>
        <v>4221435</v>
      </c>
      <c r="H54" s="18">
        <f>+SUM(H40:H52)</f>
        <v>4053956</v>
      </c>
      <c r="J54" s="18">
        <f>+SUM(J40:J52)</f>
        <v>4861269</v>
      </c>
      <c r="K54" s="18">
        <f>+SUM(K40:K52)</f>
        <v>4764447</v>
      </c>
      <c r="L54" s="18">
        <f>+SUM(L40:L52)</f>
        <v>6122162</v>
      </c>
      <c r="M54" s="18">
        <f>+SUM(M40:M52)</f>
        <v>6989265</v>
      </c>
      <c r="N54" s="18">
        <f>+SUM(N40:N52)</f>
        <v>6710834</v>
      </c>
      <c r="P54" s="18">
        <f t="shared" ref="P54:V54" si="13">+SUM(P40:P52)</f>
        <v>7359893</v>
      </c>
      <c r="Q54" s="18">
        <f t="shared" si="13"/>
        <v>7369166</v>
      </c>
      <c r="R54" s="18">
        <f t="shared" si="13"/>
        <v>6542714</v>
      </c>
      <c r="S54" s="18">
        <f t="shared" si="13"/>
        <v>6545816</v>
      </c>
      <c r="T54" s="18">
        <f t="shared" si="13"/>
        <v>6623481</v>
      </c>
      <c r="U54" s="18">
        <f t="shared" si="13"/>
        <v>6615547</v>
      </c>
      <c r="V54" s="18">
        <f t="shared" si="13"/>
        <v>7211119</v>
      </c>
      <c r="X54" s="18">
        <f>+SUM(X40:X52)</f>
        <v>9831420</v>
      </c>
      <c r="Y54" s="18">
        <f>+SUM(Y40:Y52)</f>
        <v>8519592</v>
      </c>
      <c r="Z54" s="18">
        <f>+SUM(Z40:Z52)</f>
        <v>8567621</v>
      </c>
      <c r="AA54" s="18">
        <f>+SUM(AA40:AA52)</f>
        <v>7107746</v>
      </c>
      <c r="AB54" s="18"/>
      <c r="AC54" s="18">
        <f>+SUM(AC40:AC52)</f>
        <v>7567713</v>
      </c>
      <c r="AD54" s="18">
        <f>+SUM(AD40:AD52)</f>
        <v>7535825</v>
      </c>
      <c r="AE54" s="18">
        <f>+SUM(AE40:AE52)</f>
        <v>7648405</v>
      </c>
      <c r="AF54" s="18">
        <f>+SUM(AF40:AF52)</f>
        <v>7029847</v>
      </c>
      <c r="AG54" s="19">
        <f>+SUM(AG40:AG52)</f>
        <v>7002816</v>
      </c>
      <c r="AI54" s="18">
        <f>+SUM(AI40:AI52)</f>
        <v>8091316</v>
      </c>
      <c r="AJ54" s="18">
        <f>+SUM(AJ40:AJ52)</f>
        <v>8357615</v>
      </c>
      <c r="AK54" s="18">
        <f>+SUM(AK40:AK52)</f>
        <v>7836498</v>
      </c>
      <c r="AL54" s="18">
        <f>+SUM(AL40:AL52)</f>
        <v>6760718</v>
      </c>
      <c r="AM54" s="18"/>
      <c r="AN54" s="18">
        <f>+SUM(AN40:AN52)</f>
        <v>8426262</v>
      </c>
      <c r="AO54" s="18">
        <f>+SUM(AO40:AO52)</f>
        <v>8355283</v>
      </c>
      <c r="AP54" s="18">
        <f>+SUM(AP40:AP52)</f>
        <v>7283963</v>
      </c>
      <c r="AQ54" s="18">
        <f>+SUM(AQ40:AQ52)</f>
        <v>6624149</v>
      </c>
      <c r="AR54" s="14"/>
      <c r="AS54" s="18">
        <f>+SUM(AS40:AS52)</f>
        <v>7423381</v>
      </c>
      <c r="AT54" s="18">
        <f>+SUM(AT40:AT52)</f>
        <v>7963089</v>
      </c>
      <c r="AU54" s="18">
        <f>+SUM(AU40:AU52)</f>
        <v>8127203</v>
      </c>
      <c r="AV54" s="18">
        <f>+SUM(AV40:AV52)</f>
        <v>7764963</v>
      </c>
      <c r="AW54" s="14"/>
      <c r="AX54" s="18">
        <f>+SUM(AX40:AX52)</f>
        <v>7970136</v>
      </c>
      <c r="AY54" s="18">
        <f>+SUM(AY40:AY52)</f>
        <v>7840603</v>
      </c>
      <c r="AZ54" s="18">
        <f>+SUM(AZ40:AZ52)</f>
        <v>9904391</v>
      </c>
      <c r="BA54" s="18">
        <f>+SUM(BA40:BA52)</f>
        <v>10321532</v>
      </c>
      <c r="BB54" s="14"/>
      <c r="BC54" s="18">
        <f>+SUM(BC40:BC52)</f>
        <v>10713766</v>
      </c>
      <c r="BD54" s="18">
        <f>+SUM(BD40:BD52)</f>
        <v>7956845</v>
      </c>
      <c r="BE54" s="18">
        <f>+SUM(BE40:BE52)</f>
        <v>9152000</v>
      </c>
      <c r="BF54" s="18">
        <f>+SUM(BF40:BF52)</f>
        <v>8321710</v>
      </c>
      <c r="BG54" s="18"/>
      <c r="BH54" s="18">
        <f>+SUM(BH40:BH52)</f>
        <v>8659609</v>
      </c>
      <c r="BI54" s="18">
        <f>+SUM(BI40:BI52)</f>
        <v>9175058</v>
      </c>
      <c r="BJ54" s="18">
        <f>+SUM(BJ40:BJ52)</f>
        <v>8560165</v>
      </c>
      <c r="BK54" s="18">
        <f>+SUM(BK40:BK52)</f>
        <v>8266843</v>
      </c>
      <c r="BL54" s="18"/>
      <c r="BM54" s="18">
        <f>+SUM(BM40:BM52)</f>
        <v>9244138</v>
      </c>
      <c r="BN54" s="14" t="e">
        <f>+BM54-#REF!</f>
        <v>#REF!</v>
      </c>
      <c r="BO54" s="14" t="e">
        <f>+BK54-#REF!</f>
        <v>#REF!</v>
      </c>
    </row>
    <row r="55" spans="1:67" ht="6" customHeight="1" x14ac:dyDescent="0.25">
      <c r="E55" s="2"/>
      <c r="F55" s="2"/>
      <c r="G55" s="2"/>
      <c r="H55" s="2"/>
      <c r="J55" s="2"/>
      <c r="AR55" s="14"/>
      <c r="AW55" s="14"/>
      <c r="BB55" s="14"/>
      <c r="BN55" s="14"/>
      <c r="BO55" s="14"/>
    </row>
    <row r="56" spans="1:67" ht="16.5" customHeight="1" x14ac:dyDescent="0.2">
      <c r="B56" s="21" t="s">
        <v>36</v>
      </c>
      <c r="C56" s="12">
        <f>1241276-12435</f>
        <v>1228841</v>
      </c>
      <c r="D56" s="12"/>
      <c r="E56" s="12">
        <v>2496972</v>
      </c>
      <c r="F56" s="12">
        <v>1018043</v>
      </c>
      <c r="G56" s="12">
        <v>1849511</v>
      </c>
      <c r="H56" s="12">
        <v>3077275</v>
      </c>
      <c r="J56" s="12">
        <v>3006056</v>
      </c>
      <c r="K56" s="12">
        <v>3639057</v>
      </c>
      <c r="L56" s="12">
        <v>4448887</v>
      </c>
      <c r="M56" s="16">
        <v>4948257</v>
      </c>
      <c r="N56" s="16">
        <v>4988915</v>
      </c>
      <c r="P56" s="13">
        <v>4936358</v>
      </c>
      <c r="Q56" s="13">
        <v>4936358</v>
      </c>
      <c r="R56" s="13">
        <v>5400254</v>
      </c>
      <c r="S56" s="13">
        <v>5400254</v>
      </c>
      <c r="T56" s="13">
        <v>5441004</v>
      </c>
      <c r="U56" s="13">
        <v>5441004</v>
      </c>
      <c r="V56" s="13">
        <v>6363559</v>
      </c>
      <c r="X56" s="13">
        <v>6321449</v>
      </c>
      <c r="Y56" s="13">
        <v>6818252</v>
      </c>
      <c r="Z56" s="13">
        <v>6157358</v>
      </c>
      <c r="AA56" s="13">
        <v>6499405</v>
      </c>
      <c r="AB56" s="13"/>
      <c r="AC56" s="13">
        <v>5184746</v>
      </c>
      <c r="AD56" s="13">
        <v>5433415</v>
      </c>
      <c r="AE56" s="13">
        <v>5024092</v>
      </c>
      <c r="AF56" s="13">
        <v>6364008</v>
      </c>
      <c r="AG56" s="13">
        <v>6364008</v>
      </c>
      <c r="AI56" s="13">
        <v>5703023</v>
      </c>
      <c r="AJ56" s="13">
        <v>6378664</v>
      </c>
      <c r="AK56" s="13">
        <v>6324286</v>
      </c>
      <c r="AL56" s="13">
        <v>5118140</v>
      </c>
      <c r="AM56" s="13"/>
      <c r="AN56" s="13">
        <v>6194339</v>
      </c>
      <c r="AO56" s="13">
        <v>5850656</v>
      </c>
      <c r="AP56" s="13">
        <v>6355092</v>
      </c>
      <c r="AQ56" s="13">
        <v>5386230</v>
      </c>
      <c r="AR56" s="14"/>
      <c r="AS56" s="13">
        <v>6009848</v>
      </c>
      <c r="AT56" s="13">
        <v>5243168</v>
      </c>
      <c r="AU56" s="13">
        <v>4558203</v>
      </c>
      <c r="AV56" s="13">
        <v>4038878</v>
      </c>
      <c r="AW56" s="14"/>
      <c r="AX56" s="13">
        <v>4101351</v>
      </c>
      <c r="AY56" s="13">
        <v>4241497</v>
      </c>
      <c r="AZ56" s="13">
        <v>4226548</v>
      </c>
      <c r="BA56" s="13">
        <v>6080834</v>
      </c>
      <c r="BB56" s="14"/>
      <c r="BC56" s="13">
        <v>6178496</v>
      </c>
      <c r="BD56" s="13">
        <v>5726197</v>
      </c>
      <c r="BE56" s="13">
        <v>5316034</v>
      </c>
      <c r="BF56" s="13">
        <v>4824620</v>
      </c>
      <c r="BG56" s="13"/>
      <c r="BH56" s="13">
        <v>2921980</v>
      </c>
      <c r="BI56" s="13">
        <v>3290092</v>
      </c>
      <c r="BJ56" s="13">
        <v>3488165</v>
      </c>
      <c r="BK56" s="13">
        <v>3356071</v>
      </c>
      <c r="BL56" s="13"/>
      <c r="BM56" s="15">
        <v>2673085</v>
      </c>
      <c r="BN56" s="14" t="e">
        <f>+BM56-#REF!</f>
        <v>#REF!</v>
      </c>
      <c r="BO56" s="14" t="e">
        <f>+BK56-#REF!</f>
        <v>#REF!</v>
      </c>
    </row>
    <row r="57" spans="1:67" ht="16.5" customHeight="1" x14ac:dyDescent="0.2">
      <c r="B57" s="21" t="s">
        <v>37</v>
      </c>
      <c r="C57" s="12">
        <v>0</v>
      </c>
      <c r="D57" s="12"/>
      <c r="E57" s="12">
        <v>0</v>
      </c>
      <c r="F57" s="12">
        <v>0</v>
      </c>
      <c r="G57" s="12">
        <v>0</v>
      </c>
      <c r="H57" s="12">
        <v>0</v>
      </c>
      <c r="J57" s="12">
        <v>0</v>
      </c>
      <c r="K57" s="12">
        <v>0</v>
      </c>
      <c r="L57" s="12">
        <v>0</v>
      </c>
      <c r="M57" s="16">
        <v>0</v>
      </c>
      <c r="N57" s="16">
        <v>0</v>
      </c>
      <c r="P57" s="13">
        <v>0</v>
      </c>
      <c r="Q57" s="13">
        <v>0</v>
      </c>
      <c r="R57" s="13">
        <v>0</v>
      </c>
      <c r="S57" s="13">
        <v>0</v>
      </c>
      <c r="T57" s="13">
        <v>0</v>
      </c>
      <c r="U57" s="13">
        <v>0</v>
      </c>
      <c r="V57" s="13">
        <v>0</v>
      </c>
      <c r="X57" s="13">
        <v>0</v>
      </c>
      <c r="Y57" s="13">
        <v>0</v>
      </c>
      <c r="Z57" s="13">
        <v>0</v>
      </c>
      <c r="AA57" s="13">
        <v>0</v>
      </c>
      <c r="AB57" s="13"/>
      <c r="AC57" s="13">
        <v>0</v>
      </c>
      <c r="AD57" s="13">
        <v>0</v>
      </c>
      <c r="AE57" s="13">
        <v>0</v>
      </c>
      <c r="AF57" s="13">
        <v>0</v>
      </c>
      <c r="AG57" s="13">
        <v>0</v>
      </c>
      <c r="AI57" s="13">
        <v>828387</v>
      </c>
      <c r="AJ57" s="13">
        <v>926941</v>
      </c>
      <c r="AK57" s="13">
        <v>1001425</v>
      </c>
      <c r="AL57" s="13">
        <v>898276</v>
      </c>
      <c r="AM57" s="13"/>
      <c r="AN57" s="13">
        <v>876976</v>
      </c>
      <c r="AO57" s="13">
        <v>787680</v>
      </c>
      <c r="AP57" s="13">
        <v>766759</v>
      </c>
      <c r="AQ57" s="13">
        <v>685001</v>
      </c>
      <c r="AR57" s="14"/>
      <c r="AS57" s="13">
        <v>628722</v>
      </c>
      <c r="AT57" s="13">
        <v>610798</v>
      </c>
      <c r="AU57" s="13">
        <v>613808</v>
      </c>
      <c r="AV57" s="13">
        <v>628449</v>
      </c>
      <c r="AW57" s="14"/>
      <c r="AX57" s="13">
        <v>598024</v>
      </c>
      <c r="AY57" s="13">
        <v>617251</v>
      </c>
      <c r="AZ57" s="13">
        <v>619670</v>
      </c>
      <c r="BA57" s="13">
        <v>615979</v>
      </c>
      <c r="BB57" s="14"/>
      <c r="BC57" s="13">
        <v>588848</v>
      </c>
      <c r="BD57" s="13">
        <v>532067</v>
      </c>
      <c r="BE57" s="13">
        <v>538366</v>
      </c>
      <c r="BF57" s="13">
        <v>470032</v>
      </c>
      <c r="BG57" s="13"/>
      <c r="BH57" s="13">
        <v>148022</v>
      </c>
      <c r="BI57" s="13">
        <v>149512</v>
      </c>
      <c r="BJ57" s="13">
        <v>151128</v>
      </c>
      <c r="BK57" s="13">
        <v>131641</v>
      </c>
      <c r="BL57" s="13"/>
      <c r="BM57" s="13">
        <v>89823</v>
      </c>
      <c r="BN57" s="14" t="e">
        <f>+BM57-#REF!</f>
        <v>#REF!</v>
      </c>
      <c r="BO57" s="14" t="e">
        <f>+BK57-#REF!</f>
        <v>#REF!</v>
      </c>
    </row>
    <row r="58" spans="1:67" ht="14.25" customHeight="1" x14ac:dyDescent="0.25">
      <c r="A58" s="32"/>
      <c r="B58" s="11" t="s">
        <v>38</v>
      </c>
      <c r="C58" s="12">
        <f>3064844+106565</f>
        <v>3171409</v>
      </c>
      <c r="D58" s="12"/>
      <c r="E58" s="12">
        <v>3043567</v>
      </c>
      <c r="F58" s="12">
        <v>2912822</v>
      </c>
      <c r="G58" s="12">
        <v>3927231</v>
      </c>
      <c r="H58" s="12">
        <f>4591700+67096</f>
        <v>4658796</v>
      </c>
      <c r="J58" s="12">
        <v>4647095</v>
      </c>
      <c r="K58" s="12">
        <v>4497762</v>
      </c>
      <c r="L58" s="12">
        <v>4623075</v>
      </c>
      <c r="M58" s="12">
        <f>4372169+46944</f>
        <v>4419113</v>
      </c>
      <c r="N58" s="16">
        <v>4590566</v>
      </c>
      <c r="P58" s="13">
        <v>4440335</v>
      </c>
      <c r="Q58" s="13">
        <v>4440335</v>
      </c>
      <c r="R58" s="13">
        <v>5002149</v>
      </c>
      <c r="S58" s="13">
        <v>5002149</v>
      </c>
      <c r="T58" s="13">
        <v>4845056</v>
      </c>
      <c r="U58" s="13">
        <v>4845056</v>
      </c>
      <c r="V58" s="13">
        <v>4644438</v>
      </c>
      <c r="X58" s="13">
        <v>4602924</v>
      </c>
      <c r="Y58" s="13">
        <v>5533341</v>
      </c>
      <c r="Z58" s="13">
        <v>5462254</v>
      </c>
      <c r="AA58" s="13">
        <v>6653888</v>
      </c>
      <c r="AB58" s="13"/>
      <c r="AC58" s="13">
        <v>6526872</v>
      </c>
      <c r="AD58" s="13">
        <v>6995045</v>
      </c>
      <c r="AE58" s="13">
        <v>7074488</v>
      </c>
      <c r="AF58" s="13">
        <v>6854570</v>
      </c>
      <c r="AG58" s="13">
        <v>6854570</v>
      </c>
      <c r="AI58" s="13">
        <v>6794222</v>
      </c>
      <c r="AJ58" s="13">
        <v>7595221</v>
      </c>
      <c r="AK58" s="13">
        <v>8129311</v>
      </c>
      <c r="AL58" s="13">
        <v>8838335</v>
      </c>
      <c r="AM58" s="13"/>
      <c r="AN58" s="13">
        <v>9384274</v>
      </c>
      <c r="AO58" s="13">
        <v>8958167</v>
      </c>
      <c r="AP58" s="13">
        <v>9011711</v>
      </c>
      <c r="AQ58" s="13">
        <v>8974024</v>
      </c>
      <c r="AR58" s="14"/>
      <c r="AS58" s="13">
        <v>9119216</v>
      </c>
      <c r="AT58" s="13">
        <v>8394999</v>
      </c>
      <c r="AU58" s="13">
        <v>9042901</v>
      </c>
      <c r="AV58" s="13">
        <v>8678684</v>
      </c>
      <c r="AW58" s="14"/>
      <c r="AX58" s="13">
        <v>8580049</v>
      </c>
      <c r="AY58" s="13">
        <v>7673209</v>
      </c>
      <c r="AZ58" s="13">
        <v>6783812</v>
      </c>
      <c r="BA58" s="13">
        <v>5784720</v>
      </c>
      <c r="BB58" s="14"/>
      <c r="BC58" s="13">
        <v>6030405</v>
      </c>
      <c r="BD58" s="13">
        <v>5990285</v>
      </c>
      <c r="BE58" s="13">
        <v>5649152</v>
      </c>
      <c r="BF58" s="13">
        <v>5635355</v>
      </c>
      <c r="BG58" s="13"/>
      <c r="BH58" s="13">
        <v>5601542</v>
      </c>
      <c r="BI58" s="13">
        <v>5114813</v>
      </c>
      <c r="BJ58" s="13">
        <v>4956352</v>
      </c>
      <c r="BK58" s="13">
        <v>5144207</v>
      </c>
      <c r="BL58" s="13"/>
      <c r="BM58" s="13">
        <v>5125677</v>
      </c>
      <c r="BN58" s="14" t="e">
        <f>+BM58-#REF!</f>
        <v>#REF!</v>
      </c>
      <c r="BO58" s="14" t="e">
        <f>+BK58-#REF!</f>
        <v>#REF!</v>
      </c>
    </row>
    <row r="59" spans="1:67" ht="15.75" customHeight="1" x14ac:dyDescent="0.2">
      <c r="B59" s="21" t="s">
        <v>49</v>
      </c>
      <c r="C59" s="23">
        <v>1082682</v>
      </c>
      <c r="D59" s="12"/>
      <c r="E59" s="23">
        <v>937720</v>
      </c>
      <c r="F59" s="23">
        <v>1026571</v>
      </c>
      <c r="G59" s="23">
        <v>1051518</v>
      </c>
      <c r="H59" s="23">
        <v>1233745</v>
      </c>
      <c r="J59" s="23">
        <v>1496677</v>
      </c>
      <c r="K59" s="23">
        <v>1160716</v>
      </c>
      <c r="L59" s="23">
        <v>1422773</v>
      </c>
      <c r="M59" s="23">
        <v>1616905</v>
      </c>
      <c r="N59" s="16">
        <v>1831534</v>
      </c>
      <c r="P59" s="13">
        <v>1608607</v>
      </c>
      <c r="Q59" s="13">
        <v>1809850</v>
      </c>
      <c r="R59" s="13">
        <v>1475083</v>
      </c>
      <c r="S59" s="13">
        <v>1666161</v>
      </c>
      <c r="T59" s="13">
        <v>1617068</v>
      </c>
      <c r="U59" s="13">
        <v>1621409</v>
      </c>
      <c r="V59" s="13">
        <v>1580512</v>
      </c>
      <c r="X59" s="13">
        <v>1625768</v>
      </c>
      <c r="Y59" s="13">
        <v>1601257</v>
      </c>
      <c r="Z59" s="13">
        <v>1556485</v>
      </c>
      <c r="AA59" s="13">
        <v>1562383</v>
      </c>
      <c r="AB59" s="13"/>
      <c r="AC59" s="13">
        <v>1422382</v>
      </c>
      <c r="AD59" s="13">
        <v>1434427</v>
      </c>
      <c r="AE59" s="13">
        <v>1376875</v>
      </c>
      <c r="AF59" s="13">
        <v>1385211</v>
      </c>
      <c r="AG59" s="13">
        <v>1345771</v>
      </c>
      <c r="AI59" s="13">
        <v>1399099</v>
      </c>
      <c r="AJ59" s="13">
        <v>1349547</v>
      </c>
      <c r="AK59" s="13">
        <v>1255850</v>
      </c>
      <c r="AL59" s="13">
        <v>1211760</v>
      </c>
      <c r="AM59" s="13"/>
      <c r="AN59" s="13">
        <v>1309687</v>
      </c>
      <c r="AO59" s="13">
        <v>1331404</v>
      </c>
      <c r="AP59" s="13">
        <v>1314492</v>
      </c>
      <c r="AQ59" s="13">
        <v>1112850</v>
      </c>
      <c r="AR59" s="14"/>
      <c r="AS59" s="13">
        <v>1084472</v>
      </c>
      <c r="AT59" s="13">
        <v>1170696</v>
      </c>
      <c r="AU59" s="13">
        <v>1304900</v>
      </c>
      <c r="AV59" s="13">
        <v>1283447</v>
      </c>
      <c r="AW59" s="14"/>
      <c r="AX59" s="13">
        <v>1363584</v>
      </c>
      <c r="AY59" s="13">
        <v>1022352</v>
      </c>
      <c r="AZ59" s="13">
        <v>1071979</v>
      </c>
      <c r="BA59" s="13">
        <v>1479769</v>
      </c>
      <c r="BB59" s="14"/>
      <c r="BC59" s="13">
        <v>1524042</v>
      </c>
      <c r="BD59" s="13">
        <v>1609562</v>
      </c>
      <c r="BE59" s="13">
        <v>1648673</v>
      </c>
      <c r="BF59" s="13">
        <v>1657284</v>
      </c>
      <c r="BG59" s="13"/>
      <c r="BH59" s="13">
        <v>2101420</v>
      </c>
      <c r="BI59" s="13">
        <v>2104390</v>
      </c>
      <c r="BJ59" s="13">
        <v>2106034</v>
      </c>
      <c r="BK59" s="13">
        <v>1804928</v>
      </c>
      <c r="BL59" s="13"/>
      <c r="BM59" s="13">
        <v>3186327</v>
      </c>
      <c r="BN59" s="14" t="e">
        <f>+BM59-#REF!</f>
        <v>#REF!</v>
      </c>
      <c r="BO59" s="14" t="e">
        <f>+BK59-#REF!</f>
        <v>#REF!</v>
      </c>
    </row>
    <row r="60" spans="1:67" ht="15.75" customHeight="1" x14ac:dyDescent="0.2">
      <c r="B60" s="21" t="s">
        <v>40</v>
      </c>
      <c r="C60" s="20">
        <v>297745</v>
      </c>
      <c r="D60" s="20"/>
      <c r="E60" s="20">
        <v>245262</v>
      </c>
      <c r="F60" s="20">
        <v>265142</v>
      </c>
      <c r="G60" s="20">
        <v>264924</v>
      </c>
      <c r="H60" s="20">
        <v>335882</v>
      </c>
      <c r="J60" s="20">
        <v>294713</v>
      </c>
      <c r="K60" s="20">
        <v>289913</v>
      </c>
      <c r="L60" s="20">
        <v>318008</v>
      </c>
      <c r="M60" s="16">
        <v>202401</v>
      </c>
      <c r="N60" s="16">
        <v>211721</v>
      </c>
      <c r="P60" s="13">
        <v>211505</v>
      </c>
      <c r="Q60" s="13">
        <v>177731</v>
      </c>
      <c r="R60" s="13">
        <v>247320</v>
      </c>
      <c r="S60" s="13">
        <v>167362</v>
      </c>
      <c r="T60" s="13">
        <v>253396</v>
      </c>
      <c r="U60" s="13">
        <v>170984</v>
      </c>
      <c r="V60" s="13">
        <v>298565</v>
      </c>
      <c r="X60" s="13">
        <v>205791</v>
      </c>
      <c r="Y60" s="13">
        <v>315731</v>
      </c>
      <c r="Z60" s="13">
        <v>314449</v>
      </c>
      <c r="AA60" s="13">
        <v>304360</v>
      </c>
      <c r="AB60" s="13"/>
      <c r="AC60" s="13">
        <v>287901</v>
      </c>
      <c r="AD60" s="13">
        <v>298871</v>
      </c>
      <c r="AE60" s="13">
        <v>306413</v>
      </c>
      <c r="AF60" s="13">
        <v>306615</v>
      </c>
      <c r="AG60" s="13">
        <v>306615</v>
      </c>
      <c r="AI60" s="13">
        <v>225597</v>
      </c>
      <c r="AJ60" s="13">
        <v>224758</v>
      </c>
      <c r="AK60" s="13">
        <v>249137</v>
      </c>
      <c r="AL60" s="13">
        <v>238392</v>
      </c>
      <c r="AM60" s="13"/>
      <c r="AN60" s="13">
        <v>347920</v>
      </c>
      <c r="AO60" s="13">
        <v>279237</v>
      </c>
      <c r="AP60" s="13">
        <v>292857</v>
      </c>
      <c r="AQ60" s="13">
        <v>236086</v>
      </c>
      <c r="AR60" s="14"/>
      <c r="AS60" s="13">
        <v>265849</v>
      </c>
      <c r="AT60" s="13">
        <v>251233</v>
      </c>
      <c r="AU60" s="13">
        <v>266999</v>
      </c>
      <c r="AV60" s="13">
        <v>232008</v>
      </c>
      <c r="AW60" s="14"/>
      <c r="AX60" s="13">
        <v>203191</v>
      </c>
      <c r="AY60" s="13">
        <v>185529</v>
      </c>
      <c r="AZ60" s="13">
        <v>201759</v>
      </c>
      <c r="BA60" s="13">
        <v>207384</v>
      </c>
      <c r="BB60" s="14"/>
      <c r="BC60" s="13">
        <v>239779</v>
      </c>
      <c r="BD60" s="13">
        <v>223986</v>
      </c>
      <c r="BE60" s="13">
        <v>222550</v>
      </c>
      <c r="BF60" s="13">
        <v>201745</v>
      </c>
      <c r="BG60" s="13"/>
      <c r="BH60" s="13">
        <v>65514</v>
      </c>
      <c r="BI60" s="13">
        <v>67040</v>
      </c>
      <c r="BJ60" s="13">
        <v>78623</v>
      </c>
      <c r="BK60" s="13">
        <v>66002</v>
      </c>
      <c r="BL60" s="13"/>
      <c r="BM60" s="13">
        <v>63819</v>
      </c>
      <c r="BN60" s="14" t="e">
        <f>+BM60-#REF!</f>
        <v>#REF!</v>
      </c>
      <c r="BO60" s="14" t="e">
        <f>+BK60-#REF!</f>
        <v>#REF!</v>
      </c>
    </row>
    <row r="61" spans="1:67" ht="15.75" customHeight="1" x14ac:dyDescent="0.2">
      <c r="B61" s="21" t="s">
        <v>50</v>
      </c>
      <c r="C61" s="12">
        <f>113196-91334</f>
        <v>21862</v>
      </c>
      <c r="D61" s="12"/>
      <c r="E61" s="12">
        <v>385691</v>
      </c>
      <c r="F61" s="12">
        <v>432007</v>
      </c>
      <c r="G61" s="12">
        <v>105175</v>
      </c>
      <c r="H61" s="12">
        <f>71721-53142</f>
        <v>18579</v>
      </c>
      <c r="J61" s="12">
        <v>319689</v>
      </c>
      <c r="K61" s="12">
        <v>299127</v>
      </c>
      <c r="L61" s="12">
        <v>105536</v>
      </c>
      <c r="M61" s="12">
        <f>99828-34437</f>
        <v>65391</v>
      </c>
      <c r="N61" s="12">
        <f>56780+72079</f>
        <v>128859</v>
      </c>
      <c r="P61" s="13">
        <v>63860</v>
      </c>
      <c r="Q61" s="13">
        <v>97634</v>
      </c>
      <c r="R61" s="13">
        <v>211483</v>
      </c>
      <c r="S61" s="13">
        <f>291441-1</f>
        <v>291440</v>
      </c>
      <c r="T61" s="13">
        <v>240584</v>
      </c>
      <c r="U61" s="13">
        <v>322997</v>
      </c>
      <c r="V61" s="13">
        <f>240793+79157</f>
        <v>319950</v>
      </c>
      <c r="X61" s="13">
        <v>423064</v>
      </c>
      <c r="Y61" s="13">
        <v>328638</v>
      </c>
      <c r="Z61" s="13">
        <v>329979</v>
      </c>
      <c r="AA61" s="13">
        <v>237324</v>
      </c>
      <c r="AB61" s="13"/>
      <c r="AC61" s="13">
        <v>233297</v>
      </c>
      <c r="AD61" s="13">
        <v>262274</v>
      </c>
      <c r="AE61" s="13">
        <v>271243</v>
      </c>
      <c r="AF61" s="13">
        <f>278510-1</f>
        <v>278509</v>
      </c>
      <c r="AG61" s="13">
        <f>278510-1</f>
        <v>278509</v>
      </c>
      <c r="AI61" s="13">
        <v>280961</v>
      </c>
      <c r="AJ61" s="13">
        <v>287788</v>
      </c>
      <c r="AK61" s="13">
        <v>298376</v>
      </c>
      <c r="AL61" s="13">
        <v>268515</v>
      </c>
      <c r="AM61" s="13"/>
      <c r="AN61" s="13">
        <v>311126</v>
      </c>
      <c r="AO61" s="13">
        <v>300811</v>
      </c>
      <c r="AP61" s="13">
        <v>307749</v>
      </c>
      <c r="AQ61" s="13">
        <v>408744</v>
      </c>
      <c r="AR61" s="14"/>
      <c r="AS61" s="13">
        <v>386885</v>
      </c>
      <c r="AT61" s="13">
        <v>311448</v>
      </c>
      <c r="AU61" s="13">
        <v>323988</v>
      </c>
      <c r="AV61" s="13">
        <v>135088</v>
      </c>
      <c r="AW61" s="14"/>
      <c r="AX61" s="13">
        <v>137888</v>
      </c>
      <c r="AY61" s="13">
        <v>123276</v>
      </c>
      <c r="AZ61" s="13">
        <v>131086</v>
      </c>
      <c r="BA61" s="13">
        <v>127424</v>
      </c>
      <c r="BB61" s="14"/>
      <c r="BC61" s="13">
        <v>131549</v>
      </c>
      <c r="BD61" s="13">
        <v>124779</v>
      </c>
      <c r="BE61" s="13">
        <v>129018</v>
      </c>
      <c r="BF61" s="13">
        <v>29117</v>
      </c>
      <c r="BG61" s="13"/>
      <c r="BH61" s="13">
        <v>29352</v>
      </c>
      <c r="BI61" s="13">
        <v>30599</v>
      </c>
      <c r="BJ61" s="13">
        <v>34257</v>
      </c>
      <c r="BK61" s="13">
        <v>36098</v>
      </c>
      <c r="BL61" s="13"/>
      <c r="BM61" s="13">
        <v>109623</v>
      </c>
      <c r="BN61" s="14" t="e">
        <f>+BM61-#REF!</f>
        <v>#REF!</v>
      </c>
      <c r="BO61" s="14" t="e">
        <f>+BK61-#REF!</f>
        <v>#REF!</v>
      </c>
    </row>
    <row r="62" spans="1:67" ht="16.5" customHeight="1" x14ac:dyDescent="0.2">
      <c r="B62" s="21" t="s">
        <v>42</v>
      </c>
      <c r="C62" s="12">
        <f>4547+370806</f>
        <v>375353</v>
      </c>
      <c r="D62" s="12"/>
      <c r="E62" s="12">
        <f>5363+391930</f>
        <v>397293</v>
      </c>
      <c r="F62" s="12">
        <f>6801+395002</f>
        <v>401803</v>
      </c>
      <c r="G62" s="12">
        <f>7133+395329</f>
        <v>402462</v>
      </c>
      <c r="H62" s="12">
        <f>7080+374123</f>
        <v>381203</v>
      </c>
      <c r="J62" s="12">
        <f>7001+390595</f>
        <v>397596</v>
      </c>
      <c r="K62" s="12">
        <f>9106+394054</f>
        <v>403160</v>
      </c>
      <c r="L62" s="12">
        <f>9951+388436</f>
        <v>398387</v>
      </c>
      <c r="M62" s="16">
        <f>2932+366140</f>
        <v>369072</v>
      </c>
      <c r="N62" s="16">
        <v>369072</v>
      </c>
      <c r="P62" s="13">
        <f>3227+360684</f>
        <v>363911</v>
      </c>
      <c r="Q62" s="13">
        <f>3227+360684</f>
        <v>363911</v>
      </c>
      <c r="R62" s="13">
        <f>5754+364701</f>
        <v>370455</v>
      </c>
      <c r="S62" s="13">
        <f>5754+364701</f>
        <v>370455</v>
      </c>
      <c r="T62" s="13">
        <f>17875+364824</f>
        <v>382699</v>
      </c>
      <c r="U62" s="13">
        <f>17875+364824</f>
        <v>382699</v>
      </c>
      <c r="V62" s="13">
        <v>440950</v>
      </c>
      <c r="X62" s="13">
        <v>446411</v>
      </c>
      <c r="Y62" s="13">
        <v>453585</v>
      </c>
      <c r="Z62" s="13">
        <v>467709</v>
      </c>
      <c r="AA62" s="13">
        <v>494531</v>
      </c>
      <c r="AB62" s="13"/>
      <c r="AC62" s="13">
        <v>482020</v>
      </c>
      <c r="AD62" s="13">
        <v>484771</v>
      </c>
      <c r="AE62" s="13">
        <v>469005</v>
      </c>
      <c r="AF62" s="13">
        <v>435568</v>
      </c>
      <c r="AG62" s="13">
        <v>435568</v>
      </c>
      <c r="AI62" s="13">
        <v>437095</v>
      </c>
      <c r="AJ62" s="13">
        <v>438445</v>
      </c>
      <c r="AK62" s="13">
        <v>436939</v>
      </c>
      <c r="AL62" s="13">
        <v>441254</v>
      </c>
      <c r="AM62" s="13"/>
      <c r="AN62" s="13">
        <v>446918</v>
      </c>
      <c r="AO62" s="13">
        <v>442592</v>
      </c>
      <c r="AP62" s="13">
        <v>461038</v>
      </c>
      <c r="AQ62" s="13">
        <v>445591</v>
      </c>
      <c r="AR62" s="14"/>
      <c r="AS62" s="13">
        <v>442565</v>
      </c>
      <c r="AT62" s="13">
        <v>444603</v>
      </c>
      <c r="AU62" s="13">
        <v>443352</v>
      </c>
      <c r="AV62" s="13">
        <v>362307</v>
      </c>
      <c r="AW62" s="14"/>
      <c r="AX62" s="13">
        <v>353793</v>
      </c>
      <c r="AY62" s="13">
        <v>353956</v>
      </c>
      <c r="AZ62" s="13">
        <v>360393</v>
      </c>
      <c r="BA62" s="13">
        <v>292873</v>
      </c>
      <c r="BB62" s="14"/>
      <c r="BC62" s="13">
        <v>287160</v>
      </c>
      <c r="BD62" s="13">
        <v>283875</v>
      </c>
      <c r="BE62" s="13">
        <v>279338</v>
      </c>
      <c r="BF62" s="13">
        <v>357121</v>
      </c>
      <c r="BG62" s="13"/>
      <c r="BH62" s="13">
        <v>348179</v>
      </c>
      <c r="BI62" s="13">
        <v>346699</v>
      </c>
      <c r="BJ62" s="13">
        <v>347364</v>
      </c>
      <c r="BK62" s="13">
        <v>333645</v>
      </c>
      <c r="BL62" s="13"/>
      <c r="BM62" s="13">
        <v>332497</v>
      </c>
      <c r="BN62" s="14" t="e">
        <f>+BM62-#REF!</f>
        <v>#REF!</v>
      </c>
      <c r="BO62" s="14" t="e">
        <f>+BK62-#REF!</f>
        <v>#REF!</v>
      </c>
    </row>
    <row r="63" spans="1:67" ht="16.5" customHeight="1" x14ac:dyDescent="0.2">
      <c r="B63" s="21" t="s">
        <v>43</v>
      </c>
      <c r="C63" s="12">
        <v>0</v>
      </c>
      <c r="D63" s="12"/>
      <c r="E63" s="12">
        <v>0</v>
      </c>
      <c r="F63" s="12">
        <v>0</v>
      </c>
      <c r="G63" s="12">
        <v>0</v>
      </c>
      <c r="H63" s="12">
        <v>0</v>
      </c>
      <c r="J63" s="12">
        <v>0</v>
      </c>
      <c r="K63" s="12">
        <v>0</v>
      </c>
      <c r="L63" s="12">
        <v>0</v>
      </c>
      <c r="M63" s="12">
        <v>0</v>
      </c>
      <c r="N63" s="13">
        <v>0</v>
      </c>
      <c r="P63" s="12">
        <v>0</v>
      </c>
      <c r="Q63" s="12">
        <v>0</v>
      </c>
      <c r="R63" s="12">
        <v>0</v>
      </c>
      <c r="S63" s="12">
        <v>0</v>
      </c>
      <c r="T63" s="12">
        <v>0</v>
      </c>
      <c r="U63" s="12">
        <v>0</v>
      </c>
      <c r="V63" s="12">
        <v>0</v>
      </c>
      <c r="X63" s="12">
        <v>0</v>
      </c>
      <c r="Y63" s="12">
        <v>0</v>
      </c>
      <c r="Z63" s="12">
        <v>0</v>
      </c>
      <c r="AA63" s="12">
        <v>0</v>
      </c>
      <c r="AB63" s="12"/>
      <c r="AC63" s="12">
        <v>0</v>
      </c>
      <c r="AD63" s="12">
        <v>0</v>
      </c>
      <c r="AE63" s="12">
        <v>0</v>
      </c>
      <c r="AF63" s="12">
        <v>0</v>
      </c>
      <c r="AG63" s="12">
        <v>0</v>
      </c>
      <c r="AI63" s="12">
        <v>0</v>
      </c>
      <c r="AJ63" s="12">
        <v>0</v>
      </c>
      <c r="AK63" s="12">
        <v>0</v>
      </c>
      <c r="AL63" s="12">
        <v>0</v>
      </c>
      <c r="AM63" s="12"/>
      <c r="AN63" s="12">
        <v>0</v>
      </c>
      <c r="AO63" s="12">
        <v>0</v>
      </c>
      <c r="AP63" s="12">
        <v>0</v>
      </c>
      <c r="AQ63" s="12">
        <v>0</v>
      </c>
      <c r="AR63" s="14"/>
      <c r="AS63" s="12">
        <v>0</v>
      </c>
      <c r="AT63" s="12">
        <v>0</v>
      </c>
      <c r="AU63" s="12">
        <v>0</v>
      </c>
      <c r="AV63" s="12">
        <v>0</v>
      </c>
      <c r="AW63" s="14"/>
      <c r="AX63" s="12">
        <v>0</v>
      </c>
      <c r="AY63" s="12">
        <v>0</v>
      </c>
      <c r="AZ63" s="12">
        <v>0</v>
      </c>
      <c r="BA63" s="12">
        <v>0</v>
      </c>
      <c r="BB63" s="14"/>
      <c r="BC63" s="12">
        <v>0</v>
      </c>
      <c r="BD63" s="12">
        <v>0</v>
      </c>
      <c r="BE63" s="12">
        <v>0</v>
      </c>
      <c r="BF63" s="12">
        <v>0</v>
      </c>
      <c r="BG63" s="12"/>
      <c r="BH63" s="12">
        <v>0</v>
      </c>
      <c r="BI63" s="12">
        <v>0</v>
      </c>
      <c r="BJ63" s="12">
        <v>0</v>
      </c>
      <c r="BK63" s="12">
        <v>0</v>
      </c>
      <c r="BL63" s="12"/>
      <c r="BM63" s="12">
        <v>0</v>
      </c>
      <c r="BN63" s="14" t="e">
        <f>+BM63-#REF!</f>
        <v>#REF!</v>
      </c>
      <c r="BO63" s="14" t="e">
        <f>+BK63-#REF!</f>
        <v>#REF!</v>
      </c>
    </row>
    <row r="64" spans="1:67" ht="16.5" customHeight="1" x14ac:dyDescent="0.2">
      <c r="B64" s="21" t="s">
        <v>31</v>
      </c>
      <c r="C64" s="12">
        <v>45985</v>
      </c>
      <c r="D64" s="12"/>
      <c r="E64" s="12">
        <v>51911</v>
      </c>
      <c r="F64" s="12">
        <v>36441</v>
      </c>
      <c r="G64" s="12">
        <v>62821</v>
      </c>
      <c r="H64" s="12">
        <v>126704</v>
      </c>
      <c r="J64" s="12">
        <v>121582</v>
      </c>
      <c r="K64" s="12">
        <v>133199</v>
      </c>
      <c r="L64" s="12">
        <v>175742</v>
      </c>
      <c r="M64" s="16">
        <v>172155</v>
      </c>
      <c r="N64" s="16">
        <v>172155</v>
      </c>
      <c r="P64" s="13">
        <v>135598</v>
      </c>
      <c r="Q64" s="13">
        <v>135598</v>
      </c>
      <c r="R64" s="13">
        <v>113868</v>
      </c>
      <c r="S64" s="13">
        <v>113868</v>
      </c>
      <c r="T64" s="13">
        <v>90431</v>
      </c>
      <c r="U64" s="13">
        <v>90431</v>
      </c>
      <c r="V64" s="13">
        <v>8901</v>
      </c>
      <c r="X64" s="13">
        <v>8925</v>
      </c>
      <c r="Y64" s="13">
        <v>6665</v>
      </c>
      <c r="Z64" s="13">
        <v>1912</v>
      </c>
      <c r="AA64" s="13">
        <v>0</v>
      </c>
      <c r="AB64" s="13"/>
      <c r="AC64" s="13">
        <v>0</v>
      </c>
      <c r="AD64" s="13">
        <v>316</v>
      </c>
      <c r="AE64" s="13">
        <v>805</v>
      </c>
      <c r="AF64" s="13">
        <v>22750</v>
      </c>
      <c r="AG64" s="13">
        <v>22750</v>
      </c>
      <c r="AI64" s="13">
        <v>32200</v>
      </c>
      <c r="AJ64" s="13">
        <v>51327</v>
      </c>
      <c r="AK64" s="13">
        <v>61469</v>
      </c>
      <c r="AL64" s="13">
        <v>48719</v>
      </c>
      <c r="AM64" s="13"/>
      <c r="AN64" s="13">
        <v>113346</v>
      </c>
      <c r="AO64" s="13">
        <v>109209</v>
      </c>
      <c r="AP64" s="13">
        <v>105934</v>
      </c>
      <c r="AQ64" s="13">
        <v>95940</v>
      </c>
      <c r="AR64" s="14"/>
      <c r="AS64" s="13">
        <v>78410</v>
      </c>
      <c r="AT64" s="13">
        <v>68916</v>
      </c>
      <c r="AU64" s="13">
        <v>61229</v>
      </c>
      <c r="AV64" s="13">
        <v>48373</v>
      </c>
      <c r="AW64" s="14"/>
      <c r="AX64" s="13">
        <v>29416</v>
      </c>
      <c r="AY64" s="13">
        <v>13334</v>
      </c>
      <c r="AZ64" s="13">
        <v>16229</v>
      </c>
      <c r="BA64" s="13">
        <v>649</v>
      </c>
      <c r="BB64" s="14"/>
      <c r="BC64" s="13">
        <v>9549</v>
      </c>
      <c r="BD64" s="13">
        <v>57784</v>
      </c>
      <c r="BE64" s="13">
        <v>45415</v>
      </c>
      <c r="BF64" s="13">
        <v>115943</v>
      </c>
      <c r="BG64" s="13"/>
      <c r="BH64" s="13">
        <v>137319</v>
      </c>
      <c r="BI64" s="13">
        <v>115365</v>
      </c>
      <c r="BJ64" s="13">
        <v>129471</v>
      </c>
      <c r="BK64" s="13">
        <v>85861</v>
      </c>
      <c r="BL64" s="13"/>
      <c r="BM64" s="13">
        <v>69702</v>
      </c>
      <c r="BN64" s="14" t="e">
        <f>+BM64-#REF!</f>
        <v>#REF!</v>
      </c>
      <c r="BO64" s="14" t="e">
        <f>+BK64-#REF!</f>
        <v>#REF!</v>
      </c>
    </row>
    <row r="65" spans="1:67" ht="16.5" customHeight="1" x14ac:dyDescent="0.2">
      <c r="B65" s="21" t="s">
        <v>41</v>
      </c>
      <c r="C65" s="12">
        <v>0</v>
      </c>
      <c r="D65" s="12"/>
      <c r="E65" s="12">
        <v>0</v>
      </c>
      <c r="F65" s="12">
        <v>0</v>
      </c>
      <c r="G65" s="12">
        <v>0</v>
      </c>
      <c r="H65" s="12">
        <f>446-446</f>
        <v>0</v>
      </c>
      <c r="J65" s="12">
        <v>41762</v>
      </c>
      <c r="K65" s="12">
        <v>30</v>
      </c>
      <c r="L65" s="12">
        <v>0</v>
      </c>
      <c r="M65" s="16">
        <v>0</v>
      </c>
      <c r="N65" s="16">
        <v>0</v>
      </c>
      <c r="P65" s="13">
        <v>0</v>
      </c>
      <c r="Q65" s="13">
        <v>0</v>
      </c>
      <c r="R65" s="13">
        <v>0</v>
      </c>
      <c r="S65" s="13">
        <v>0</v>
      </c>
      <c r="T65" s="13">
        <v>0</v>
      </c>
      <c r="U65" s="13">
        <v>0</v>
      </c>
      <c r="V65" s="13">
        <v>0</v>
      </c>
      <c r="X65" s="13">
        <v>0</v>
      </c>
      <c r="Y65" s="13">
        <v>0</v>
      </c>
      <c r="Z65" s="13">
        <v>0</v>
      </c>
      <c r="AA65" s="13">
        <v>0</v>
      </c>
      <c r="AB65" s="13"/>
      <c r="AC65" s="13">
        <v>0</v>
      </c>
      <c r="AD65" s="13">
        <v>0</v>
      </c>
      <c r="AE65" s="13">
        <v>0</v>
      </c>
      <c r="AF65" s="13">
        <v>0</v>
      </c>
      <c r="AG65" s="13">
        <v>0</v>
      </c>
      <c r="AI65" s="13">
        <v>0</v>
      </c>
      <c r="AJ65" s="13">
        <v>0</v>
      </c>
      <c r="AK65" s="13">
        <v>0</v>
      </c>
      <c r="AL65" s="13">
        <v>0</v>
      </c>
      <c r="AM65" s="13"/>
      <c r="AN65" s="13">
        <v>0</v>
      </c>
      <c r="AO65" s="13">
        <v>0</v>
      </c>
      <c r="AP65" s="13">
        <v>0</v>
      </c>
      <c r="AQ65" s="13">
        <v>0</v>
      </c>
      <c r="AR65" s="14"/>
      <c r="AS65" s="13">
        <v>0</v>
      </c>
      <c r="AT65" s="13">
        <v>0</v>
      </c>
      <c r="AU65" s="13">
        <v>0</v>
      </c>
      <c r="AV65" s="13">
        <v>0</v>
      </c>
      <c r="AW65" s="14"/>
      <c r="AX65" s="13">
        <v>0</v>
      </c>
      <c r="AY65" s="13">
        <v>0</v>
      </c>
      <c r="AZ65" s="13">
        <v>0</v>
      </c>
      <c r="BA65" s="13">
        <v>0</v>
      </c>
      <c r="BB65" s="14"/>
      <c r="BC65" s="13">
        <v>0</v>
      </c>
      <c r="BD65" s="13">
        <v>0</v>
      </c>
      <c r="BE65" s="13">
        <v>0</v>
      </c>
      <c r="BF65" s="13">
        <v>0</v>
      </c>
      <c r="BG65" s="13"/>
      <c r="BH65" s="13">
        <v>0</v>
      </c>
      <c r="BI65" s="13">
        <v>0</v>
      </c>
      <c r="BJ65" s="13">
        <v>0</v>
      </c>
      <c r="BK65" s="13">
        <v>0</v>
      </c>
      <c r="BL65" s="13"/>
      <c r="BM65" s="13">
        <v>0</v>
      </c>
      <c r="BN65" s="14" t="e">
        <f>+BM65-#REF!</f>
        <v>#REF!</v>
      </c>
      <c r="BO65" s="14" t="e">
        <f>+BK65-#REF!</f>
        <v>#REF!</v>
      </c>
    </row>
    <row r="66" spans="1:67" ht="16.5" customHeight="1" x14ac:dyDescent="0.2">
      <c r="A66" s="32"/>
      <c r="B66" s="21" t="s">
        <v>51</v>
      </c>
      <c r="C66" s="12">
        <v>25476</v>
      </c>
      <c r="D66" s="12"/>
      <c r="E66" s="23">
        <f>20905+1</f>
        <v>20906</v>
      </c>
      <c r="F66" s="23">
        <v>79489</v>
      </c>
      <c r="G66" s="23">
        <v>-26163</v>
      </c>
      <c r="H66" s="23">
        <f>25537+446</f>
        <v>25983</v>
      </c>
      <c r="J66" s="12">
        <f>40497</f>
        <v>40497</v>
      </c>
      <c r="K66" s="12">
        <f>9105</f>
        <v>9105</v>
      </c>
      <c r="L66" s="23">
        <f>188355-1</f>
        <v>188354</v>
      </c>
      <c r="M66" s="16">
        <v>102655</v>
      </c>
      <c r="N66" s="16">
        <v>102655</v>
      </c>
      <c r="P66" s="13">
        <v>124495</v>
      </c>
      <c r="Q66" s="13">
        <v>124495</v>
      </c>
      <c r="R66" s="13">
        <v>201607</v>
      </c>
      <c r="S66" s="13">
        <v>201607</v>
      </c>
      <c r="T66" s="13">
        <v>256588</v>
      </c>
      <c r="U66" s="13">
        <v>256588</v>
      </c>
      <c r="V66" s="13">
        <v>246984</v>
      </c>
      <c r="X66" s="13">
        <v>414741</v>
      </c>
      <c r="Y66" s="13">
        <v>441063</v>
      </c>
      <c r="Z66" s="13">
        <v>430327</v>
      </c>
      <c r="AA66" s="13">
        <v>401163</v>
      </c>
      <c r="AB66" s="13"/>
      <c r="AC66" s="13">
        <v>424741</v>
      </c>
      <c r="AD66" s="13">
        <v>436401</v>
      </c>
      <c r="AE66" s="13">
        <v>455659</v>
      </c>
      <c r="AF66" s="13">
        <v>464538</v>
      </c>
      <c r="AG66" s="13">
        <v>464538</v>
      </c>
      <c r="AI66" s="13">
        <v>474959</v>
      </c>
      <c r="AJ66" s="13">
        <v>495347</v>
      </c>
      <c r="AK66" s="13">
        <v>512877</v>
      </c>
      <c r="AL66" s="13">
        <v>510775</v>
      </c>
      <c r="AM66" s="13"/>
      <c r="AN66" s="13">
        <v>540104</v>
      </c>
      <c r="AO66" s="13">
        <v>540862</v>
      </c>
      <c r="AP66" s="13">
        <v>561363</v>
      </c>
      <c r="AQ66" s="13">
        <v>575101</v>
      </c>
      <c r="AR66" s="14"/>
      <c r="AS66" s="13">
        <v>593158</v>
      </c>
      <c r="AT66" s="13">
        <v>607375</v>
      </c>
      <c r="AU66" s="13">
        <v>619555</v>
      </c>
      <c r="AV66" s="13">
        <v>610589</v>
      </c>
      <c r="AW66" s="14"/>
      <c r="AX66" s="13">
        <v>626014</v>
      </c>
      <c r="AY66" s="13">
        <v>140284</v>
      </c>
      <c r="AZ66" s="13">
        <v>498</v>
      </c>
      <c r="BA66" s="13">
        <v>0</v>
      </c>
      <c r="BB66" s="14"/>
      <c r="BC66" s="13">
        <v>0</v>
      </c>
      <c r="BD66" s="13">
        <v>0</v>
      </c>
      <c r="BE66" s="13">
        <v>0</v>
      </c>
      <c r="BF66" s="13">
        <v>0</v>
      </c>
      <c r="BG66" s="13"/>
      <c r="BH66" s="13">
        <v>81461</v>
      </c>
      <c r="BI66" s="13">
        <v>78424</v>
      </c>
      <c r="BJ66" s="13">
        <v>75355</v>
      </c>
      <c r="BK66" s="13">
        <v>72284</v>
      </c>
      <c r="BL66" s="13"/>
      <c r="BM66" s="13">
        <v>69280</v>
      </c>
      <c r="BN66" s="14" t="e">
        <f>+BM66-#REF!</f>
        <v>#REF!</v>
      </c>
      <c r="BO66" s="14" t="e">
        <f>+BK66-#REF!</f>
        <v>#REF!</v>
      </c>
    </row>
    <row r="67" spans="1:67" ht="12" customHeight="1" x14ac:dyDescent="0.2">
      <c r="B67" s="21"/>
      <c r="C67" s="20"/>
      <c r="D67" s="20"/>
      <c r="E67" s="20"/>
      <c r="F67" s="20"/>
      <c r="G67" s="20"/>
      <c r="H67" s="20"/>
      <c r="J67" s="20"/>
      <c r="K67" s="20"/>
      <c r="L67" s="20"/>
      <c r="M67" s="20"/>
      <c r="N67" s="20"/>
      <c r="P67" s="20"/>
      <c r="Q67" s="20"/>
      <c r="R67" s="20"/>
      <c r="S67" s="20"/>
      <c r="T67" s="20"/>
      <c r="U67" s="20"/>
      <c r="V67" s="20"/>
      <c r="X67" s="20"/>
      <c r="Y67" s="20"/>
      <c r="Z67" s="20"/>
      <c r="AA67" s="20"/>
      <c r="AB67" s="20"/>
      <c r="AC67" s="20"/>
      <c r="AD67" s="20"/>
      <c r="AE67" s="20"/>
      <c r="AF67" s="20"/>
      <c r="AG67" s="20"/>
      <c r="AI67" s="20"/>
      <c r="AJ67" s="20"/>
      <c r="AK67" s="20"/>
      <c r="AL67" s="20"/>
      <c r="AM67" s="20"/>
      <c r="AN67" s="20"/>
      <c r="AO67" s="20"/>
      <c r="AP67" s="20"/>
      <c r="AQ67" s="20"/>
      <c r="AR67" s="14"/>
      <c r="AS67" s="20"/>
      <c r="AT67" s="20"/>
      <c r="AU67" s="20"/>
      <c r="AV67" s="20"/>
      <c r="AW67" s="14"/>
      <c r="AX67" s="20"/>
      <c r="AY67" s="20"/>
      <c r="AZ67" s="20"/>
      <c r="BA67" s="20"/>
      <c r="BB67" s="14"/>
      <c r="BC67" s="20"/>
      <c r="BD67" s="20"/>
      <c r="BE67" s="20"/>
      <c r="BF67" s="20"/>
      <c r="BG67" s="20"/>
      <c r="BH67" s="20"/>
      <c r="BI67" s="20"/>
      <c r="BJ67" s="20"/>
      <c r="BK67" s="20"/>
      <c r="BL67" s="20"/>
      <c r="BM67" s="20"/>
      <c r="BN67" s="14"/>
      <c r="BO67" s="14"/>
    </row>
    <row r="68" spans="1:67" x14ac:dyDescent="0.25">
      <c r="B68" s="17" t="s">
        <v>52</v>
      </c>
      <c r="C68" s="18">
        <f>SUM(C56:C67)</f>
        <v>6249353</v>
      </c>
      <c r="D68" s="18"/>
      <c r="E68" s="18">
        <f>SUM(E56:E67)</f>
        <v>7579322</v>
      </c>
      <c r="F68" s="18">
        <f>SUM(F56:F67)</f>
        <v>6172318</v>
      </c>
      <c r="G68" s="18">
        <f>SUM(G56:G67)</f>
        <v>7637479</v>
      </c>
      <c r="H68" s="18">
        <f>SUM(H56:H67)</f>
        <v>9858167</v>
      </c>
      <c r="J68" s="18">
        <f>SUM(J56:J67)</f>
        <v>10365667</v>
      </c>
      <c r="K68" s="18">
        <f>SUM(K56:K67)</f>
        <v>10432069</v>
      </c>
      <c r="L68" s="18">
        <f>SUM(L56:L67)</f>
        <v>11680762</v>
      </c>
      <c r="M68" s="18">
        <f>SUM(M56:M67)</f>
        <v>11895949</v>
      </c>
      <c r="N68" s="18">
        <f>SUM(N56:N67)</f>
        <v>12395477</v>
      </c>
      <c r="P68" s="18">
        <f t="shared" ref="P68:V68" si="14">SUM(P56:P67)</f>
        <v>11884669</v>
      </c>
      <c r="Q68" s="18">
        <f t="shared" si="14"/>
        <v>12085912</v>
      </c>
      <c r="R68" s="18">
        <f t="shared" si="14"/>
        <v>13022219</v>
      </c>
      <c r="S68" s="18">
        <f t="shared" si="14"/>
        <v>13213296</v>
      </c>
      <c r="T68" s="18">
        <f t="shared" si="14"/>
        <v>13126826</v>
      </c>
      <c r="U68" s="18">
        <f t="shared" si="14"/>
        <v>13131168</v>
      </c>
      <c r="V68" s="18">
        <f t="shared" si="14"/>
        <v>13903859</v>
      </c>
      <c r="X68" s="18">
        <f>SUM(X56:X67)</f>
        <v>14049073</v>
      </c>
      <c r="Y68" s="18">
        <f t="shared" ref="Y68:AG68" si="15">SUM(Y56:Y67)</f>
        <v>15498532</v>
      </c>
      <c r="Z68" s="18">
        <f t="shared" si="15"/>
        <v>14720473</v>
      </c>
      <c r="AA68" s="18">
        <f t="shared" si="15"/>
        <v>16153054</v>
      </c>
      <c r="AB68" s="18"/>
      <c r="AC68" s="18">
        <f t="shared" si="15"/>
        <v>14561959</v>
      </c>
      <c r="AD68" s="18">
        <f t="shared" si="15"/>
        <v>15345520</v>
      </c>
      <c r="AE68" s="18">
        <f t="shared" si="15"/>
        <v>14978580</v>
      </c>
      <c r="AF68" s="18">
        <f t="shared" si="15"/>
        <v>16111769</v>
      </c>
      <c r="AG68" s="18">
        <f t="shared" si="15"/>
        <v>16072329</v>
      </c>
      <c r="AI68" s="18">
        <f t="shared" ref="AI68:AL68" si="16">SUM(AI56:AI67)</f>
        <v>16175543</v>
      </c>
      <c r="AJ68" s="18">
        <f t="shared" si="16"/>
        <v>17748038</v>
      </c>
      <c r="AK68" s="18">
        <f t="shared" si="16"/>
        <v>18269670</v>
      </c>
      <c r="AL68" s="18">
        <f t="shared" si="16"/>
        <v>17574166</v>
      </c>
      <c r="AM68" s="18"/>
      <c r="AN68" s="18">
        <f t="shared" ref="AN68:AQ68" si="17">SUM(AN56:AN67)</f>
        <v>19524690</v>
      </c>
      <c r="AO68" s="18">
        <f t="shared" si="17"/>
        <v>18600618</v>
      </c>
      <c r="AP68" s="18">
        <f t="shared" si="17"/>
        <v>19176995</v>
      </c>
      <c r="AQ68" s="18">
        <f t="shared" si="17"/>
        <v>17919567</v>
      </c>
      <c r="AR68" s="14"/>
      <c r="AS68" s="18">
        <f t="shared" ref="AS68:AV68" si="18">SUM(AS56:AS67)</f>
        <v>18609125</v>
      </c>
      <c r="AT68" s="18">
        <f t="shared" si="18"/>
        <v>17103236</v>
      </c>
      <c r="AU68" s="18">
        <f t="shared" si="18"/>
        <v>17234935</v>
      </c>
      <c r="AV68" s="18">
        <f t="shared" si="18"/>
        <v>16017823</v>
      </c>
      <c r="AW68" s="14"/>
      <c r="AX68" s="18">
        <f t="shared" ref="AX68:AZ68" si="19">SUM(AX56:AX67)</f>
        <v>15993310</v>
      </c>
      <c r="AY68" s="18">
        <f t="shared" si="19"/>
        <v>14370688</v>
      </c>
      <c r="AZ68" s="18">
        <f t="shared" si="19"/>
        <v>13411974</v>
      </c>
      <c r="BA68" s="18">
        <f t="shared" ref="BA68:BC68" si="20">SUM(BA56:BA67)</f>
        <v>14589632</v>
      </c>
      <c r="BB68" s="14"/>
      <c r="BC68" s="18">
        <f t="shared" si="20"/>
        <v>14989828</v>
      </c>
      <c r="BD68" s="18">
        <f t="shared" ref="BD68:BE68" si="21">SUM(BD56:BD67)</f>
        <v>14548535</v>
      </c>
      <c r="BE68" s="18">
        <f t="shared" si="21"/>
        <v>13828546</v>
      </c>
      <c r="BF68" s="18">
        <f t="shared" ref="BF68:BH68" si="22">SUM(BF56:BF67)</f>
        <v>13291217</v>
      </c>
      <c r="BG68" s="18"/>
      <c r="BH68" s="18">
        <f t="shared" si="22"/>
        <v>11434789</v>
      </c>
      <c r="BI68" s="18">
        <f t="shared" ref="BI68:BK68" si="23">SUM(BI56:BI67)</f>
        <v>11296934</v>
      </c>
      <c r="BJ68" s="18">
        <f t="shared" si="23"/>
        <v>11366749</v>
      </c>
      <c r="BK68" s="18">
        <f t="shared" si="23"/>
        <v>11030737</v>
      </c>
      <c r="BL68" s="18"/>
      <c r="BM68" s="18">
        <f t="shared" ref="BM68" si="24">SUM(BM56:BM67)</f>
        <v>11719833</v>
      </c>
      <c r="BN68" s="14" t="e">
        <f>+BM68-#REF!</f>
        <v>#REF!</v>
      </c>
      <c r="BO68" s="14" t="e">
        <f>+BK68-#REF!</f>
        <v>#REF!</v>
      </c>
    </row>
    <row r="69" spans="1:67" ht="3.75" customHeight="1" x14ac:dyDescent="0.2">
      <c r="B69" s="21"/>
      <c r="C69" s="20"/>
      <c r="D69" s="20"/>
      <c r="E69" s="20"/>
      <c r="F69" s="20"/>
      <c r="G69" s="20"/>
      <c r="H69" s="20"/>
      <c r="J69" s="20"/>
      <c r="K69" s="20"/>
      <c r="L69" s="20"/>
      <c r="M69" s="20"/>
      <c r="N69" s="20"/>
      <c r="P69" s="20"/>
      <c r="Q69" s="20"/>
      <c r="R69" s="20"/>
      <c r="S69" s="20"/>
      <c r="T69" s="20"/>
      <c r="U69" s="20"/>
      <c r="V69" s="20"/>
      <c r="X69" s="20"/>
      <c r="Y69" s="20"/>
      <c r="Z69" s="20"/>
      <c r="AA69" s="20"/>
      <c r="AB69" s="20"/>
      <c r="AC69" s="20"/>
      <c r="AD69" s="20"/>
      <c r="AE69" s="20"/>
      <c r="AF69" s="20"/>
      <c r="AG69" s="20"/>
      <c r="AI69" s="20"/>
      <c r="AJ69" s="20"/>
      <c r="AK69" s="20"/>
      <c r="AL69" s="20"/>
      <c r="AM69" s="20"/>
      <c r="AN69" s="20"/>
      <c r="AO69" s="20"/>
      <c r="AP69" s="20"/>
      <c r="AQ69" s="20"/>
      <c r="AR69" s="14"/>
      <c r="AS69" s="20"/>
      <c r="AT69" s="20"/>
      <c r="AU69" s="20"/>
      <c r="AV69" s="20"/>
      <c r="AW69" s="14"/>
      <c r="AX69" s="20"/>
      <c r="AY69" s="20"/>
      <c r="AZ69" s="20"/>
      <c r="BA69" s="20"/>
      <c r="BB69" s="14"/>
      <c r="BC69" s="20"/>
      <c r="BD69" s="20"/>
      <c r="BE69" s="20"/>
      <c r="BF69" s="20"/>
      <c r="BG69" s="20"/>
      <c r="BH69" s="20"/>
      <c r="BI69" s="20"/>
      <c r="BJ69" s="20"/>
      <c r="BK69" s="20"/>
      <c r="BL69" s="20"/>
      <c r="BM69" s="20"/>
      <c r="BN69" s="14"/>
      <c r="BO69" s="14"/>
    </row>
    <row r="70" spans="1:67" ht="16.5" customHeight="1" x14ac:dyDescent="0.25">
      <c r="B70" s="24" t="s">
        <v>53</v>
      </c>
      <c r="C70" s="25">
        <f>+C54+C68</f>
        <v>9001507</v>
      </c>
      <c r="D70" s="25"/>
      <c r="E70" s="25">
        <f>+E54+E68</f>
        <v>11229979</v>
      </c>
      <c r="F70" s="25">
        <f>+F54+F68</f>
        <v>11717199</v>
      </c>
      <c r="G70" s="25">
        <f>+G54+G68</f>
        <v>11858914</v>
      </c>
      <c r="H70" s="25">
        <f>+H54+H68</f>
        <v>13912123</v>
      </c>
      <c r="I70" s="26"/>
      <c r="J70" s="25">
        <f>+J54+J68</f>
        <v>15226936</v>
      </c>
      <c r="K70" s="25">
        <f>+K54+K68</f>
        <v>15196516</v>
      </c>
      <c r="L70" s="25">
        <f>+L54+L68</f>
        <v>17802924</v>
      </c>
      <c r="M70" s="25">
        <f>+M54+M68</f>
        <v>18885214</v>
      </c>
      <c r="N70" s="25">
        <f>+N54+N68</f>
        <v>19106311</v>
      </c>
      <c r="P70" s="18">
        <f t="shared" ref="P70:V70" si="25">+P54+P68</f>
        <v>19244562</v>
      </c>
      <c r="Q70" s="18">
        <f t="shared" si="25"/>
        <v>19455078</v>
      </c>
      <c r="R70" s="18">
        <f t="shared" si="25"/>
        <v>19564933</v>
      </c>
      <c r="S70" s="18">
        <f t="shared" si="25"/>
        <v>19759112</v>
      </c>
      <c r="T70" s="18">
        <f t="shared" si="25"/>
        <v>19750307</v>
      </c>
      <c r="U70" s="18">
        <f t="shared" si="25"/>
        <v>19746715</v>
      </c>
      <c r="V70" s="18">
        <f t="shared" si="25"/>
        <v>21114978</v>
      </c>
      <c r="X70" s="18">
        <f>+X54+X68</f>
        <v>23880493</v>
      </c>
      <c r="Y70" s="18">
        <f t="shared" ref="Y70:AG70" si="26">+Y54+Y68</f>
        <v>24018124</v>
      </c>
      <c r="Z70" s="18">
        <f t="shared" si="26"/>
        <v>23288094</v>
      </c>
      <c r="AA70" s="18">
        <f t="shared" si="26"/>
        <v>23260800</v>
      </c>
      <c r="AB70" s="18"/>
      <c r="AC70" s="18">
        <f t="shared" si="26"/>
        <v>22129672</v>
      </c>
      <c r="AD70" s="18">
        <f t="shared" si="26"/>
        <v>22881345</v>
      </c>
      <c r="AE70" s="18">
        <f t="shared" si="26"/>
        <v>22626985</v>
      </c>
      <c r="AF70" s="18">
        <f t="shared" si="26"/>
        <v>23141616</v>
      </c>
      <c r="AG70" s="19">
        <f t="shared" si="26"/>
        <v>23075145</v>
      </c>
      <c r="AI70" s="18">
        <f t="shared" ref="AI70:AL70" si="27">+AI54+AI68</f>
        <v>24266859</v>
      </c>
      <c r="AJ70" s="18">
        <f t="shared" si="27"/>
        <v>26105653</v>
      </c>
      <c r="AK70" s="18">
        <f t="shared" si="27"/>
        <v>26106168</v>
      </c>
      <c r="AL70" s="18">
        <f t="shared" si="27"/>
        <v>24334884</v>
      </c>
      <c r="AM70" s="18"/>
      <c r="AN70" s="18">
        <f t="shared" ref="AN70:AQ70" si="28">+AN54+AN68</f>
        <v>27950952</v>
      </c>
      <c r="AO70" s="18">
        <f t="shared" si="28"/>
        <v>26955901</v>
      </c>
      <c r="AP70" s="18">
        <f t="shared" si="28"/>
        <v>26460958</v>
      </c>
      <c r="AQ70" s="18">
        <f t="shared" si="28"/>
        <v>24543716</v>
      </c>
      <c r="AR70" s="14"/>
      <c r="AS70" s="18">
        <f t="shared" ref="AS70:AV70" si="29">+AS54+AS68</f>
        <v>26032506</v>
      </c>
      <c r="AT70" s="18">
        <f t="shared" si="29"/>
        <v>25066325</v>
      </c>
      <c r="AU70" s="18">
        <f t="shared" si="29"/>
        <v>25362138</v>
      </c>
      <c r="AV70" s="18">
        <f t="shared" si="29"/>
        <v>23782786</v>
      </c>
      <c r="AW70" s="14"/>
      <c r="AX70" s="18">
        <f t="shared" ref="AX70:AZ70" si="30">+AX54+AX68</f>
        <v>23963446</v>
      </c>
      <c r="AY70" s="18">
        <f t="shared" si="30"/>
        <v>22211291</v>
      </c>
      <c r="AZ70" s="18">
        <f t="shared" si="30"/>
        <v>23316365</v>
      </c>
      <c r="BA70" s="18">
        <f t="shared" ref="BA70:BC70" si="31">+BA54+BA68</f>
        <v>24911164</v>
      </c>
      <c r="BB70" s="14"/>
      <c r="BC70" s="18">
        <f t="shared" si="31"/>
        <v>25703594</v>
      </c>
      <c r="BD70" s="18">
        <f t="shared" ref="BD70:BE70" si="32">+BD54+BD68</f>
        <v>22505380</v>
      </c>
      <c r="BE70" s="18">
        <f t="shared" si="32"/>
        <v>22980546</v>
      </c>
      <c r="BF70" s="18">
        <f t="shared" ref="BF70:BH70" si="33">+BF54+BF68</f>
        <v>21612927</v>
      </c>
      <c r="BG70" s="18"/>
      <c r="BH70" s="18">
        <f t="shared" si="33"/>
        <v>20094398</v>
      </c>
      <c r="BI70" s="18">
        <f t="shared" ref="BI70:BK70" si="34">+BI54+BI68</f>
        <v>20471992</v>
      </c>
      <c r="BJ70" s="18">
        <f t="shared" si="34"/>
        <v>19926914</v>
      </c>
      <c r="BK70" s="18">
        <f t="shared" si="34"/>
        <v>19297580</v>
      </c>
      <c r="BL70" s="18"/>
      <c r="BM70" s="18">
        <f t="shared" ref="BM70" si="35">+BM54+BM68</f>
        <v>20963971</v>
      </c>
      <c r="BN70" s="14" t="e">
        <f>+BM70-#REF!</f>
        <v>#REF!</v>
      </c>
      <c r="BO70" s="14" t="e">
        <f>+BK70-#REF!</f>
        <v>#REF!</v>
      </c>
    </row>
    <row r="71" spans="1:67" ht="16.5" customHeight="1" x14ac:dyDescent="0.25">
      <c r="B71" s="27" t="s">
        <v>35</v>
      </c>
      <c r="C71" s="28">
        <f>+C70/C95</f>
        <v>4671.6664158228805</v>
      </c>
      <c r="D71" s="28"/>
      <c r="E71" s="28">
        <f>+E70/E95</f>
        <v>5714.0714998066478</v>
      </c>
      <c r="F71" s="28">
        <f>+F70/F95</f>
        <v>6228.6100819162339</v>
      </c>
      <c r="G71" s="28">
        <f>+G70/G95</f>
        <v>5846.207012147026</v>
      </c>
      <c r="H71" s="28">
        <f>+H70/H95</f>
        <v>5814.9866664437441</v>
      </c>
      <c r="I71" s="29"/>
      <c r="J71" s="28">
        <f>+J70/J95</f>
        <v>5910.9629083286427</v>
      </c>
      <c r="K71" s="28">
        <f>+K70/K95</f>
        <v>5878.4794457489234</v>
      </c>
      <c r="L71" s="28">
        <f>+L70/L95</f>
        <v>5702.5195871797659</v>
      </c>
      <c r="M71" s="28">
        <f>+M70/M95</f>
        <v>5996.3149355288351</v>
      </c>
      <c r="N71" s="28">
        <f>+N70/N95</f>
        <v>6066.5162709916276</v>
      </c>
      <c r="P71" s="30">
        <f t="shared" ref="P71:V71" si="36">+P70/P95</f>
        <v>6367.4167452479032</v>
      </c>
      <c r="Q71" s="30">
        <f t="shared" si="36"/>
        <v>6437.0698297682266</v>
      </c>
      <c r="R71" s="30">
        <f t="shared" si="36"/>
        <v>6709.1655093187937</v>
      </c>
      <c r="S71" s="30">
        <f t="shared" si="36"/>
        <v>6775.7529619532597</v>
      </c>
      <c r="T71" s="30">
        <f t="shared" si="36"/>
        <v>6857.8645462594841</v>
      </c>
      <c r="U71" s="30">
        <f t="shared" si="36"/>
        <v>6856.6173023837227</v>
      </c>
      <c r="V71" s="30">
        <f t="shared" si="36"/>
        <v>7036.6606569778487</v>
      </c>
      <c r="X71" s="30">
        <f>+X70/X95</f>
        <v>8291.1469183123627</v>
      </c>
      <c r="Y71" s="30">
        <f t="shared" ref="Y71:AG71" si="37">+Y70/Y95</f>
        <v>7905.223384437144</v>
      </c>
      <c r="Z71" s="30">
        <f t="shared" si="37"/>
        <v>7930.1024629937992</v>
      </c>
      <c r="AA71" s="30">
        <f t="shared" si="37"/>
        <v>7795.1742627345848</v>
      </c>
      <c r="AB71" s="30"/>
      <c r="AC71" s="30">
        <f t="shared" si="37"/>
        <v>7958.968088128986</v>
      </c>
      <c r="AD71" s="30">
        <f t="shared" si="37"/>
        <v>7807.201105500204</v>
      </c>
      <c r="AE71" s="30">
        <f t="shared" si="37"/>
        <v>7612.92552940939</v>
      </c>
      <c r="AF71" s="30">
        <f t="shared" si="37"/>
        <v>7121.0450034618052</v>
      </c>
      <c r="AG71" s="31">
        <f t="shared" si="37"/>
        <v>7100.5908146780521</v>
      </c>
      <c r="AI71" s="30">
        <f t="shared" ref="AI71:AL71" si="38">+AI70/AI95</f>
        <v>7643.6107585068621</v>
      </c>
      <c r="AJ71" s="30">
        <f t="shared" si="38"/>
        <v>8143.587144029173</v>
      </c>
      <c r="AK71" s="30">
        <f t="shared" si="38"/>
        <v>7540.754648311241</v>
      </c>
      <c r="AL71" s="30">
        <f t="shared" si="38"/>
        <v>7425.6467529614238</v>
      </c>
      <c r="AM71" s="30"/>
      <c r="AN71" s="30">
        <f t="shared" ref="AN71:AQ71" si="39">+AN70/AN95</f>
        <v>6876.3243546438825</v>
      </c>
      <c r="AO71" s="30">
        <f t="shared" si="39"/>
        <v>7171.2014919218609</v>
      </c>
      <c r="AP71" s="30">
        <f t="shared" si="39"/>
        <v>6821.6981958988799</v>
      </c>
      <c r="AQ71" s="30">
        <f t="shared" si="39"/>
        <v>7150.3906773488707</v>
      </c>
      <c r="AR71" s="14"/>
      <c r="AS71" s="30">
        <f t="shared" ref="AS71:AV71" si="40">+AS70/AS95</f>
        <v>6966.3186964631204</v>
      </c>
      <c r="AT71" s="30">
        <f t="shared" si="40"/>
        <v>6672.4852063130375</v>
      </c>
      <c r="AU71" s="30">
        <f t="shared" si="40"/>
        <v>6613.886425986002</v>
      </c>
      <c r="AV71" s="30">
        <f t="shared" si="40"/>
        <v>5973.8332546293041</v>
      </c>
      <c r="AW71" s="14"/>
      <c r="AX71" s="30">
        <f t="shared" ref="AX71:AZ71" si="41">+AX70/AX95</f>
        <v>6393.4063471312511</v>
      </c>
      <c r="AY71" s="30">
        <f t="shared" si="41"/>
        <v>5381.3331168972754</v>
      </c>
      <c r="AZ71" s="30">
        <f t="shared" si="41"/>
        <v>5144.7495294644614</v>
      </c>
      <c r="BA71" s="30">
        <f t="shared" ref="BA71:BC71" si="42">+BA70/BA95</f>
        <v>5178.8208390503514</v>
      </c>
      <c r="BB71" s="14"/>
      <c r="BC71" s="30">
        <f t="shared" si="42"/>
        <v>5554.8074782755266</v>
      </c>
      <c r="BD71" s="30">
        <f t="shared" ref="BD71:BE71" si="43">+BD70/BD95</f>
        <v>5369.5720639041056</v>
      </c>
      <c r="BE71" s="30">
        <f t="shared" si="43"/>
        <v>5668.9458675402584</v>
      </c>
      <c r="BF71" s="30">
        <f t="shared" ref="BF71:BH71" si="44">+BF70/BF95</f>
        <v>5654.7996494028075</v>
      </c>
      <c r="BG71" s="30"/>
      <c r="BH71" s="30">
        <f t="shared" si="44"/>
        <v>5229.7837232907368</v>
      </c>
      <c r="BI71" s="30">
        <f t="shared" ref="BI71:BK71" si="45">+BI70/BI95</f>
        <v>4935.3410285339578</v>
      </c>
      <c r="BJ71" s="30">
        <f t="shared" si="45"/>
        <v>4785.280761537002</v>
      </c>
      <c r="BK71" s="30">
        <f t="shared" si="45"/>
        <v>4376.7120646836693</v>
      </c>
      <c r="BL71" s="30"/>
      <c r="BM71" s="30">
        <f t="shared" ref="BM71" si="46">+BM70/BM95</f>
        <v>5000.2673777659056</v>
      </c>
      <c r="BN71" s="14" t="e">
        <f>+BM71-#REF!</f>
        <v>#REF!</v>
      </c>
      <c r="BO71" s="14" t="e">
        <f>+BK71-#REF!</f>
        <v>#REF!</v>
      </c>
    </row>
    <row r="72" spans="1:67" x14ac:dyDescent="0.25">
      <c r="C72" s="20"/>
      <c r="D72" s="20"/>
      <c r="E72" s="20"/>
      <c r="F72" s="20"/>
      <c r="G72" s="20"/>
      <c r="H72" s="20"/>
      <c r="J72" s="20"/>
      <c r="K72" s="20"/>
      <c r="L72" s="20"/>
      <c r="M72" s="20"/>
      <c r="N72" s="20"/>
      <c r="P72" s="20"/>
      <c r="Q72" s="20"/>
      <c r="R72" s="20"/>
      <c r="S72" s="20"/>
      <c r="T72" s="20"/>
      <c r="U72" s="20"/>
      <c r="V72" s="20"/>
      <c r="X72" s="20"/>
      <c r="Y72" s="20"/>
      <c r="Z72" s="20"/>
      <c r="AA72" s="20"/>
      <c r="AB72" s="20"/>
      <c r="AC72" s="20"/>
      <c r="AD72" s="20"/>
      <c r="AE72" s="20"/>
      <c r="AF72" s="20"/>
      <c r="AG72" s="20"/>
      <c r="AI72" s="20"/>
      <c r="AJ72" s="20"/>
      <c r="AK72" s="20"/>
      <c r="AL72" s="20"/>
      <c r="AM72" s="20"/>
      <c r="AN72" s="20"/>
      <c r="AO72" s="20"/>
      <c r="AP72" s="20"/>
      <c r="AQ72" s="20"/>
      <c r="AR72" s="14"/>
      <c r="AS72" s="20"/>
      <c r="AT72" s="20"/>
      <c r="AU72" s="20"/>
      <c r="AV72" s="20"/>
      <c r="AW72" s="14"/>
      <c r="AX72" s="20"/>
      <c r="AY72" s="20"/>
      <c r="AZ72" s="20"/>
      <c r="BA72" s="20"/>
      <c r="BB72" s="14"/>
      <c r="BC72" s="20"/>
      <c r="BD72" s="20"/>
      <c r="BE72" s="20"/>
      <c r="BF72" s="20"/>
      <c r="BG72" s="20"/>
      <c r="BH72" s="20"/>
      <c r="BI72" s="20"/>
      <c r="BJ72" s="20"/>
      <c r="BK72" s="20"/>
      <c r="BL72" s="20"/>
      <c r="BM72" s="20"/>
      <c r="BN72" s="14"/>
      <c r="BO72" s="14"/>
    </row>
    <row r="73" spans="1:67" ht="16.5" customHeight="1" x14ac:dyDescent="0.25">
      <c r="B73" s="24" t="s">
        <v>54</v>
      </c>
      <c r="C73" s="25">
        <f>+C87</f>
        <v>18983389</v>
      </c>
      <c r="D73" s="25"/>
      <c r="E73" s="25">
        <f>+E87</f>
        <v>19568688</v>
      </c>
      <c r="F73" s="25">
        <f>+F87</f>
        <v>19721544</v>
      </c>
      <c r="G73" s="25">
        <f>+G87</f>
        <v>19940759</v>
      </c>
      <c r="H73" s="25">
        <f>+H87</f>
        <v>20387361</v>
      </c>
      <c r="I73" s="26"/>
      <c r="J73" s="25">
        <f>+J87</f>
        <v>18909158</v>
      </c>
      <c r="K73" s="25">
        <f>+K87</f>
        <v>20047792</v>
      </c>
      <c r="L73" s="25">
        <f>+L87</f>
        <v>22304092</v>
      </c>
      <c r="M73" s="25">
        <f>+M87</f>
        <v>22889799</v>
      </c>
      <c r="N73" s="25">
        <f>+N87</f>
        <v>22974090</v>
      </c>
      <c r="P73" s="18">
        <f t="shared" ref="P73:V73" si="47">+P87</f>
        <v>22316545</v>
      </c>
      <c r="Q73" s="18">
        <f t="shared" si="47"/>
        <v>22416574</v>
      </c>
      <c r="R73" s="18">
        <f t="shared" si="47"/>
        <v>22378748</v>
      </c>
      <c r="S73" s="18">
        <f t="shared" si="47"/>
        <v>22482543</v>
      </c>
      <c r="T73" s="18">
        <f t="shared" si="47"/>
        <v>22786490</v>
      </c>
      <c r="U73" s="18">
        <f t="shared" si="47"/>
        <v>22741000</v>
      </c>
      <c r="V73" s="18">
        <f t="shared" si="47"/>
        <v>23634596</v>
      </c>
      <c r="X73" s="18">
        <f>+X87</f>
        <v>23135940</v>
      </c>
      <c r="Y73" s="18">
        <f t="shared" ref="Y73:AG73" si="48">+Y87</f>
        <v>23696395</v>
      </c>
      <c r="Z73" s="18">
        <f t="shared" si="48"/>
        <v>23875786</v>
      </c>
      <c r="AA73" s="18">
        <f t="shared" si="48"/>
        <v>24307148</v>
      </c>
      <c r="AB73" s="18"/>
      <c r="AC73" s="18">
        <f t="shared" si="48"/>
        <v>23594286</v>
      </c>
      <c r="AD73" s="18">
        <f t="shared" si="48"/>
        <v>23888563</v>
      </c>
      <c r="AE73" s="18">
        <f t="shared" si="48"/>
        <v>24279950</v>
      </c>
      <c r="AF73" s="18">
        <f t="shared" si="48"/>
        <v>25572737</v>
      </c>
      <c r="AG73" s="18">
        <f t="shared" si="48"/>
        <v>25572737</v>
      </c>
      <c r="AI73" s="18">
        <f t="shared" ref="AI73:AL73" si="49">+AI87</f>
        <v>24943947</v>
      </c>
      <c r="AJ73" s="18">
        <f t="shared" si="49"/>
        <v>25179773</v>
      </c>
      <c r="AK73" s="18">
        <f t="shared" si="49"/>
        <v>26633443</v>
      </c>
      <c r="AL73" s="18">
        <f t="shared" si="49"/>
        <v>26490257</v>
      </c>
      <c r="AM73" s="18"/>
      <c r="AN73" s="18">
        <f t="shared" ref="AN73:AQ73" si="50">+AN87</f>
        <v>27828783</v>
      </c>
      <c r="AO73" s="18">
        <f t="shared" si="50"/>
        <v>26956418</v>
      </c>
      <c r="AP73" s="18">
        <f t="shared" si="50"/>
        <v>27811046</v>
      </c>
      <c r="AQ73" s="18">
        <f t="shared" si="50"/>
        <v>26229851</v>
      </c>
      <c r="AR73" s="14"/>
      <c r="AS73" s="18">
        <f t="shared" ref="AS73:AV73" si="51">+AS87</f>
        <v>26797362</v>
      </c>
      <c r="AT73" s="18">
        <f t="shared" si="51"/>
        <v>27485409</v>
      </c>
      <c r="AU73" s="18">
        <f t="shared" si="51"/>
        <v>27820997</v>
      </c>
      <c r="AV73" s="18">
        <f t="shared" si="51"/>
        <v>28806558</v>
      </c>
      <c r="AW73" s="14"/>
      <c r="AX73" s="18">
        <f t="shared" ref="AX73:AZ73" si="52">+AX87</f>
        <v>28055023</v>
      </c>
      <c r="AY73" s="18">
        <f t="shared" si="52"/>
        <v>29092609</v>
      </c>
      <c r="AZ73" s="18">
        <f t="shared" si="52"/>
        <v>30542913</v>
      </c>
      <c r="BA73" s="18">
        <f t="shared" ref="BA73:BC73" si="53">+BA87</f>
        <v>32029904</v>
      </c>
      <c r="BB73" s="14"/>
      <c r="BC73" s="18">
        <f t="shared" si="53"/>
        <v>31409244</v>
      </c>
      <c r="BD73" s="18">
        <f t="shared" ref="BD73:BE73" si="54">+BD87</f>
        <v>29817865</v>
      </c>
      <c r="BE73" s="18">
        <f t="shared" si="54"/>
        <v>29332150</v>
      </c>
      <c r="BF73" s="18">
        <f t="shared" ref="BF73:BH73" si="55">+BF87</f>
        <v>27789414</v>
      </c>
      <c r="BG73" s="18"/>
      <c r="BH73" s="18">
        <f t="shared" si="55"/>
        <v>31076610</v>
      </c>
      <c r="BI73" s="18">
        <f t="shared" ref="BI73:BK73" si="56">+BI87</f>
        <v>32489118</v>
      </c>
      <c r="BJ73" s="18">
        <f t="shared" si="56"/>
        <v>32431416</v>
      </c>
      <c r="BK73" s="18">
        <f t="shared" si="56"/>
        <v>32555069</v>
      </c>
      <c r="BL73" s="18"/>
      <c r="BM73" s="18">
        <f t="shared" ref="BM73" si="57">+BM87</f>
        <v>32588112</v>
      </c>
      <c r="BN73" s="14" t="e">
        <f>+BM73-#REF!</f>
        <v>#REF!</v>
      </c>
      <c r="BO73" s="14" t="e">
        <f>+BK73-#REF!</f>
        <v>#REF!</v>
      </c>
    </row>
    <row r="74" spans="1:67" ht="16.5" customHeight="1" x14ac:dyDescent="0.25">
      <c r="B74" s="27" t="s">
        <v>35</v>
      </c>
      <c r="C74" s="28">
        <f>+C73/C95</f>
        <v>9852.1348536196765</v>
      </c>
      <c r="D74" s="28"/>
      <c r="E74" s="28">
        <f>+E73/E95</f>
        <v>9956.998351413511</v>
      </c>
      <c r="F74" s="28">
        <f>+F73/F95</f>
        <v>10483.547116452883</v>
      </c>
      <c r="G74" s="28">
        <f>+G73/G95</f>
        <v>9830.3946797602148</v>
      </c>
      <c r="H74" s="28">
        <f>+H73/H95</f>
        <v>8521.5054797154389</v>
      </c>
      <c r="I74" s="29"/>
      <c r="J74" s="28">
        <f>+J73/J95</f>
        <v>7340.3691698530693</v>
      </c>
      <c r="K74" s="28">
        <f>+K73/K95</f>
        <v>7755.1021039723646</v>
      </c>
      <c r="L74" s="28">
        <f>+L73/L95</f>
        <v>7144.3051435966099</v>
      </c>
      <c r="M74" s="28">
        <f>+M73/M95</f>
        <v>7267.8256976570665</v>
      </c>
      <c r="N74" s="28">
        <f>+N73/N95</f>
        <v>7294.5892483497228</v>
      </c>
      <c r="P74" s="30">
        <f t="shared" ref="P74:V74" si="58">+P73/P95</f>
        <v>7383.8387347593762</v>
      </c>
      <c r="Q74" s="30">
        <f t="shared" si="58"/>
        <v>7416.9351663440702</v>
      </c>
      <c r="R74" s="30">
        <f t="shared" si="58"/>
        <v>7674.0730072184215</v>
      </c>
      <c r="S74" s="30">
        <f t="shared" si="58"/>
        <v>7709.6661694357281</v>
      </c>
      <c r="T74" s="30">
        <f t="shared" si="58"/>
        <v>7912.1130575183606</v>
      </c>
      <c r="U74" s="30">
        <f t="shared" si="58"/>
        <v>7896.3176444035489</v>
      </c>
      <c r="V74" s="30">
        <f t="shared" si="58"/>
        <v>7876.3346008111412</v>
      </c>
      <c r="X74" s="30">
        <f>+X73/X95</f>
        <v>8032.6431130739111</v>
      </c>
      <c r="Y74" s="30">
        <f t="shared" ref="Y74:AG74" si="59">+Y73/Y95</f>
        <v>7799.3308670094066</v>
      </c>
      <c r="Z74" s="30">
        <f t="shared" si="59"/>
        <v>8130.2243697793756</v>
      </c>
      <c r="AA74" s="30">
        <f t="shared" si="59"/>
        <v>8145.8270777479893</v>
      </c>
      <c r="AB74" s="30"/>
      <c r="AC74" s="30">
        <f t="shared" si="59"/>
        <v>8485.7186015313964</v>
      </c>
      <c r="AD74" s="30">
        <f t="shared" si="59"/>
        <v>8150.8676811791993</v>
      </c>
      <c r="AE74" s="30">
        <f t="shared" si="59"/>
        <v>8169.0711868056451</v>
      </c>
      <c r="AF74" s="30">
        <f t="shared" si="59"/>
        <v>7869.1397799830756</v>
      </c>
      <c r="AG74" s="30">
        <f t="shared" si="59"/>
        <v>7869.1397799830756</v>
      </c>
      <c r="AI74" s="30">
        <f t="shared" ref="AI74:AL74" si="60">+AI73/AI95</f>
        <v>7856.8809275574131</v>
      </c>
      <c r="AJ74" s="30">
        <f t="shared" si="60"/>
        <v>7854.7614071317385</v>
      </c>
      <c r="AK74" s="30">
        <f t="shared" si="60"/>
        <v>7693.0577901277002</v>
      </c>
      <c r="AL74" s="18">
        <f t="shared" si="60"/>
        <v>8083.3461493863551</v>
      </c>
      <c r="AM74" s="18"/>
      <c r="AN74" s="30">
        <f t="shared" ref="AN74:AQ74" si="61">+AN73/AN95</f>
        <v>6846.269075307333</v>
      </c>
      <c r="AO74" s="30">
        <f t="shared" si="61"/>
        <v>7171.3390317937919</v>
      </c>
      <c r="AP74" s="30">
        <f t="shared" si="61"/>
        <v>7169.7541080810734</v>
      </c>
      <c r="AQ74" s="30">
        <f t="shared" si="61"/>
        <v>7641.6171886380189</v>
      </c>
      <c r="AR74" s="14"/>
      <c r="AS74" s="30">
        <f t="shared" ref="AS74:AV74" si="62">+AS73/AS95</f>
        <v>7170.9947523488663</v>
      </c>
      <c r="AT74" s="30">
        <f t="shared" si="62"/>
        <v>7316.4289117755879</v>
      </c>
      <c r="AU74" s="30">
        <f t="shared" si="62"/>
        <v>7255.1026422022178</v>
      </c>
      <c r="AV74" s="30">
        <f t="shared" si="62"/>
        <v>7235.719739975284</v>
      </c>
      <c r="AW74" s="14"/>
      <c r="AX74" s="30">
        <f t="shared" ref="AX74:AZ74" si="63">+AX73/AX95</f>
        <v>7485.03208249403</v>
      </c>
      <c r="AY74" s="30">
        <f t="shared" si="63"/>
        <v>7048.5331207737427</v>
      </c>
      <c r="AZ74" s="30">
        <f t="shared" si="63"/>
        <v>6739.2853596700852</v>
      </c>
      <c r="BA74" s="30">
        <f t="shared" ref="BA74:BC74" si="64">+BA73/BA95</f>
        <v>6658.7468296536526</v>
      </c>
      <c r="BB74" s="14"/>
      <c r="BC74" s="30">
        <f t="shared" si="64"/>
        <v>6787.8563386186661</v>
      </c>
      <c r="BD74" s="30">
        <f t="shared" ref="BD74:BE74" si="65">+BD73/BD95</f>
        <v>7114.2622301540341</v>
      </c>
      <c r="BE74" s="30">
        <f t="shared" si="65"/>
        <v>7235.7885025260493</v>
      </c>
      <c r="BF74" s="30">
        <f t="shared" ref="BF74:BH74" si="66">+BF73/BF95</f>
        <v>7270.8138302743291</v>
      </c>
      <c r="BG74" s="30"/>
      <c r="BH74" s="30">
        <f t="shared" si="66"/>
        <v>8088.0227988444421</v>
      </c>
      <c r="BI74" s="30">
        <f t="shared" ref="BI74:BK74" si="67">+BI73/BI95</f>
        <v>7832.4022912025921</v>
      </c>
      <c r="BJ74" s="30">
        <f t="shared" si="67"/>
        <v>7788.1317224635641</v>
      </c>
      <c r="BK74" s="30">
        <f t="shared" si="67"/>
        <v>7383.5249424492258</v>
      </c>
      <c r="BL74" s="30"/>
      <c r="BM74" s="30">
        <f t="shared" ref="BM74" si="68">+BM73/BM95</f>
        <v>7772.824782889732</v>
      </c>
      <c r="BN74" s="14" t="e">
        <f>+BM74-#REF!</f>
        <v>#REF!</v>
      </c>
      <c r="BO74" s="14" t="e">
        <f>+BK74-#REF!</f>
        <v>#REF!</v>
      </c>
    </row>
    <row r="75" spans="1:67" ht="7.5" customHeight="1" x14ac:dyDescent="0.2">
      <c r="B75" s="21"/>
      <c r="C75" s="20"/>
      <c r="D75" s="20"/>
      <c r="E75" s="20"/>
      <c r="F75" s="20"/>
      <c r="G75" s="20"/>
      <c r="H75" s="20"/>
      <c r="J75" s="20"/>
      <c r="K75" s="20"/>
      <c r="L75" s="20"/>
      <c r="M75" s="20"/>
      <c r="N75" s="20"/>
      <c r="P75" s="20"/>
      <c r="Q75" s="20"/>
      <c r="R75" s="20"/>
      <c r="S75" s="20"/>
      <c r="T75" s="20"/>
      <c r="U75" s="20"/>
      <c r="V75" s="20"/>
      <c r="X75" s="20"/>
      <c r="Y75" s="20"/>
      <c r="Z75" s="20"/>
      <c r="AA75" s="20"/>
      <c r="AB75" s="20"/>
      <c r="AC75" s="20"/>
      <c r="AD75" s="20"/>
      <c r="AE75" s="20"/>
      <c r="AF75" s="20"/>
      <c r="AG75" s="20"/>
      <c r="AI75" s="20"/>
      <c r="AJ75" s="20"/>
      <c r="AK75" s="20"/>
      <c r="AL75" s="30"/>
      <c r="AM75" s="18"/>
      <c r="AN75" s="20"/>
      <c r="AO75" s="20"/>
      <c r="AP75" s="20"/>
      <c r="AQ75" s="20"/>
      <c r="AR75" s="14"/>
      <c r="AS75" s="20"/>
      <c r="AT75" s="20"/>
      <c r="AU75" s="20"/>
      <c r="AV75" s="20"/>
      <c r="AW75" s="14"/>
      <c r="AX75" s="20"/>
      <c r="AY75" s="20"/>
      <c r="AZ75" s="20"/>
      <c r="BA75" s="20"/>
      <c r="BB75" s="14"/>
      <c r="BC75" s="20"/>
      <c r="BD75" s="20"/>
      <c r="BE75" s="20"/>
      <c r="BF75" s="20"/>
      <c r="BG75" s="20"/>
      <c r="BH75" s="20"/>
      <c r="BI75" s="20"/>
      <c r="BJ75" s="20"/>
      <c r="BK75" s="20"/>
      <c r="BL75" s="20"/>
      <c r="BM75" s="20"/>
      <c r="BN75" s="14"/>
      <c r="BO75" s="14"/>
    </row>
    <row r="76" spans="1:67" ht="20.25" customHeight="1" x14ac:dyDescent="0.25">
      <c r="B76" s="17" t="s">
        <v>55</v>
      </c>
      <c r="C76" s="18">
        <f>+C70+C73</f>
        <v>27984896</v>
      </c>
      <c r="D76" s="18"/>
      <c r="E76" s="18">
        <f>+E70+E73</f>
        <v>30798667</v>
      </c>
      <c r="F76" s="18">
        <f>+F70+F73</f>
        <v>31438743</v>
      </c>
      <c r="G76" s="18">
        <f>+G70+G73</f>
        <v>31799673</v>
      </c>
      <c r="H76" s="18">
        <f>+H70+H73</f>
        <v>34299484</v>
      </c>
      <c r="J76" s="18">
        <f>+J70+J73</f>
        <v>34136094</v>
      </c>
      <c r="K76" s="18">
        <f>+K70+K73</f>
        <v>35244308</v>
      </c>
      <c r="L76" s="18">
        <f>+L70+L73</f>
        <v>40107016</v>
      </c>
      <c r="M76" s="18">
        <f>+M70+M73</f>
        <v>41775013</v>
      </c>
      <c r="N76" s="18">
        <f>+N70+N73</f>
        <v>42080401</v>
      </c>
      <c r="P76" s="18">
        <f t="shared" ref="P76:V76" si="69">+P70+P73</f>
        <v>41561107</v>
      </c>
      <c r="Q76" s="18">
        <f t="shared" si="69"/>
        <v>41871652</v>
      </c>
      <c r="R76" s="18">
        <f t="shared" si="69"/>
        <v>41943681</v>
      </c>
      <c r="S76" s="18">
        <f t="shared" si="69"/>
        <v>42241655</v>
      </c>
      <c r="T76" s="18">
        <f t="shared" si="69"/>
        <v>42536797</v>
      </c>
      <c r="U76" s="18">
        <f t="shared" si="69"/>
        <v>42487715</v>
      </c>
      <c r="V76" s="18">
        <f t="shared" si="69"/>
        <v>44749574</v>
      </c>
      <c r="X76" s="18">
        <f>+X70+X73</f>
        <v>47016433</v>
      </c>
      <c r="Y76" s="18">
        <f t="shared" ref="Y76:AG76" si="70">+Y70+Y73</f>
        <v>47714519</v>
      </c>
      <c r="Z76" s="18">
        <f t="shared" si="70"/>
        <v>47163880</v>
      </c>
      <c r="AA76" s="18">
        <f t="shared" si="70"/>
        <v>47567948</v>
      </c>
      <c r="AB76" s="18"/>
      <c r="AC76" s="18">
        <f t="shared" si="70"/>
        <v>45723958</v>
      </c>
      <c r="AD76" s="18">
        <f t="shared" si="70"/>
        <v>46769908</v>
      </c>
      <c r="AE76" s="18">
        <f t="shared" si="70"/>
        <v>46906935</v>
      </c>
      <c r="AF76" s="18">
        <f t="shared" si="70"/>
        <v>48714353</v>
      </c>
      <c r="AG76" s="19">
        <f t="shared" si="70"/>
        <v>48647882</v>
      </c>
      <c r="AI76" s="18">
        <f t="shared" ref="AI76:AL76" si="71">+AI70+AI73</f>
        <v>49210806</v>
      </c>
      <c r="AJ76" s="18">
        <f t="shared" si="71"/>
        <v>51285426</v>
      </c>
      <c r="AK76" s="18">
        <f t="shared" si="71"/>
        <v>52739611</v>
      </c>
      <c r="AL76" s="18">
        <f t="shared" si="71"/>
        <v>50825141</v>
      </c>
      <c r="AM76" s="18"/>
      <c r="AN76" s="18">
        <f t="shared" ref="AN76:AQ76" si="72">+AN70+AN73</f>
        <v>55779735</v>
      </c>
      <c r="AO76" s="18">
        <f t="shared" si="72"/>
        <v>53912319</v>
      </c>
      <c r="AP76" s="18">
        <f t="shared" si="72"/>
        <v>54272004</v>
      </c>
      <c r="AQ76" s="18">
        <f t="shared" si="72"/>
        <v>50773567</v>
      </c>
      <c r="AR76" s="14"/>
      <c r="AS76" s="18">
        <f t="shared" ref="AS76:AV76" si="73">+AS70+AS73</f>
        <v>52829868</v>
      </c>
      <c r="AT76" s="18">
        <f t="shared" si="73"/>
        <v>52551734</v>
      </c>
      <c r="AU76" s="18">
        <f t="shared" si="73"/>
        <v>53183135</v>
      </c>
      <c r="AV76" s="18">
        <f t="shared" si="73"/>
        <v>52589344</v>
      </c>
      <c r="AW76" s="14"/>
      <c r="AX76" s="18">
        <f t="shared" ref="AX76:AZ76" si="74">+AX70+AX73</f>
        <v>52018469</v>
      </c>
      <c r="AY76" s="18">
        <f t="shared" si="74"/>
        <v>51303900</v>
      </c>
      <c r="AZ76" s="18">
        <f t="shared" si="74"/>
        <v>53859278</v>
      </c>
      <c r="BA76" s="18">
        <f t="shared" ref="BA76:BC76" si="75">+BA70+BA73</f>
        <v>56941068</v>
      </c>
      <c r="BB76" s="14"/>
      <c r="BC76" s="18">
        <f t="shared" si="75"/>
        <v>57112838</v>
      </c>
      <c r="BD76" s="18">
        <f t="shared" ref="BD76:BE76" si="76">+BD70+BD73</f>
        <v>52323245</v>
      </c>
      <c r="BE76" s="18">
        <f t="shared" si="76"/>
        <v>52312696</v>
      </c>
      <c r="BF76" s="18">
        <f t="shared" ref="BF76:BH76" si="77">+BF70+BF73</f>
        <v>49402341</v>
      </c>
      <c r="BG76" s="18"/>
      <c r="BH76" s="18">
        <f t="shared" si="77"/>
        <v>51171008</v>
      </c>
      <c r="BI76" s="18">
        <f t="shared" ref="BI76:BK76" si="78">+BI70+BI73</f>
        <v>52961110</v>
      </c>
      <c r="BJ76" s="18">
        <f t="shared" si="78"/>
        <v>52358330</v>
      </c>
      <c r="BK76" s="18">
        <f t="shared" si="78"/>
        <v>51852649</v>
      </c>
      <c r="BL76" s="18"/>
      <c r="BM76" s="18">
        <f t="shared" ref="BM76" si="79">+BM70+BM73</f>
        <v>53552083</v>
      </c>
      <c r="BN76" s="14" t="e">
        <f>+BM76-#REF!</f>
        <v>#REF!</v>
      </c>
      <c r="BO76" s="14" t="e">
        <f>+BK76-#REF!</f>
        <v>#REF!</v>
      </c>
    </row>
    <row r="77" spans="1:67" ht="7.5" customHeight="1" x14ac:dyDescent="0.25">
      <c r="C77" s="23"/>
      <c r="D77" s="23"/>
      <c r="E77" s="23"/>
      <c r="F77" s="23"/>
      <c r="G77" s="23"/>
      <c r="H77" s="23"/>
      <c r="J77" s="23"/>
      <c r="K77" s="23"/>
      <c r="L77" s="23"/>
      <c r="M77" s="23"/>
      <c r="N77" s="23"/>
      <c r="P77" s="12"/>
      <c r="Q77" s="12"/>
      <c r="R77" s="12"/>
      <c r="S77" s="12"/>
      <c r="T77" s="12"/>
      <c r="U77" s="12"/>
      <c r="V77" s="12"/>
      <c r="X77" s="12"/>
      <c r="Y77" s="12"/>
      <c r="Z77" s="12"/>
      <c r="AA77" s="12"/>
      <c r="AB77" s="12"/>
      <c r="AC77" s="12"/>
      <c r="AD77" s="12"/>
      <c r="AE77" s="12"/>
      <c r="AF77" s="12"/>
      <c r="AG77" s="12"/>
      <c r="AI77" s="12"/>
      <c r="AJ77" s="12"/>
      <c r="AK77" s="12"/>
      <c r="AL77" s="18"/>
      <c r="AM77" s="18"/>
      <c r="AN77" s="12"/>
      <c r="AO77" s="12"/>
      <c r="AP77" s="12"/>
      <c r="AQ77" s="12"/>
      <c r="AR77" s="14"/>
      <c r="AS77" s="12"/>
      <c r="AT77" s="12"/>
      <c r="AU77" s="12"/>
      <c r="AV77" s="12"/>
      <c r="AW77" s="14"/>
      <c r="AX77" s="12"/>
      <c r="AY77" s="12"/>
      <c r="AZ77" s="12"/>
      <c r="BA77" s="12"/>
      <c r="BB77" s="14"/>
      <c r="BC77" s="12"/>
      <c r="BD77" s="12"/>
      <c r="BE77" s="12"/>
      <c r="BF77" s="12"/>
      <c r="BG77" s="12"/>
      <c r="BH77" s="12"/>
      <c r="BI77" s="12"/>
      <c r="BJ77" s="12"/>
      <c r="BK77" s="12"/>
      <c r="BL77" s="12"/>
      <c r="BM77" s="12"/>
      <c r="BN77" s="14"/>
      <c r="BO77" s="14"/>
    </row>
    <row r="78" spans="1:67" s="10" customFormat="1" ht="16.5" customHeight="1" x14ac:dyDescent="0.2">
      <c r="B78" s="21" t="s">
        <v>56</v>
      </c>
      <c r="C78" s="12">
        <v>51510</v>
      </c>
      <c r="D78" s="12"/>
      <c r="E78" s="12">
        <v>51481</v>
      </c>
      <c r="F78" s="12">
        <v>51481</v>
      </c>
      <c r="G78" s="12">
        <v>51481</v>
      </c>
      <c r="H78" s="12">
        <v>51510</v>
      </c>
      <c r="I78" s="2"/>
      <c r="J78" s="12">
        <v>51481</v>
      </c>
      <c r="K78" s="12">
        <v>50744</v>
      </c>
      <c r="L78" s="12">
        <v>50744</v>
      </c>
      <c r="M78" s="16">
        <v>51510</v>
      </c>
      <c r="N78" s="13">
        <v>51510</v>
      </c>
      <c r="P78" s="13">
        <v>51510</v>
      </c>
      <c r="Q78" s="13">
        <v>51510</v>
      </c>
      <c r="R78" s="13">
        <v>51510</v>
      </c>
      <c r="S78" s="13">
        <v>51510</v>
      </c>
      <c r="T78" s="13">
        <v>51510</v>
      </c>
      <c r="U78" s="13">
        <v>51510</v>
      </c>
      <c r="V78" s="13">
        <v>53933</v>
      </c>
      <c r="X78" s="13">
        <v>53933</v>
      </c>
      <c r="Y78" s="13">
        <v>53933</v>
      </c>
      <c r="Z78" s="13">
        <v>53933</v>
      </c>
      <c r="AA78" s="13">
        <v>53933</v>
      </c>
      <c r="AB78" s="13"/>
      <c r="AC78" s="13">
        <v>53933</v>
      </c>
      <c r="AD78" s="13">
        <v>53933</v>
      </c>
      <c r="AE78" s="13">
        <v>53933</v>
      </c>
      <c r="AF78" s="13">
        <v>53933</v>
      </c>
      <c r="AG78" s="13">
        <v>53933</v>
      </c>
      <c r="AI78" s="13">
        <v>53933</v>
      </c>
      <c r="AJ78" s="13">
        <v>53933</v>
      </c>
      <c r="AK78" s="13">
        <v>53933</v>
      </c>
      <c r="AL78" s="13">
        <v>53933</v>
      </c>
      <c r="AM78" s="18"/>
      <c r="AN78" s="13">
        <v>53933</v>
      </c>
      <c r="AO78" s="13">
        <v>53933</v>
      </c>
      <c r="AP78" s="13">
        <v>53933</v>
      </c>
      <c r="AQ78" s="13">
        <v>53933</v>
      </c>
      <c r="AR78" s="14"/>
      <c r="AS78" s="13">
        <v>53933</v>
      </c>
      <c r="AT78" s="13">
        <v>54697</v>
      </c>
      <c r="AU78" s="13">
        <v>54697</v>
      </c>
      <c r="AV78" s="13">
        <v>54697</v>
      </c>
      <c r="AW78" s="14"/>
      <c r="AX78" s="13">
        <v>54697</v>
      </c>
      <c r="AY78" s="13">
        <v>54697</v>
      </c>
      <c r="AZ78" s="13">
        <v>54697</v>
      </c>
      <c r="BA78" s="13">
        <v>54697</v>
      </c>
      <c r="BB78" s="14"/>
      <c r="BC78" s="13">
        <v>54697</v>
      </c>
      <c r="BD78" s="13">
        <v>54697</v>
      </c>
      <c r="BE78" s="13">
        <v>54697</v>
      </c>
      <c r="BF78" s="13">
        <v>54697</v>
      </c>
      <c r="BG78" s="13"/>
      <c r="BH78" s="13">
        <v>54697</v>
      </c>
      <c r="BI78" s="13">
        <v>54697</v>
      </c>
      <c r="BJ78" s="13">
        <v>54697</v>
      </c>
      <c r="BK78" s="13">
        <v>54697</v>
      </c>
      <c r="BL78" s="13"/>
      <c r="BM78" s="13">
        <v>54697</v>
      </c>
      <c r="BN78" s="14" t="e">
        <f>+BM78-#REF!</f>
        <v>#REF!</v>
      </c>
      <c r="BO78" s="14" t="e">
        <f>+BK78-#REF!</f>
        <v>#REF!</v>
      </c>
    </row>
    <row r="79" spans="1:67" s="10" customFormat="1" ht="16.5" customHeight="1" x14ac:dyDescent="0.2">
      <c r="B79" s="21" t="s">
        <v>57</v>
      </c>
      <c r="C79" s="12">
        <v>667459</v>
      </c>
      <c r="D79" s="12"/>
      <c r="E79" s="12">
        <v>687062</v>
      </c>
      <c r="F79" s="12">
        <v>697292</v>
      </c>
      <c r="G79" s="12">
        <v>680690</v>
      </c>
      <c r="H79" s="12">
        <v>680051</v>
      </c>
      <c r="I79" s="2"/>
      <c r="J79" s="12">
        <v>689585</v>
      </c>
      <c r="K79" s="12">
        <v>681444</v>
      </c>
      <c r="L79" s="12">
        <v>680280</v>
      </c>
      <c r="M79" s="16">
        <v>680218</v>
      </c>
      <c r="N79" s="13">
        <v>680218</v>
      </c>
      <c r="P79" s="13">
        <v>680218</v>
      </c>
      <c r="Q79" s="13">
        <v>680218</v>
      </c>
      <c r="R79" s="13">
        <v>680218</v>
      </c>
      <c r="S79" s="13">
        <v>680218</v>
      </c>
      <c r="T79" s="13">
        <v>680218</v>
      </c>
      <c r="U79" s="13">
        <v>680218</v>
      </c>
      <c r="V79" s="13">
        <v>1354759</v>
      </c>
      <c r="X79" s="13">
        <v>1354759</v>
      </c>
      <c r="Y79" s="13">
        <v>1354759</v>
      </c>
      <c r="Z79" s="13">
        <v>1354759</v>
      </c>
      <c r="AA79" s="13">
        <v>1354759</v>
      </c>
      <c r="AB79" s="13"/>
      <c r="AC79" s="13">
        <v>1354759</v>
      </c>
      <c r="AD79" s="13">
        <v>1354759</v>
      </c>
      <c r="AE79" s="13">
        <v>1354759</v>
      </c>
      <c r="AF79" s="13">
        <v>1354759</v>
      </c>
      <c r="AG79" s="13">
        <v>1354759</v>
      </c>
      <c r="AI79" s="13">
        <v>1354759</v>
      </c>
      <c r="AJ79" s="13">
        <v>1354759</v>
      </c>
      <c r="AK79" s="13">
        <v>1354759</v>
      </c>
      <c r="AL79" s="13">
        <v>1354759</v>
      </c>
      <c r="AM79" s="18"/>
      <c r="AN79" s="13">
        <v>1354759</v>
      </c>
      <c r="AO79" s="13">
        <v>1354759</v>
      </c>
      <c r="AP79" s="13">
        <v>1354759</v>
      </c>
      <c r="AQ79" s="13">
        <v>1354759</v>
      </c>
      <c r="AR79" s="14"/>
      <c r="AS79" s="13">
        <v>1354759</v>
      </c>
      <c r="AT79" s="13">
        <v>1503373</v>
      </c>
      <c r="AU79" s="13">
        <v>1503373</v>
      </c>
      <c r="AV79" s="13">
        <v>1503373</v>
      </c>
      <c r="AW79" s="14"/>
      <c r="AX79" s="13">
        <v>1503373</v>
      </c>
      <c r="AY79" s="13">
        <v>1503373</v>
      </c>
      <c r="AZ79" s="13">
        <v>1503373</v>
      </c>
      <c r="BA79" s="13">
        <v>1503373</v>
      </c>
      <c r="BB79" s="14"/>
      <c r="BC79" s="13">
        <v>1503373</v>
      </c>
      <c r="BD79" s="13">
        <v>1503373</v>
      </c>
      <c r="BE79" s="13">
        <v>1503373</v>
      </c>
      <c r="BF79" s="13">
        <v>1503373</v>
      </c>
      <c r="BG79" s="13"/>
      <c r="BH79" s="13">
        <v>1503373</v>
      </c>
      <c r="BI79" s="13">
        <v>1503373</v>
      </c>
      <c r="BJ79" s="13">
        <v>1503373</v>
      </c>
      <c r="BK79" s="13">
        <v>1503373</v>
      </c>
      <c r="BL79" s="13"/>
      <c r="BM79" s="13">
        <v>1503373</v>
      </c>
      <c r="BN79" s="14" t="e">
        <f>+BM79-#REF!</f>
        <v>#REF!</v>
      </c>
      <c r="BO79" s="14" t="e">
        <f>+BK79-#REF!</f>
        <v>#REF!</v>
      </c>
    </row>
    <row r="80" spans="1:67" s="10" customFormat="1" ht="16.5" customHeight="1" x14ac:dyDescent="0.2">
      <c r="B80" s="21" t="s">
        <v>233</v>
      </c>
      <c r="C80" s="12"/>
      <c r="D80" s="12"/>
      <c r="E80" s="12"/>
      <c r="F80" s="12"/>
      <c r="G80" s="12"/>
      <c r="H80" s="12"/>
      <c r="I80" s="2"/>
      <c r="J80" s="12"/>
      <c r="K80" s="12"/>
      <c r="L80" s="12"/>
      <c r="M80" s="16"/>
      <c r="N80" s="13"/>
      <c r="P80" s="13"/>
      <c r="Q80" s="13"/>
      <c r="R80" s="13"/>
      <c r="S80" s="13"/>
      <c r="T80" s="13"/>
      <c r="U80" s="13"/>
      <c r="V80" s="13"/>
      <c r="X80" s="13"/>
      <c r="Y80" s="13"/>
      <c r="Z80" s="13"/>
      <c r="AA80" s="13"/>
      <c r="AB80" s="13"/>
      <c r="AC80" s="13"/>
      <c r="AD80" s="13"/>
      <c r="AE80" s="13"/>
      <c r="AF80" s="13"/>
      <c r="AG80" s="13"/>
      <c r="AI80" s="13"/>
      <c r="AJ80" s="13"/>
      <c r="AK80" s="13"/>
      <c r="AL80" s="13"/>
      <c r="AM80" s="18"/>
      <c r="AN80" s="13"/>
      <c r="AO80" s="13"/>
      <c r="AP80" s="13"/>
      <c r="AQ80" s="13"/>
      <c r="AR80" s="14"/>
      <c r="AS80" s="13"/>
      <c r="AT80" s="13"/>
      <c r="AU80" s="13"/>
      <c r="AV80" s="13"/>
      <c r="AW80" s="14"/>
      <c r="AX80" s="13"/>
      <c r="AY80" s="13"/>
      <c r="AZ80" s="13"/>
      <c r="BA80" s="13"/>
      <c r="BB80" s="14"/>
      <c r="BC80" s="13">
        <v>-11611</v>
      </c>
      <c r="BD80" s="13">
        <v>-13392</v>
      </c>
      <c r="BE80" s="13">
        <v>-34094</v>
      </c>
      <c r="BF80" s="13">
        <v>-68994</v>
      </c>
      <c r="BG80" s="13"/>
      <c r="BH80" s="13">
        <v>-104872</v>
      </c>
      <c r="BI80" s="13">
        <v>-159866</v>
      </c>
      <c r="BJ80" s="13">
        <v>-183958</v>
      </c>
      <c r="BK80" s="13">
        <v>-428360</v>
      </c>
      <c r="BL80" s="13"/>
      <c r="BM80" s="13">
        <v>-451090</v>
      </c>
      <c r="BN80" s="14" t="e">
        <f>+BM80-#REF!</f>
        <v>#REF!</v>
      </c>
      <c r="BO80" s="14" t="e">
        <f>+BK80-#REF!</f>
        <v>#REF!</v>
      </c>
    </row>
    <row r="81" spans="2:69" s="10" customFormat="1" ht="16.5" customHeight="1" x14ac:dyDescent="0.2">
      <c r="B81" s="21" t="s">
        <v>58</v>
      </c>
      <c r="C81" s="12">
        <v>1143369</v>
      </c>
      <c r="D81" s="12"/>
      <c r="E81" s="12">
        <v>1574666</v>
      </c>
      <c r="F81" s="12">
        <v>1320750</v>
      </c>
      <c r="G81" s="12">
        <v>1342775</v>
      </c>
      <c r="H81" s="12">
        <v>1959674</v>
      </c>
      <c r="I81" s="2"/>
      <c r="J81" s="12">
        <v>832993</v>
      </c>
      <c r="K81" s="12">
        <v>1283551</v>
      </c>
      <c r="L81" s="12">
        <v>1657585</v>
      </c>
      <c r="M81" s="12">
        <f>1962250+12828</f>
        <v>1975078</v>
      </c>
      <c r="N81" s="13">
        <v>2028667</v>
      </c>
      <c r="P81" s="13">
        <v>1684719</v>
      </c>
      <c r="Q81" s="13">
        <v>1684812</v>
      </c>
      <c r="R81" s="13">
        <v>1487562</v>
      </c>
      <c r="S81" s="13">
        <f>1653819-1</f>
        <v>1653818</v>
      </c>
      <c r="T81" s="13">
        <v>1320770</v>
      </c>
      <c r="U81" s="13">
        <v>1656385</v>
      </c>
      <c r="V81" s="13">
        <v>1987756</v>
      </c>
      <c r="X81" s="13">
        <v>1709366</v>
      </c>
      <c r="Y81" s="13">
        <v>2152249</v>
      </c>
      <c r="Z81" s="13">
        <v>1954715</v>
      </c>
      <c r="AA81" s="13">
        <v>2159131</v>
      </c>
      <c r="AB81" s="13"/>
      <c r="AC81" s="13">
        <v>1608320</v>
      </c>
      <c r="AD81" s="13">
        <v>1818377</v>
      </c>
      <c r="AE81" s="13">
        <v>1767936</v>
      </c>
      <c r="AF81" s="13">
        <v>2375778</v>
      </c>
      <c r="AG81" s="13">
        <v>2375778</v>
      </c>
      <c r="AI81" s="13">
        <v>2342892</v>
      </c>
      <c r="AJ81" s="13">
        <v>2334625</v>
      </c>
      <c r="AK81" s="13">
        <v>2856255</v>
      </c>
      <c r="AL81" s="13">
        <v>2364976</v>
      </c>
      <c r="AM81" s="18"/>
      <c r="AN81" s="13">
        <v>3322310</v>
      </c>
      <c r="AO81" s="13">
        <v>2840869</v>
      </c>
      <c r="AP81" s="13">
        <v>3344086</v>
      </c>
      <c r="AQ81" s="13">
        <v>2591296</v>
      </c>
      <c r="AR81" s="14"/>
      <c r="AS81" s="13">
        <v>3203635</v>
      </c>
      <c r="AT81" s="13">
        <v>3232673</v>
      </c>
      <c r="AU81" s="13">
        <v>3278415</v>
      </c>
      <c r="AV81" s="13">
        <v>3996628</v>
      </c>
      <c r="AW81" s="14"/>
      <c r="AX81" s="13">
        <v>4425781</v>
      </c>
      <c r="AY81" s="13">
        <v>4829855</v>
      </c>
      <c r="AZ81" s="13">
        <v>5537316</v>
      </c>
      <c r="BA81" s="13">
        <v>6303067</v>
      </c>
      <c r="BB81" s="14"/>
      <c r="BC81" s="13">
        <v>6341481</v>
      </c>
      <c r="BD81" s="13">
        <v>5232795</v>
      </c>
      <c r="BE81" s="13">
        <v>4607952</v>
      </c>
      <c r="BF81" s="13">
        <v>3770085</v>
      </c>
      <c r="BG81" s="13"/>
      <c r="BH81" s="13">
        <v>979507</v>
      </c>
      <c r="BI81" s="13">
        <v>1916263</v>
      </c>
      <c r="BJ81" s="13">
        <v>2082158</v>
      </c>
      <c r="BK81" s="13">
        <v>2374619</v>
      </c>
      <c r="BL81" s="13"/>
      <c r="BM81" s="13">
        <v>2077635</v>
      </c>
      <c r="BN81" s="14" t="e">
        <f>+BM81-#REF!</f>
        <v>#REF!</v>
      </c>
      <c r="BO81" s="14" t="e">
        <f>+BK81-#REF!</f>
        <v>#REF!</v>
      </c>
    </row>
    <row r="82" spans="2:69" s="10" customFormat="1" ht="16.5" customHeight="1" x14ac:dyDescent="0.2">
      <c r="B82" s="21" t="s">
        <v>59</v>
      </c>
      <c r="C82" s="12">
        <v>2331912</v>
      </c>
      <c r="D82" s="12"/>
      <c r="E82" s="23">
        <v>2430710</v>
      </c>
      <c r="F82" s="23">
        <v>2423797</v>
      </c>
      <c r="G82" s="23">
        <v>2424948</v>
      </c>
      <c r="H82" s="23">
        <f>2423257+7358</f>
        <v>2430615</v>
      </c>
      <c r="I82" s="2"/>
      <c r="J82" s="23">
        <v>2543398</v>
      </c>
      <c r="K82" s="23">
        <v>2573413</v>
      </c>
      <c r="L82" s="23">
        <v>2554541</v>
      </c>
      <c r="M82" s="12">
        <f>2459858+147001</f>
        <v>2606859</v>
      </c>
      <c r="N82" s="13">
        <v>2606859</v>
      </c>
      <c r="P82" s="13">
        <v>2743765</v>
      </c>
      <c r="Q82" s="13">
        <v>2743765</v>
      </c>
      <c r="R82" s="13">
        <v>2743765</v>
      </c>
      <c r="S82" s="13">
        <v>2743765</v>
      </c>
      <c r="T82" s="13">
        <v>2743765</v>
      </c>
      <c r="U82" s="13">
        <v>2743765</v>
      </c>
      <c r="V82" s="13">
        <v>2743764</v>
      </c>
      <c r="X82" s="13">
        <v>2829844</v>
      </c>
      <c r="Y82" s="13">
        <v>2829844</v>
      </c>
      <c r="Z82" s="13">
        <v>2829845</v>
      </c>
      <c r="AA82" s="13">
        <v>2829844</v>
      </c>
      <c r="AB82" s="13"/>
      <c r="AC82" s="13">
        <v>2829845</v>
      </c>
      <c r="AD82" s="13">
        <v>3001515</v>
      </c>
      <c r="AE82" s="13">
        <v>3001515</v>
      </c>
      <c r="AF82" s="13">
        <v>3001515</v>
      </c>
      <c r="AG82" s="13">
        <v>3001515</v>
      </c>
      <c r="AI82" s="13">
        <v>3513161</v>
      </c>
      <c r="AJ82" s="13">
        <v>3513161</v>
      </c>
      <c r="AK82" s="13">
        <v>3513161</v>
      </c>
      <c r="AL82" s="13">
        <v>3513161</v>
      </c>
      <c r="AM82" s="18"/>
      <c r="AN82" s="13">
        <v>3673583</v>
      </c>
      <c r="AO82" s="13">
        <v>3673583</v>
      </c>
      <c r="AP82" s="13">
        <v>3673583</v>
      </c>
      <c r="AQ82" s="13">
        <v>3673583</v>
      </c>
      <c r="AR82" s="14"/>
      <c r="AS82" s="13">
        <v>3339623</v>
      </c>
      <c r="AT82" s="13">
        <v>3339623</v>
      </c>
      <c r="AU82" s="13">
        <v>3339623</v>
      </c>
      <c r="AV82" s="13">
        <v>3339623</v>
      </c>
      <c r="AW82" s="14"/>
      <c r="AX82" s="13">
        <v>3241099</v>
      </c>
      <c r="AY82" s="13">
        <v>3241099</v>
      </c>
      <c r="AZ82" s="13">
        <v>3241099</v>
      </c>
      <c r="BA82" s="13">
        <v>3241099</v>
      </c>
      <c r="BB82" s="14"/>
      <c r="BC82" s="13">
        <v>3093302</v>
      </c>
      <c r="BD82" s="13">
        <v>3093389</v>
      </c>
      <c r="BE82" s="13">
        <v>3094102</v>
      </c>
      <c r="BF82" s="13">
        <v>3094653</v>
      </c>
      <c r="BG82" s="13"/>
      <c r="BH82" s="13">
        <v>3337154</v>
      </c>
      <c r="BI82" s="13">
        <v>3338842</v>
      </c>
      <c r="BJ82" s="13">
        <v>3339332</v>
      </c>
      <c r="BK82" s="13">
        <v>3344004</v>
      </c>
      <c r="BL82" s="13"/>
      <c r="BM82" s="13">
        <v>5299320</v>
      </c>
      <c r="BN82" s="14" t="e">
        <f>+BM82-#REF!</f>
        <v>#REF!</v>
      </c>
      <c r="BO82" s="14" t="e">
        <f>+BK82-#REF!</f>
        <v>#REF!</v>
      </c>
    </row>
    <row r="83" spans="2:69" s="10" customFormat="1" ht="16.5" customHeight="1" x14ac:dyDescent="0.2">
      <c r="B83" s="21" t="s">
        <v>60</v>
      </c>
      <c r="C83" s="12">
        <v>0</v>
      </c>
      <c r="D83" s="12"/>
      <c r="E83" s="23">
        <v>-20539</v>
      </c>
      <c r="F83" s="23">
        <v>-19793</v>
      </c>
      <c r="G83" s="23">
        <v>-19793</v>
      </c>
      <c r="H83" s="23">
        <v>-20227</v>
      </c>
      <c r="I83" s="2"/>
      <c r="J83" s="23">
        <v>-21627</v>
      </c>
      <c r="K83" s="23">
        <v>-19792</v>
      </c>
      <c r="L83" s="23">
        <v>259087</v>
      </c>
      <c r="M83" s="12">
        <v>241008</v>
      </c>
      <c r="N83" s="12">
        <f>421098+37788</f>
        <v>458886</v>
      </c>
      <c r="P83" s="13">
        <v>241008</v>
      </c>
      <c r="Q83" s="13">
        <f>535479-1</f>
        <v>535478</v>
      </c>
      <c r="R83" s="13">
        <v>241008</v>
      </c>
      <c r="S83" s="13">
        <v>365934</v>
      </c>
      <c r="T83" s="13">
        <v>241008</v>
      </c>
      <c r="U83" s="13">
        <f>154490-1</f>
        <v>154489</v>
      </c>
      <c r="V83" s="13">
        <f>-59093+37788</f>
        <v>-21305</v>
      </c>
      <c r="X83" s="13">
        <v>173072</v>
      </c>
      <c r="Y83" s="13">
        <v>-52568</v>
      </c>
      <c r="Z83" s="13">
        <v>-23313</v>
      </c>
      <c r="AA83" s="13">
        <v>-7225</v>
      </c>
      <c r="AB83" s="13"/>
      <c r="AC83" s="13">
        <v>-167939</v>
      </c>
      <c r="AD83" s="13">
        <v>-164106</v>
      </c>
      <c r="AE83" s="13">
        <v>-165908</v>
      </c>
      <c r="AF83" s="13">
        <v>-178650</v>
      </c>
      <c r="AG83" s="13">
        <v>-178650</v>
      </c>
      <c r="AI83" s="13">
        <v>-143411</v>
      </c>
      <c r="AJ83" s="13">
        <v>-134952</v>
      </c>
      <c r="AK83" s="13">
        <v>-129308</v>
      </c>
      <c r="AL83" s="13">
        <v>-165142</v>
      </c>
      <c r="AM83" s="18"/>
      <c r="AN83" s="13">
        <v>-138182</v>
      </c>
      <c r="AO83" s="13">
        <v>-146718</v>
      </c>
      <c r="AP83" s="13">
        <v>-141453</v>
      </c>
      <c r="AQ83" s="13">
        <v>-143779</v>
      </c>
      <c r="AR83" s="14"/>
      <c r="AS83" s="13">
        <v>-110978</v>
      </c>
      <c r="AT83" s="13">
        <v>-88036</v>
      </c>
      <c r="AU83" s="13">
        <v>-113374</v>
      </c>
      <c r="AV83" s="13">
        <v>-111432</v>
      </c>
      <c r="AW83" s="14"/>
      <c r="AX83" s="13">
        <v>-84876</v>
      </c>
      <c r="AY83" s="13">
        <v>-61913</v>
      </c>
      <c r="AZ83" s="13">
        <v>-185871</v>
      </c>
      <c r="BA83" s="13">
        <v>-151350</v>
      </c>
      <c r="BB83" s="14"/>
      <c r="BC83" s="13">
        <v>-147469</v>
      </c>
      <c r="BD83" s="13">
        <v>-180388</v>
      </c>
      <c r="BE83" s="13">
        <v>-152874</v>
      </c>
      <c r="BF83" s="13">
        <v>-133226</v>
      </c>
      <c r="BG83" s="13"/>
      <c r="BH83" s="13">
        <v>-311235</v>
      </c>
      <c r="BI83" s="13">
        <v>-193844</v>
      </c>
      <c r="BJ83" s="13">
        <v>-553133</v>
      </c>
      <c r="BK83" s="13">
        <v>-1267586</v>
      </c>
      <c r="BL83" s="13"/>
      <c r="BM83" s="13">
        <v>-1396959</v>
      </c>
      <c r="BN83" s="14" t="e">
        <f>+BM83-#REF!</f>
        <v>#REF!</v>
      </c>
      <c r="BO83" s="14" t="e">
        <f>+BK83-#REF!</f>
        <v>#REF!</v>
      </c>
    </row>
    <row r="84" spans="2:69" ht="16.5" customHeight="1" x14ac:dyDescent="0.2">
      <c r="B84" s="33" t="s">
        <v>61</v>
      </c>
      <c r="C84" s="12">
        <v>8906252</v>
      </c>
      <c r="D84" s="12"/>
      <c r="E84" s="12">
        <v>8845095</v>
      </c>
      <c r="F84" s="12">
        <v>8845095</v>
      </c>
      <c r="G84" s="12">
        <v>8845095</v>
      </c>
      <c r="H84" s="12">
        <f>8611302-7358</f>
        <v>8603944</v>
      </c>
      <c r="J84" s="12">
        <v>9242878</v>
      </c>
      <c r="K84" s="12">
        <v>9242878</v>
      </c>
      <c r="L84" s="12">
        <v>9242878</v>
      </c>
      <c r="M84" s="12">
        <f>9096767-159829</f>
        <v>8936938</v>
      </c>
      <c r="N84" s="12">
        <f>8814764-37788</f>
        <v>8776976</v>
      </c>
      <c r="P84" s="13">
        <v>9007749</v>
      </c>
      <c r="Q84" s="13">
        <v>8870137</v>
      </c>
      <c r="R84" s="13">
        <v>9007749</v>
      </c>
      <c r="S84" s="13">
        <v>8870137</v>
      </c>
      <c r="T84" s="13">
        <v>9173922</v>
      </c>
      <c r="U84" s="13">
        <v>9053460</v>
      </c>
      <c r="V84" s="13">
        <f>8936243-37788</f>
        <v>8898455</v>
      </c>
      <c r="X84" s="13">
        <v>9052809</v>
      </c>
      <c r="Y84" s="13">
        <v>9052810</v>
      </c>
      <c r="Z84" s="13">
        <v>9053167</v>
      </c>
      <c r="AA84" s="13">
        <v>9045006</v>
      </c>
      <c r="AB84" s="13"/>
      <c r="AC84" s="13">
        <v>9654742</v>
      </c>
      <c r="AD84" s="13">
        <v>9215320</v>
      </c>
      <c r="AE84" s="13">
        <v>9199945</v>
      </c>
      <c r="AF84" s="13">
        <v>9147229</v>
      </c>
      <c r="AG84" s="13">
        <v>9147229</v>
      </c>
      <c r="AI84" s="13">
        <v>9007211</v>
      </c>
      <c r="AJ84" s="13">
        <v>9023506</v>
      </c>
      <c r="AK84" s="13">
        <v>9023542</v>
      </c>
      <c r="AL84" s="13">
        <v>9022034</v>
      </c>
      <c r="AM84" s="13"/>
      <c r="AN84" s="13">
        <v>9253570</v>
      </c>
      <c r="AO84" s="13">
        <v>9253606</v>
      </c>
      <c r="AP84" s="13">
        <v>9253642</v>
      </c>
      <c r="AQ84" s="13">
        <v>9218462</v>
      </c>
      <c r="AR84" s="14"/>
      <c r="AS84" s="13">
        <v>9124738</v>
      </c>
      <c r="AT84" s="13">
        <v>9124775</v>
      </c>
      <c r="AU84" s="13">
        <v>9057776</v>
      </c>
      <c r="AV84" s="13">
        <v>9083552</v>
      </c>
      <c r="AW84" s="14"/>
      <c r="AX84" s="13">
        <v>9337215</v>
      </c>
      <c r="AY84" s="13">
        <v>9337903</v>
      </c>
      <c r="AZ84" s="13">
        <v>9337688</v>
      </c>
      <c r="BA84" s="13">
        <v>9218971</v>
      </c>
      <c r="BB84" s="14"/>
      <c r="BC84" s="13">
        <v>9753962</v>
      </c>
      <c r="BD84" s="13">
        <v>9752724</v>
      </c>
      <c r="BE84" s="13">
        <v>9751781</v>
      </c>
      <c r="BF84" s="13">
        <v>9750839</v>
      </c>
      <c r="BG84" s="13"/>
      <c r="BH84" s="13">
        <v>11502863</v>
      </c>
      <c r="BI84" s="13">
        <v>11494894</v>
      </c>
      <c r="BJ84" s="13">
        <v>11492754</v>
      </c>
      <c r="BK84" s="13">
        <v>11651505</v>
      </c>
      <c r="BL84" s="13"/>
      <c r="BM84" s="13">
        <v>13661648</v>
      </c>
      <c r="BN84" s="14" t="e">
        <f>+BM84-#REF!</f>
        <v>#REF!</v>
      </c>
      <c r="BO84" s="14" t="e">
        <f>+BK84-#REF!</f>
        <v>#REF!</v>
      </c>
      <c r="BQ84" s="2" t="s">
        <v>62</v>
      </c>
    </row>
    <row r="85" spans="2:69" ht="16.5" customHeight="1" x14ac:dyDescent="0.2">
      <c r="B85" s="21" t="s">
        <v>63</v>
      </c>
      <c r="C85" s="23">
        <v>0</v>
      </c>
      <c r="D85" s="23"/>
      <c r="E85" s="23">
        <v>158313</v>
      </c>
      <c r="F85" s="23">
        <v>573250</v>
      </c>
      <c r="G85" s="23">
        <v>678618</v>
      </c>
      <c r="H85" s="23">
        <v>521133</v>
      </c>
      <c r="J85" s="23">
        <v>51649</v>
      </c>
      <c r="K85" s="23">
        <v>293490</v>
      </c>
      <c r="L85" s="23">
        <v>376276</v>
      </c>
      <c r="M85" s="16">
        <v>301000</v>
      </c>
      <c r="N85" s="12">
        <f>326829+1</f>
        <v>326830</v>
      </c>
      <c r="P85" s="13">
        <v>111905</v>
      </c>
      <c r="Q85" s="13">
        <v>105929</v>
      </c>
      <c r="R85" s="13">
        <v>252302</v>
      </c>
      <c r="S85" s="13">
        <v>252150</v>
      </c>
      <c r="T85" s="13">
        <v>389061</v>
      </c>
      <c r="U85" s="13">
        <v>409717</v>
      </c>
      <c r="V85" s="13">
        <v>589466</v>
      </c>
      <c r="X85" s="13">
        <v>120680</v>
      </c>
      <c r="Y85" s="13">
        <v>226494</v>
      </c>
      <c r="Z85" s="13">
        <v>566393</v>
      </c>
      <c r="AA85" s="13">
        <v>610659</v>
      </c>
      <c r="AB85" s="13"/>
      <c r="AC85" s="13">
        <v>109465</v>
      </c>
      <c r="AD85" s="13">
        <v>228574</v>
      </c>
      <c r="AE85" s="13">
        <v>494293</v>
      </c>
      <c r="AF85" s="13">
        <v>671327</v>
      </c>
      <c r="AG85" s="13">
        <v>671327</v>
      </c>
      <c r="AI85" s="13">
        <v>144233</v>
      </c>
      <c r="AJ85" s="13">
        <v>264816</v>
      </c>
      <c r="AK85" s="13">
        <v>566216</v>
      </c>
      <c r="AL85" s="13">
        <v>689565</v>
      </c>
      <c r="AM85" s="18"/>
      <c r="AN85" s="13">
        <v>-32189</v>
      </c>
      <c r="AO85" s="13">
        <v>-22582</v>
      </c>
      <c r="AP85" s="13">
        <v>-15726</v>
      </c>
      <c r="AQ85" s="13">
        <v>-100013</v>
      </c>
      <c r="AR85" s="14"/>
      <c r="AS85" s="13">
        <v>73889</v>
      </c>
      <c r="AT85" s="13">
        <v>285381</v>
      </c>
      <c r="AU85" s="13">
        <v>496760</v>
      </c>
      <c r="AV85" s="13">
        <v>589799</v>
      </c>
      <c r="AW85" s="14"/>
      <c r="AX85" s="13">
        <v>161408</v>
      </c>
      <c r="AY85" s="13">
        <v>390841</v>
      </c>
      <c r="AZ85" s="13">
        <v>582817</v>
      </c>
      <c r="BA85" s="13">
        <v>881424</v>
      </c>
      <c r="BB85" s="14"/>
      <c r="BC85" s="13">
        <v>405958</v>
      </c>
      <c r="BD85" s="13">
        <v>718498</v>
      </c>
      <c r="BE85" s="13">
        <v>908270</v>
      </c>
      <c r="BF85" s="13">
        <v>915503</v>
      </c>
      <c r="BG85" s="13"/>
      <c r="BH85" s="13">
        <v>3790726</v>
      </c>
      <c r="BI85" s="13">
        <v>3979680</v>
      </c>
      <c r="BJ85" s="13">
        <v>4311300</v>
      </c>
      <c r="BK85" s="13">
        <v>4544419</v>
      </c>
      <c r="BL85" s="13"/>
      <c r="BM85" s="13">
        <v>1185798</v>
      </c>
      <c r="BN85" s="14" t="e">
        <f>+BM85-#REF!</f>
        <v>#REF!</v>
      </c>
      <c r="BO85" s="14" t="e">
        <f>+BK85-#REF!</f>
        <v>#REF!</v>
      </c>
      <c r="BP85" s="34" t="e">
        <f>+BM85-#REF!</f>
        <v>#REF!</v>
      </c>
      <c r="BQ85" s="34" t="e">
        <f>+BH85-#REF!</f>
        <v>#REF!</v>
      </c>
    </row>
    <row r="86" spans="2:69" ht="7.5" customHeight="1" x14ac:dyDescent="0.2">
      <c r="B86" s="21"/>
      <c r="C86" s="23"/>
      <c r="D86" s="23"/>
      <c r="E86" s="23"/>
      <c r="F86" s="23"/>
      <c r="G86" s="23"/>
      <c r="H86" s="23"/>
      <c r="J86" s="23"/>
      <c r="K86" s="23"/>
      <c r="L86" s="23"/>
      <c r="M86" s="23"/>
      <c r="N86" s="23"/>
      <c r="P86" s="12"/>
      <c r="Q86" s="12"/>
      <c r="R86" s="12"/>
      <c r="S86" s="12"/>
      <c r="T86" s="12"/>
      <c r="U86" s="12"/>
      <c r="V86" s="12"/>
      <c r="X86" s="12"/>
      <c r="Y86" s="12"/>
      <c r="Z86" s="12"/>
      <c r="AA86" s="12">
        <v>0</v>
      </c>
      <c r="AB86" s="12"/>
      <c r="AC86" s="12"/>
      <c r="AD86" s="12"/>
      <c r="AE86" s="12"/>
      <c r="AF86" s="12"/>
      <c r="AG86" s="12"/>
      <c r="AI86" s="12"/>
      <c r="AJ86" s="12"/>
      <c r="AK86" s="12"/>
      <c r="AL86" s="20"/>
      <c r="AM86" s="18"/>
      <c r="AN86" s="12"/>
      <c r="AO86" s="12"/>
      <c r="AP86" s="12"/>
      <c r="AQ86" s="12"/>
      <c r="AR86" s="14"/>
      <c r="AS86" s="12"/>
      <c r="AT86" s="12"/>
      <c r="AU86" s="12">
        <v>0</v>
      </c>
      <c r="AV86" s="12">
        <v>0</v>
      </c>
      <c r="AW86" s="14"/>
      <c r="AX86" s="12">
        <v>0</v>
      </c>
      <c r="AY86" s="12"/>
      <c r="AZ86" s="12"/>
      <c r="BA86" s="12"/>
      <c r="BB86" s="14"/>
      <c r="BC86" s="12"/>
      <c r="BD86" s="12"/>
      <c r="BE86" s="12"/>
      <c r="BF86" s="12"/>
      <c r="BG86" s="12"/>
      <c r="BH86" s="12"/>
      <c r="BI86" s="12"/>
      <c r="BJ86" s="12"/>
      <c r="BK86" s="12"/>
      <c r="BL86" s="12"/>
      <c r="BM86" s="12"/>
      <c r="BN86" s="14"/>
      <c r="BO86" s="14"/>
    </row>
    <row r="87" spans="2:69" ht="16.5" customHeight="1" x14ac:dyDescent="0.25">
      <c r="B87" s="24" t="s">
        <v>54</v>
      </c>
      <c r="C87" s="35">
        <f>+SUM(C78:C85)+C92</f>
        <v>18983389</v>
      </c>
      <c r="D87" s="35"/>
      <c r="E87" s="35">
        <f>+SUM(E78:E85)+E92</f>
        <v>19568688</v>
      </c>
      <c r="F87" s="35">
        <f>+SUM(F78:F85)+F92</f>
        <v>19721544</v>
      </c>
      <c r="G87" s="35">
        <f>+SUM(G78:G85)+G92</f>
        <v>19940759</v>
      </c>
      <c r="H87" s="35">
        <f>+SUM(H78:H85)+H92</f>
        <v>20387361</v>
      </c>
      <c r="J87" s="35">
        <f>+SUM(J78:J85)+J92</f>
        <v>18909158</v>
      </c>
      <c r="K87" s="35">
        <f>+SUM(K78:K85)+K92</f>
        <v>20047792</v>
      </c>
      <c r="L87" s="35">
        <f>+SUM(L78:L85)+L92</f>
        <v>22304092</v>
      </c>
      <c r="M87" s="35">
        <f>+SUM(M78:M85)+M92</f>
        <v>22889799</v>
      </c>
      <c r="N87" s="35">
        <f>+SUM(N78:N85)+N92</f>
        <v>22974090</v>
      </c>
      <c r="P87" s="36">
        <f t="shared" ref="P87:V87" si="80">+SUM(P78:P85)+P92</f>
        <v>22316545</v>
      </c>
      <c r="Q87" s="36">
        <f t="shared" si="80"/>
        <v>22416574</v>
      </c>
      <c r="R87" s="36">
        <f t="shared" si="80"/>
        <v>22378748</v>
      </c>
      <c r="S87" s="36">
        <f t="shared" si="80"/>
        <v>22482543</v>
      </c>
      <c r="T87" s="36">
        <f t="shared" si="80"/>
        <v>22786490</v>
      </c>
      <c r="U87" s="36">
        <f t="shared" si="80"/>
        <v>22741000</v>
      </c>
      <c r="V87" s="36">
        <f t="shared" si="80"/>
        <v>23634596</v>
      </c>
      <c r="X87" s="36">
        <f>+SUM(X78:X85)+X92</f>
        <v>23135940</v>
      </c>
      <c r="Y87" s="36">
        <f t="shared" ref="Y87:AG87" si="81">+SUM(Y78:Y85)+Y92</f>
        <v>23696395</v>
      </c>
      <c r="Z87" s="36">
        <f t="shared" si="81"/>
        <v>23875786</v>
      </c>
      <c r="AA87" s="36">
        <f t="shared" si="81"/>
        <v>24307148</v>
      </c>
      <c r="AB87" s="36"/>
      <c r="AC87" s="36">
        <f t="shared" si="81"/>
        <v>23594286</v>
      </c>
      <c r="AD87" s="36">
        <f t="shared" si="81"/>
        <v>23888563</v>
      </c>
      <c r="AE87" s="36">
        <f t="shared" si="81"/>
        <v>24279950</v>
      </c>
      <c r="AF87" s="36">
        <f t="shared" si="81"/>
        <v>25572737</v>
      </c>
      <c r="AG87" s="36">
        <f t="shared" si="81"/>
        <v>25572737</v>
      </c>
      <c r="AI87" s="36">
        <f t="shared" ref="AI87:AL87" si="82">+SUM(AI78:AI85)+AI92</f>
        <v>24943947</v>
      </c>
      <c r="AJ87" s="36">
        <f t="shared" si="82"/>
        <v>25179773</v>
      </c>
      <c r="AK87" s="36">
        <f t="shared" si="82"/>
        <v>26633443</v>
      </c>
      <c r="AL87" s="18">
        <f t="shared" si="82"/>
        <v>26490257</v>
      </c>
      <c r="AM87" s="18"/>
      <c r="AN87" s="18">
        <f t="shared" ref="AN87:AZ87" si="83">+SUM(AN78:AN85)+AN92</f>
        <v>27828783</v>
      </c>
      <c r="AO87" s="18">
        <f t="shared" si="83"/>
        <v>26956418</v>
      </c>
      <c r="AP87" s="18">
        <f t="shared" si="83"/>
        <v>27811046</v>
      </c>
      <c r="AQ87" s="18">
        <f t="shared" si="83"/>
        <v>26229851</v>
      </c>
      <c r="AR87" s="14"/>
      <c r="AS87" s="18">
        <f t="shared" si="83"/>
        <v>26797362</v>
      </c>
      <c r="AT87" s="18">
        <f t="shared" si="83"/>
        <v>27485409</v>
      </c>
      <c r="AU87" s="18">
        <f t="shared" si="83"/>
        <v>27820997</v>
      </c>
      <c r="AV87" s="18">
        <f t="shared" si="83"/>
        <v>28806558</v>
      </c>
      <c r="AW87" s="14"/>
      <c r="AX87" s="18">
        <f t="shared" si="83"/>
        <v>28055023</v>
      </c>
      <c r="AY87" s="18">
        <f t="shared" si="83"/>
        <v>29092609</v>
      </c>
      <c r="AZ87" s="18">
        <f t="shared" si="83"/>
        <v>30542913</v>
      </c>
      <c r="BA87" s="18">
        <f t="shared" ref="BA87:BC87" si="84">+SUM(BA78:BA85)+BA92</f>
        <v>32029904</v>
      </c>
      <c r="BB87" s="14"/>
      <c r="BC87" s="18">
        <f t="shared" si="84"/>
        <v>31409244</v>
      </c>
      <c r="BD87" s="18">
        <f t="shared" ref="BD87:BE87" si="85">+SUM(BD78:BD85)+BD92</f>
        <v>29817865</v>
      </c>
      <c r="BE87" s="18">
        <f t="shared" si="85"/>
        <v>29332150</v>
      </c>
      <c r="BF87" s="18">
        <f t="shared" ref="BF87:BH87" si="86">+SUM(BF78:BF85)+BF92</f>
        <v>27789414</v>
      </c>
      <c r="BG87" s="18"/>
      <c r="BH87" s="18">
        <f t="shared" si="86"/>
        <v>31076610</v>
      </c>
      <c r="BI87" s="18">
        <f t="shared" ref="BI87:BK87" si="87">+SUM(BI78:BI85)+BI92</f>
        <v>32489118</v>
      </c>
      <c r="BJ87" s="18">
        <f t="shared" si="87"/>
        <v>32431416</v>
      </c>
      <c r="BK87" s="18">
        <f t="shared" si="87"/>
        <v>32555069</v>
      </c>
      <c r="BL87" s="18"/>
      <c r="BM87" s="18">
        <f t="shared" ref="BM87" si="88">+SUM(BM78:BM85)+BM92</f>
        <v>32588112</v>
      </c>
      <c r="BN87" s="14" t="e">
        <f>+BM87-#REF!</f>
        <v>#REF!</v>
      </c>
      <c r="BO87" s="14" t="e">
        <f>+BK87-#REF!</f>
        <v>#REF!</v>
      </c>
    </row>
    <row r="88" spans="2:69" ht="7.5" customHeight="1" x14ac:dyDescent="0.25">
      <c r="C88" s="10"/>
      <c r="D88" s="10"/>
      <c r="J88" s="10"/>
      <c r="K88" s="10"/>
      <c r="L88" s="10"/>
      <c r="M88" s="10"/>
      <c r="N88" s="10"/>
      <c r="P88" s="10"/>
      <c r="Q88" s="10"/>
      <c r="R88" s="10"/>
      <c r="S88" s="10"/>
      <c r="T88" s="10"/>
      <c r="U88" s="10"/>
      <c r="V88" s="10"/>
      <c r="X88" s="10"/>
      <c r="Y88" s="10"/>
      <c r="Z88" s="10"/>
      <c r="AA88" s="10"/>
      <c r="AB88" s="10"/>
      <c r="AC88" s="10"/>
      <c r="AD88" s="10"/>
      <c r="AE88" s="10"/>
      <c r="AF88" s="10"/>
      <c r="AG88" s="10"/>
      <c r="AI88" s="10"/>
      <c r="AJ88" s="10"/>
      <c r="AK88" s="10"/>
      <c r="AL88" s="18"/>
      <c r="AM88" s="30"/>
      <c r="AN88" s="10"/>
      <c r="AO88" s="10"/>
      <c r="AP88" s="10"/>
      <c r="AQ88" s="10"/>
      <c r="AR88" s="14"/>
      <c r="AS88" s="10"/>
      <c r="AT88" s="10"/>
      <c r="AU88" s="10"/>
      <c r="AV88" s="10"/>
      <c r="AW88" s="14"/>
      <c r="AX88" s="10"/>
      <c r="AY88" s="10"/>
      <c r="AZ88" s="10"/>
      <c r="BA88" s="10"/>
      <c r="BB88" s="14"/>
      <c r="BC88" s="10"/>
      <c r="BD88" s="10"/>
      <c r="BE88" s="10"/>
      <c r="BF88" s="10"/>
      <c r="BG88" s="10"/>
      <c r="BH88" s="10"/>
      <c r="BI88" s="10"/>
      <c r="BJ88" s="10"/>
      <c r="BK88" s="10"/>
      <c r="BL88" s="10"/>
      <c r="BM88" s="10"/>
      <c r="BN88" s="14"/>
      <c r="BO88" s="14"/>
    </row>
    <row r="89" spans="2:69" x14ac:dyDescent="0.25">
      <c r="B89" s="24" t="s">
        <v>64</v>
      </c>
      <c r="C89" s="25">
        <f>+SUM(C78:C85)</f>
        <v>13100502</v>
      </c>
      <c r="D89" s="25"/>
      <c r="E89" s="25">
        <f>+SUM(E78:E85)</f>
        <v>13726788</v>
      </c>
      <c r="F89" s="25">
        <f>+SUM(F78:F85)</f>
        <v>13891872</v>
      </c>
      <c r="G89" s="25">
        <f>+SUM(G78:G85)</f>
        <v>14003814</v>
      </c>
      <c r="H89" s="25">
        <f>+SUM(H78:H85)</f>
        <v>14226700</v>
      </c>
      <c r="J89" s="25">
        <f>+SUM(J78:J85)</f>
        <v>13390357</v>
      </c>
      <c r="K89" s="25">
        <f>+SUM(K78:K85)</f>
        <v>14105728</v>
      </c>
      <c r="L89" s="25">
        <f>+SUM(L78:L85)</f>
        <v>14821391</v>
      </c>
      <c r="M89" s="25">
        <f>+SUM(M78:M85)</f>
        <v>14792611</v>
      </c>
      <c r="N89" s="25">
        <f>+SUM(N78:N85)</f>
        <v>14929946</v>
      </c>
      <c r="P89" s="18">
        <f t="shared" ref="P89:V89" si="89">+SUM(P78:P85)</f>
        <v>14520874</v>
      </c>
      <c r="Q89" s="18">
        <f t="shared" si="89"/>
        <v>14671849</v>
      </c>
      <c r="R89" s="18">
        <f t="shared" si="89"/>
        <v>14464114</v>
      </c>
      <c r="S89" s="18">
        <f t="shared" si="89"/>
        <v>14617532</v>
      </c>
      <c r="T89" s="18">
        <f t="shared" si="89"/>
        <v>14600254</v>
      </c>
      <c r="U89" s="18">
        <f t="shared" si="89"/>
        <v>14749544</v>
      </c>
      <c r="V89" s="18">
        <f t="shared" si="89"/>
        <v>15606828</v>
      </c>
      <c r="X89" s="18">
        <f>+SUM(X78:X85)</f>
        <v>15294463</v>
      </c>
      <c r="Y89" s="18">
        <f t="shared" ref="Y89:AG89" si="90">+SUM(Y78:Y85)</f>
        <v>15617521</v>
      </c>
      <c r="Z89" s="18">
        <f t="shared" si="90"/>
        <v>15789499</v>
      </c>
      <c r="AA89" s="18">
        <f t="shared" si="90"/>
        <v>16046107</v>
      </c>
      <c r="AB89" s="18"/>
      <c r="AC89" s="18">
        <f t="shared" si="90"/>
        <v>15443125</v>
      </c>
      <c r="AD89" s="18">
        <f t="shared" si="90"/>
        <v>15508372</v>
      </c>
      <c r="AE89" s="18">
        <f t="shared" si="90"/>
        <v>15706473</v>
      </c>
      <c r="AF89" s="18">
        <f t="shared" si="90"/>
        <v>16425891</v>
      </c>
      <c r="AG89" s="18">
        <f t="shared" si="90"/>
        <v>16425891</v>
      </c>
      <c r="AI89" s="18">
        <f t="shared" ref="AI89:AL89" si="91">+SUM(AI78:AI85)</f>
        <v>16272778</v>
      </c>
      <c r="AJ89" s="18">
        <f t="shared" si="91"/>
        <v>16409848</v>
      </c>
      <c r="AK89" s="18">
        <f t="shared" si="91"/>
        <v>17238558</v>
      </c>
      <c r="AL89" s="18">
        <f t="shared" si="91"/>
        <v>16833286</v>
      </c>
      <c r="AM89" s="20"/>
      <c r="AN89" s="18">
        <f t="shared" ref="AN89:AQ89" si="92">+SUM(AN78:AN85)</f>
        <v>17487784</v>
      </c>
      <c r="AO89" s="18">
        <f t="shared" si="92"/>
        <v>17007450</v>
      </c>
      <c r="AP89" s="18">
        <f t="shared" si="92"/>
        <v>17522824</v>
      </c>
      <c r="AQ89" s="18">
        <f t="shared" si="92"/>
        <v>16648241</v>
      </c>
      <c r="AR89" s="14"/>
      <c r="AS89" s="18">
        <f t="shared" ref="AS89:AV89" si="93">+SUM(AS78:AS85)</f>
        <v>17039599</v>
      </c>
      <c r="AT89" s="18">
        <f t="shared" si="93"/>
        <v>17452486</v>
      </c>
      <c r="AU89" s="18">
        <f t="shared" si="93"/>
        <v>17617270</v>
      </c>
      <c r="AV89" s="18">
        <f t="shared" si="93"/>
        <v>18456240</v>
      </c>
      <c r="AW89" s="14"/>
      <c r="AX89" s="18">
        <f t="shared" ref="AX89:AZ89" si="94">+SUM(AX78:AX85)</f>
        <v>18638697</v>
      </c>
      <c r="AY89" s="18">
        <f t="shared" si="94"/>
        <v>19295855</v>
      </c>
      <c r="AZ89" s="18">
        <f t="shared" si="94"/>
        <v>20071119</v>
      </c>
      <c r="BA89" s="18">
        <f t="shared" ref="BA89:BC89" si="95">+SUM(BA78:BA85)</f>
        <v>21051281</v>
      </c>
      <c r="BB89" s="14"/>
      <c r="BC89" s="18">
        <f t="shared" si="95"/>
        <v>20993693</v>
      </c>
      <c r="BD89" s="18">
        <f t="shared" ref="BD89:BE89" si="96">+SUM(BD78:BD85)</f>
        <v>20161696</v>
      </c>
      <c r="BE89" s="18">
        <f t="shared" si="96"/>
        <v>19733207</v>
      </c>
      <c r="BF89" s="18">
        <f t="shared" ref="BF89:BH89" si="97">+SUM(BF78:BF85)</f>
        <v>18886930</v>
      </c>
      <c r="BG89" s="18"/>
      <c r="BH89" s="18">
        <f t="shared" si="97"/>
        <v>20752213</v>
      </c>
      <c r="BI89" s="18">
        <f t="shared" ref="BI89:BK89" si="98">+SUM(BI78:BI85)</f>
        <v>21934039</v>
      </c>
      <c r="BJ89" s="18">
        <f t="shared" si="98"/>
        <v>22046523</v>
      </c>
      <c r="BK89" s="18">
        <f t="shared" si="98"/>
        <v>21776671</v>
      </c>
      <c r="BL89" s="18"/>
      <c r="BM89" s="18">
        <f t="shared" ref="BM89" si="99">+SUM(BM78:BM85)</f>
        <v>21934422</v>
      </c>
      <c r="BN89" s="14" t="e">
        <f>+BM89-SUM(#REF!)</f>
        <v>#REF!</v>
      </c>
      <c r="BO89" s="14" t="e">
        <f>+BK89-SUM(#REF!)</f>
        <v>#REF!</v>
      </c>
    </row>
    <row r="90" spans="2:69" x14ac:dyDescent="0.25">
      <c r="B90" s="27" t="s">
        <v>35</v>
      </c>
      <c r="C90" s="28">
        <f>+C89/C95</f>
        <v>6798.9921269650149</v>
      </c>
      <c r="D90" s="28"/>
      <c r="E90" s="28">
        <f>+E89/E95</f>
        <v>6984.5053222884826</v>
      </c>
      <c r="F90" s="28">
        <f>+F89/F95</f>
        <v>7384.6193101175322</v>
      </c>
      <c r="G90" s="28">
        <f>+G89/G95</f>
        <v>6903.5997397065785</v>
      </c>
      <c r="H90" s="28">
        <f>+H89/H95</f>
        <v>5946.4735042592147</v>
      </c>
      <c r="J90" s="28">
        <f>+J89/J95</f>
        <v>5198.019060189049</v>
      </c>
      <c r="K90" s="28">
        <f>+K89/K95</f>
        <v>5456.5291225518449</v>
      </c>
      <c r="L90" s="28">
        <f>+L89/L95</f>
        <v>4747.4938659935806</v>
      </c>
      <c r="M90" s="28">
        <f>+M89/M95</f>
        <v>4696.8572489974504</v>
      </c>
      <c r="N90" s="28">
        <f>+N89/N95</f>
        <v>4740.4629985362617</v>
      </c>
      <c r="P90" s="30">
        <f t="shared" ref="P90:V90" si="100">+P89/P95</f>
        <v>4804.4978245405064</v>
      </c>
      <c r="Q90" s="30">
        <f t="shared" si="100"/>
        <v>4854.4506757986337</v>
      </c>
      <c r="R90" s="30">
        <f t="shared" si="100"/>
        <v>4960.0034291788834</v>
      </c>
      <c r="S90" s="30">
        <f t="shared" si="100"/>
        <v>5012.6132057678788</v>
      </c>
      <c r="T90" s="30">
        <f t="shared" si="100"/>
        <v>5069.6206531363396</v>
      </c>
      <c r="U90" s="30">
        <f t="shared" si="100"/>
        <v>5121.4583586520603</v>
      </c>
      <c r="V90" s="30">
        <f t="shared" si="100"/>
        <v>5201.0450859963139</v>
      </c>
      <c r="X90" s="30">
        <f>+X89/X95</f>
        <v>5310.1349193122796</v>
      </c>
      <c r="Y90" s="30">
        <f t="shared" ref="Y90:AA90" si="101">+Y89/Y95</f>
        <v>5140.2845707740607</v>
      </c>
      <c r="Z90" s="30">
        <f t="shared" si="101"/>
        <v>5376.6677903884329</v>
      </c>
      <c r="AA90" s="30">
        <f t="shared" si="101"/>
        <v>5377.3817024128684</v>
      </c>
      <c r="AB90" s="30"/>
      <c r="AC90" s="30">
        <f t="shared" ref="AC90:AG90" si="102">+AC89/AC95</f>
        <v>5554.1419256456647</v>
      </c>
      <c r="AD90" s="30">
        <f t="shared" si="102"/>
        <v>5291.5149447249896</v>
      </c>
      <c r="AE90" s="30">
        <f t="shared" si="102"/>
        <v>5284.4958919042592</v>
      </c>
      <c r="AF90" s="30">
        <f t="shared" si="102"/>
        <v>5054.5091160858528</v>
      </c>
      <c r="AG90" s="30">
        <f t="shared" si="102"/>
        <v>5054.5091160858528</v>
      </c>
      <c r="AI90" s="30">
        <f t="shared" ref="AI90:AL90" si="103">+AI89/AI95</f>
        <v>5125.6234270613177</v>
      </c>
      <c r="AJ90" s="30">
        <f t="shared" si="103"/>
        <v>5119.0072590129366</v>
      </c>
      <c r="AK90" s="30">
        <f t="shared" si="103"/>
        <v>4979.3495686032102</v>
      </c>
      <c r="AL90" s="30">
        <f t="shared" si="103"/>
        <v>5136.5782359008163</v>
      </c>
      <c r="AM90" s="30"/>
      <c r="AN90" s="30">
        <f t="shared" ref="AN90:AQ90" si="104">+AN89/AN95</f>
        <v>4302.2389730393306</v>
      </c>
      <c r="AO90" s="30">
        <f t="shared" si="104"/>
        <v>4524.5696225767579</v>
      </c>
      <c r="AP90" s="30">
        <f t="shared" si="104"/>
        <v>4517.4258947031922</v>
      </c>
      <c r="AQ90" s="30">
        <f t="shared" si="104"/>
        <v>4850.1794610342313</v>
      </c>
      <c r="AR90" s="14"/>
      <c r="AS90" s="30">
        <f t="shared" ref="AS90:AV90" si="105">+AS89/AS95</f>
        <v>4559.8098428915873</v>
      </c>
      <c r="AT90" s="30">
        <f t="shared" si="105"/>
        <v>4645.7330561374838</v>
      </c>
      <c r="AU90" s="30">
        <f t="shared" si="105"/>
        <v>4594.1956043268283</v>
      </c>
      <c r="AV90" s="30">
        <f t="shared" si="105"/>
        <v>4635.8950657597288</v>
      </c>
      <c r="AW90" s="14"/>
      <c r="AX90" s="30">
        <f t="shared" ref="AX90:AZ90" si="106">+AX89/AX95</f>
        <v>4972.7724344009712</v>
      </c>
      <c r="AY90" s="30">
        <f t="shared" si="106"/>
        <v>4674.9837067259114</v>
      </c>
      <c r="AZ90" s="30">
        <f t="shared" si="106"/>
        <v>4428.686891420477</v>
      </c>
      <c r="BA90" s="30">
        <f t="shared" ref="BA90:BC90" si="107">+BA89/BA95</f>
        <v>4376.3837262483894</v>
      </c>
      <c r="BB90" s="14"/>
      <c r="BC90" s="30">
        <f t="shared" si="107"/>
        <v>4536.9500807171398</v>
      </c>
      <c r="BD90" s="30">
        <f t="shared" ref="BD90:BE90" si="108">+BD89/BD95</f>
        <v>4810.3910977076221</v>
      </c>
      <c r="BE90" s="30">
        <f t="shared" si="108"/>
        <v>4867.8774767129771</v>
      </c>
      <c r="BF90" s="30">
        <f t="shared" ref="BF90:BH90" si="109">+BF89/BF95</f>
        <v>4941.5706230949354</v>
      </c>
      <c r="BG90" s="30"/>
      <c r="BH90" s="30">
        <f t="shared" si="109"/>
        <v>5400.9871691434819</v>
      </c>
      <c r="BI90" s="30">
        <f t="shared" ref="BI90:BK90" si="110">+BI89/BI95</f>
        <v>5287.8079767793943</v>
      </c>
      <c r="BJ90" s="30">
        <f t="shared" si="110"/>
        <v>5294.2870316338513</v>
      </c>
      <c r="BK90" s="30">
        <f t="shared" si="110"/>
        <v>4938.9725910889856</v>
      </c>
      <c r="BL90" s="30"/>
      <c r="BM90" s="30">
        <f t="shared" ref="BM90" si="111">+BM89/BM95</f>
        <v>5231.7366197821384</v>
      </c>
      <c r="BN90" s="14"/>
      <c r="BO90" s="14"/>
    </row>
    <row r="91" spans="2:69" x14ac:dyDescent="0.25">
      <c r="C91" s="10"/>
      <c r="D91" s="10"/>
      <c r="J91" s="10"/>
      <c r="K91" s="10"/>
      <c r="L91" s="10"/>
      <c r="M91" s="10"/>
      <c r="N91" s="10"/>
      <c r="P91" s="10"/>
      <c r="Q91" s="10"/>
      <c r="R91" s="10"/>
      <c r="S91" s="10"/>
      <c r="T91" s="10"/>
      <c r="U91" s="10"/>
      <c r="V91" s="10"/>
      <c r="X91" s="10"/>
      <c r="Y91" s="10"/>
      <c r="Z91" s="10"/>
      <c r="AA91" s="10"/>
      <c r="AB91" s="10"/>
      <c r="AC91" s="10"/>
      <c r="AD91" s="10"/>
      <c r="AE91" s="10"/>
      <c r="AF91" s="10"/>
      <c r="AG91" s="10"/>
      <c r="AI91" s="10"/>
      <c r="AJ91" s="10"/>
      <c r="AK91" s="10"/>
      <c r="AL91" s="10"/>
      <c r="AM91" s="18"/>
      <c r="AN91" s="10"/>
      <c r="AO91" s="10"/>
      <c r="AP91" s="10"/>
      <c r="AQ91" s="10"/>
      <c r="AR91" s="14"/>
      <c r="AS91" s="10"/>
      <c r="AT91" s="10"/>
      <c r="AU91" s="10"/>
      <c r="AV91" s="10"/>
      <c r="AW91" s="14"/>
      <c r="AX91" s="10"/>
      <c r="AY91" s="10"/>
      <c r="AZ91" s="10"/>
      <c r="BA91" s="10"/>
      <c r="BB91" s="14"/>
      <c r="BC91" s="10"/>
      <c r="BD91" s="10"/>
      <c r="BE91" s="10"/>
      <c r="BF91" s="10"/>
      <c r="BG91" s="10"/>
      <c r="BH91" s="10"/>
      <c r="BI91" s="10"/>
      <c r="BJ91" s="10"/>
      <c r="BK91" s="10"/>
      <c r="BL91" s="10"/>
      <c r="BM91" s="10"/>
      <c r="BN91" s="14"/>
      <c r="BO91" s="14"/>
    </row>
    <row r="92" spans="2:69" ht="21" customHeight="1" x14ac:dyDescent="0.25">
      <c r="B92" s="24" t="s">
        <v>65</v>
      </c>
      <c r="C92" s="25">
        <v>5882887</v>
      </c>
      <c r="D92" s="25"/>
      <c r="E92" s="25">
        <v>5841900</v>
      </c>
      <c r="F92" s="25">
        <v>5829672</v>
      </c>
      <c r="G92" s="25">
        <v>5936945</v>
      </c>
      <c r="H92" s="25">
        <v>6160661</v>
      </c>
      <c r="J92" s="25">
        <v>5518801</v>
      </c>
      <c r="K92" s="25">
        <v>5942064</v>
      </c>
      <c r="L92" s="25">
        <v>7482701</v>
      </c>
      <c r="M92" s="25">
        <v>8097188</v>
      </c>
      <c r="N92" s="25">
        <v>8044144</v>
      </c>
      <c r="P92" s="18">
        <v>7795671</v>
      </c>
      <c r="Q92" s="18">
        <v>7744725</v>
      </c>
      <c r="R92" s="18">
        <v>7914634</v>
      </c>
      <c r="S92" s="18">
        <v>7865011</v>
      </c>
      <c r="T92" s="18">
        <v>8186236</v>
      </c>
      <c r="U92" s="18">
        <v>7991456</v>
      </c>
      <c r="V92" s="18">
        <v>8027768</v>
      </c>
      <c r="X92" s="18">
        <v>7841477</v>
      </c>
      <c r="Y92" s="18">
        <v>8078874</v>
      </c>
      <c r="Z92" s="18">
        <v>8086287</v>
      </c>
      <c r="AA92" s="18">
        <v>8261041</v>
      </c>
      <c r="AB92" s="18"/>
      <c r="AC92" s="18">
        <v>8151161</v>
      </c>
      <c r="AD92" s="18">
        <v>8380191</v>
      </c>
      <c r="AE92" s="18">
        <v>8573477</v>
      </c>
      <c r="AF92" s="18">
        <v>9146846</v>
      </c>
      <c r="AG92" s="18">
        <v>9146846</v>
      </c>
      <c r="AI92" s="18">
        <v>8671169</v>
      </c>
      <c r="AJ92" s="18">
        <v>8769925</v>
      </c>
      <c r="AK92" s="18">
        <v>9394885</v>
      </c>
      <c r="AL92" s="18">
        <v>9656971</v>
      </c>
      <c r="AM92" s="18"/>
      <c r="AN92" s="18">
        <v>10340999</v>
      </c>
      <c r="AO92" s="18">
        <v>9948968</v>
      </c>
      <c r="AP92" s="18">
        <v>10288222</v>
      </c>
      <c r="AQ92" s="18">
        <v>9581610</v>
      </c>
      <c r="AR92" s="14"/>
      <c r="AS92" s="18">
        <v>9757763</v>
      </c>
      <c r="AT92" s="18">
        <v>10032923</v>
      </c>
      <c r="AU92" s="18">
        <v>10203727</v>
      </c>
      <c r="AV92" s="18">
        <v>10350318</v>
      </c>
      <c r="AW92" s="14"/>
      <c r="AX92" s="18">
        <v>9416326</v>
      </c>
      <c r="AY92" s="18">
        <v>9796754</v>
      </c>
      <c r="AZ92" s="18">
        <v>10471794</v>
      </c>
      <c r="BA92" s="18">
        <v>10978623</v>
      </c>
      <c r="BB92" s="14"/>
      <c r="BC92" s="18">
        <v>10415551</v>
      </c>
      <c r="BD92" s="18">
        <v>9656169</v>
      </c>
      <c r="BE92" s="18">
        <v>9598943</v>
      </c>
      <c r="BF92" s="18">
        <v>8902484</v>
      </c>
      <c r="BG92" s="18"/>
      <c r="BH92" s="18">
        <v>10324397</v>
      </c>
      <c r="BI92" s="18">
        <v>10555079</v>
      </c>
      <c r="BJ92" s="18">
        <v>10384893</v>
      </c>
      <c r="BK92" s="18">
        <v>10778398</v>
      </c>
      <c r="BL92" s="18"/>
      <c r="BM92" s="18">
        <v>10653690</v>
      </c>
      <c r="BN92" s="14" t="e">
        <f>+BM92-#REF!</f>
        <v>#REF!</v>
      </c>
      <c r="BO92" s="14" t="e">
        <f>+BK92-#REF!</f>
        <v>#REF!</v>
      </c>
    </row>
    <row r="93" spans="2:69" x14ac:dyDescent="0.25">
      <c r="B93" s="27" t="s">
        <v>35</v>
      </c>
      <c r="C93" s="28">
        <f>+C92/C95</f>
        <v>3053.1427266546607</v>
      </c>
      <c r="D93" s="28"/>
      <c r="E93" s="28">
        <f>+E92/E95</f>
        <v>2972.493029125028</v>
      </c>
      <c r="F93" s="28">
        <f>+F92/F95</f>
        <v>3098.9278063353513</v>
      </c>
      <c r="G93" s="28">
        <f>+G92/G95</f>
        <v>2926.7949400536363</v>
      </c>
      <c r="H93" s="28">
        <f>+H92/H95</f>
        <v>2575.0319754562252</v>
      </c>
      <c r="J93" s="28">
        <f>+J92/J95</f>
        <v>2142.3501096640202</v>
      </c>
      <c r="K93" s="28">
        <f>+K92/K95</f>
        <v>2298.5729814205197</v>
      </c>
      <c r="L93" s="28">
        <f>+L92/L95</f>
        <v>2396.8112776030289</v>
      </c>
      <c r="M93" s="28">
        <f>+M92/M95</f>
        <v>2570.9684486596161</v>
      </c>
      <c r="N93" s="28">
        <f>+N92/N95</f>
        <v>2554.1262498134606</v>
      </c>
      <c r="P93" s="30">
        <f t="shared" ref="P93:V93" si="112">+P92/P95</f>
        <v>2579.3409102188693</v>
      </c>
      <c r="Q93" s="30">
        <f t="shared" si="112"/>
        <v>2562.4844905454365</v>
      </c>
      <c r="R93" s="30">
        <f t="shared" si="112"/>
        <v>2714.0695780395386</v>
      </c>
      <c r="S93" s="30">
        <f t="shared" si="112"/>
        <v>2697.0529636678498</v>
      </c>
      <c r="T93" s="30">
        <f t="shared" si="112"/>
        <v>2842.4924043820206</v>
      </c>
      <c r="U93" s="30">
        <f t="shared" si="112"/>
        <v>2774.8592857514891</v>
      </c>
      <c r="V93" s="30">
        <f t="shared" si="112"/>
        <v>2675.2895148148273</v>
      </c>
      <c r="X93" s="30">
        <f>+X92/X95</f>
        <v>2722.508193761631</v>
      </c>
      <c r="Y93" s="30">
        <f t="shared" ref="Y93:AG93" si="113">+Y92/Y95</f>
        <v>2659.0462962353449</v>
      </c>
      <c r="Z93" s="30">
        <f t="shared" si="113"/>
        <v>2753.5565793909427</v>
      </c>
      <c r="AA93" s="30">
        <f t="shared" si="113"/>
        <v>2768.4453753351208</v>
      </c>
      <c r="AB93" s="30"/>
      <c r="AC93" s="30">
        <f t="shared" si="113"/>
        <v>2931.5766758857317</v>
      </c>
      <c r="AD93" s="30">
        <f t="shared" si="113"/>
        <v>2859.3527364542101</v>
      </c>
      <c r="AE93" s="30">
        <f t="shared" si="113"/>
        <v>2884.5752949013859</v>
      </c>
      <c r="AF93" s="30">
        <f t="shared" si="113"/>
        <v>2814.6306638972228</v>
      </c>
      <c r="AG93" s="30">
        <f t="shared" si="113"/>
        <v>2814.6306638972228</v>
      </c>
      <c r="AI93" s="30">
        <f t="shared" ref="AI93:AL93" si="114">+AI92/AI95</f>
        <v>2731.2575004960959</v>
      </c>
      <c r="AJ93" s="30">
        <f t="shared" si="114"/>
        <v>2735.7541481188018</v>
      </c>
      <c r="AK93" s="30">
        <f t="shared" si="114"/>
        <v>2713.70822152449</v>
      </c>
      <c r="AL93" s="30">
        <f t="shared" si="114"/>
        <v>2946.7679134855393</v>
      </c>
      <c r="AM93" s="18"/>
      <c r="AN93" s="30">
        <f t="shared" ref="AN93:AQ93" si="115">+AN92/AN95</f>
        <v>2544.0301022680028</v>
      </c>
      <c r="AO93" s="30">
        <f t="shared" si="115"/>
        <v>2646.7694092170336</v>
      </c>
      <c r="AP93" s="30">
        <f t="shared" si="115"/>
        <v>2652.3282133778816</v>
      </c>
      <c r="AQ93" s="30">
        <f t="shared" si="115"/>
        <v>2791.4377276037872</v>
      </c>
      <c r="AR93" s="14"/>
      <c r="AS93" s="30">
        <f t="shared" ref="AS93:AV93" si="116">+AS92/AS95</f>
        <v>2611.184909457279</v>
      </c>
      <c r="AT93" s="30">
        <f t="shared" si="116"/>
        <v>2670.6958556381051</v>
      </c>
      <c r="AU93" s="30">
        <f t="shared" si="116"/>
        <v>2660.90703787539</v>
      </c>
      <c r="AV93" s="30">
        <f t="shared" si="116"/>
        <v>2599.8246742155552</v>
      </c>
      <c r="AW93" s="14"/>
      <c r="AX93" s="30">
        <f t="shared" ref="AX93:AZ93" si="117">+AX92/AX95</f>
        <v>2512.2596480930592</v>
      </c>
      <c r="AY93" s="30">
        <f t="shared" si="117"/>
        <v>2373.5494140478304</v>
      </c>
      <c r="AZ93" s="30">
        <f t="shared" si="117"/>
        <v>2310.5984682496078</v>
      </c>
      <c r="BA93" s="30">
        <f t="shared" ref="BA93:BC93" si="118">+BA92/BA95</f>
        <v>2282.3631034052637</v>
      </c>
      <c r="BB93" s="14"/>
      <c r="BC93" s="30">
        <f t="shared" si="118"/>
        <v>2250.9062579015272</v>
      </c>
      <c r="BD93" s="30">
        <f t="shared" ref="BD93:BE93" si="119">+BD92/BD95</f>
        <v>2303.8711324464125</v>
      </c>
      <c r="BE93" s="30">
        <f t="shared" si="119"/>
        <v>2367.9110258130722</v>
      </c>
      <c r="BF93" s="30">
        <f t="shared" ref="BF93:BH93" si="120">+BF92/BF95</f>
        <v>2329.2432071793933</v>
      </c>
      <c r="BG93" s="30"/>
      <c r="BH93" s="30">
        <f t="shared" si="120"/>
        <v>2687.0356297009603</v>
      </c>
      <c r="BI93" s="30">
        <f t="shared" ref="BI93:BK93" si="121">+BI92/BI95</f>
        <v>2544.5943144231974</v>
      </c>
      <c r="BJ93" s="30">
        <f t="shared" si="121"/>
        <v>2493.8446908297133</v>
      </c>
      <c r="BK93" s="30">
        <f t="shared" si="121"/>
        <v>2444.5523513602398</v>
      </c>
      <c r="BL93" s="30"/>
      <c r="BM93" s="30">
        <f t="shared" ref="BM93" si="122">+BM92/BM95</f>
        <v>2541.0881631075931</v>
      </c>
      <c r="BN93" s="14"/>
      <c r="BO93" s="14"/>
    </row>
    <row r="94" spans="2:69" ht="16.5" customHeight="1" x14ac:dyDescent="0.25">
      <c r="C94" s="10"/>
      <c r="D94" s="10"/>
      <c r="K94" s="37"/>
      <c r="AR94" s="14"/>
      <c r="AW94" s="14"/>
      <c r="BB94" s="14"/>
      <c r="BN94" s="14"/>
      <c r="BO94" s="14"/>
    </row>
    <row r="95" spans="2:69" ht="16.5" customHeight="1" x14ac:dyDescent="0.25">
      <c r="B95" s="2" t="s">
        <v>66</v>
      </c>
      <c r="C95" s="38">
        <v>1926.83</v>
      </c>
      <c r="D95" s="38"/>
      <c r="E95" s="38">
        <v>1965.32</v>
      </c>
      <c r="F95" s="38">
        <v>1881.19</v>
      </c>
      <c r="G95" s="38">
        <v>2028.48</v>
      </c>
      <c r="H95" s="38">
        <v>2392.46</v>
      </c>
      <c r="I95" s="39"/>
      <c r="J95" s="37">
        <v>2576.0500000000002</v>
      </c>
      <c r="K95" s="37">
        <v>2585.11</v>
      </c>
      <c r="L95" s="40">
        <v>3121.94</v>
      </c>
      <c r="M95" s="40">
        <v>3149.47</v>
      </c>
      <c r="N95" s="40">
        <v>3149.47</v>
      </c>
      <c r="P95" s="41">
        <v>3022.35</v>
      </c>
      <c r="Q95" s="41">
        <v>3022.35</v>
      </c>
      <c r="R95" s="41">
        <v>2916.15</v>
      </c>
      <c r="S95" s="41">
        <v>2916.15</v>
      </c>
      <c r="T95" s="41">
        <v>2879.95</v>
      </c>
      <c r="U95" s="41">
        <v>2879.95</v>
      </c>
      <c r="V95" s="41">
        <v>3000.71</v>
      </c>
      <c r="X95" s="41">
        <v>2880.24</v>
      </c>
      <c r="Y95" s="41">
        <v>3038.26</v>
      </c>
      <c r="Z95" s="41">
        <v>2936.67</v>
      </c>
      <c r="AA95" s="41">
        <v>2984</v>
      </c>
      <c r="AB95" s="41"/>
      <c r="AC95" s="41">
        <v>2780.47</v>
      </c>
      <c r="AD95" s="41">
        <v>2930.8</v>
      </c>
      <c r="AE95" s="41">
        <v>2972.18</v>
      </c>
      <c r="AF95" s="41">
        <v>3249.75</v>
      </c>
      <c r="AG95" s="41">
        <v>3249.75</v>
      </c>
      <c r="AI95" s="41">
        <v>3174.79</v>
      </c>
      <c r="AJ95" s="41">
        <v>3205.67</v>
      </c>
      <c r="AK95" s="41">
        <v>3462.01</v>
      </c>
      <c r="AL95" s="41">
        <v>3277.14</v>
      </c>
      <c r="AM95" s="41"/>
      <c r="AN95" s="41">
        <v>4064.81</v>
      </c>
      <c r="AO95" s="41">
        <v>3758.91</v>
      </c>
      <c r="AP95" s="41">
        <v>3878.94</v>
      </c>
      <c r="AQ95" s="41">
        <v>3432.5</v>
      </c>
      <c r="AR95" s="14"/>
      <c r="AS95" s="41">
        <v>3736.91</v>
      </c>
      <c r="AT95" s="41">
        <v>3756.67</v>
      </c>
      <c r="AU95" s="41">
        <v>3834.68</v>
      </c>
      <c r="AV95" s="41">
        <v>3981.16</v>
      </c>
      <c r="AW95" s="14"/>
      <c r="AX95" s="41">
        <v>3748.15</v>
      </c>
      <c r="AY95" s="41">
        <v>4127.47</v>
      </c>
      <c r="AZ95" s="41">
        <v>4532.07</v>
      </c>
      <c r="BA95" s="41">
        <v>4810.2</v>
      </c>
      <c r="BB95" s="14"/>
      <c r="BC95" s="41">
        <v>4627.2700000000004</v>
      </c>
      <c r="BD95" s="203">
        <v>4191.28</v>
      </c>
      <c r="BE95" s="203">
        <v>4053.76</v>
      </c>
      <c r="BF95" s="203">
        <v>3822.05</v>
      </c>
      <c r="BG95" s="249"/>
      <c r="BH95" s="203">
        <v>3842.3</v>
      </c>
      <c r="BI95" s="203">
        <v>4148.04</v>
      </c>
      <c r="BJ95" s="203">
        <v>4164.21</v>
      </c>
      <c r="BK95" s="203">
        <v>4409.1499999999996</v>
      </c>
      <c r="BL95" s="249"/>
      <c r="BM95" s="203">
        <v>4192.57</v>
      </c>
      <c r="BN95" s="14" t="e">
        <f>+BM95-#REF!</f>
        <v>#REF!</v>
      </c>
      <c r="BO95" s="14" t="e">
        <f>+BK95-#REF!</f>
        <v>#REF!</v>
      </c>
    </row>
    <row r="96" spans="2:69" ht="16.5" customHeight="1" x14ac:dyDescent="0.25">
      <c r="C96" s="10"/>
      <c r="D96" s="10"/>
      <c r="K96" s="37"/>
    </row>
    <row r="97" spans="2:65" ht="16.5" customHeight="1" x14ac:dyDescent="0.25">
      <c r="C97" s="10"/>
      <c r="D97" s="10"/>
      <c r="E97" s="42"/>
      <c r="K97" s="37"/>
    </row>
    <row r="98" spans="2:65" ht="16.5" customHeight="1" x14ac:dyDescent="0.25">
      <c r="C98" s="10"/>
      <c r="D98" s="10"/>
      <c r="K98" s="37"/>
    </row>
    <row r="99" spans="2:65" ht="16.5" customHeight="1" x14ac:dyDescent="0.25">
      <c r="C99" s="38">
        <f>+C37-C70-C73</f>
        <v>0</v>
      </c>
      <c r="D99" s="38"/>
      <c r="E99" s="38">
        <f t="shared" ref="E99:H100" si="123">+E37-E70-E73</f>
        <v>0</v>
      </c>
      <c r="F99" s="38">
        <f t="shared" si="123"/>
        <v>0</v>
      </c>
      <c r="G99" s="38">
        <f t="shared" si="123"/>
        <v>0</v>
      </c>
      <c r="H99" s="38">
        <f t="shared" si="123"/>
        <v>0</v>
      </c>
      <c r="J99" s="38">
        <f t="shared" ref="J99:N100" si="124">+J37-J70-J73</f>
        <v>0</v>
      </c>
      <c r="K99" s="38">
        <f t="shared" si="124"/>
        <v>0</v>
      </c>
      <c r="L99" s="38">
        <f t="shared" si="124"/>
        <v>0</v>
      </c>
      <c r="M99" s="23">
        <f t="shared" si="124"/>
        <v>0</v>
      </c>
      <c r="N99" s="23">
        <f t="shared" si="124"/>
        <v>0</v>
      </c>
      <c r="P99" s="12">
        <f t="shared" ref="P99:V100" si="125">+P37-P70-P73</f>
        <v>0</v>
      </c>
      <c r="Q99" s="12">
        <f t="shared" si="125"/>
        <v>0</v>
      </c>
      <c r="R99" s="12">
        <f t="shared" si="125"/>
        <v>0</v>
      </c>
      <c r="S99" s="12">
        <f t="shared" si="125"/>
        <v>0</v>
      </c>
      <c r="T99" s="12">
        <f t="shared" si="125"/>
        <v>0</v>
      </c>
      <c r="U99" s="12">
        <f t="shared" si="125"/>
        <v>0</v>
      </c>
      <c r="V99" s="12">
        <f t="shared" si="125"/>
        <v>0</v>
      </c>
      <c r="X99" s="12">
        <f t="shared" ref="X99:AA100" si="126">+X37-X70-X73</f>
        <v>0</v>
      </c>
      <c r="Y99" s="12">
        <f t="shared" si="126"/>
        <v>0</v>
      </c>
      <c r="Z99" s="12">
        <f t="shared" si="126"/>
        <v>0</v>
      </c>
      <c r="AA99" s="12">
        <f t="shared" si="126"/>
        <v>0</v>
      </c>
      <c r="AB99" s="12"/>
      <c r="AC99" s="12">
        <f t="shared" ref="AC99:AG100" si="127">+AC37-AC70-AC73</f>
        <v>0</v>
      </c>
      <c r="AD99" s="12">
        <f t="shared" si="127"/>
        <v>0</v>
      </c>
      <c r="AE99" s="12">
        <f t="shared" si="127"/>
        <v>0</v>
      </c>
      <c r="AF99" s="12">
        <f t="shared" si="127"/>
        <v>0</v>
      </c>
      <c r="AG99" s="12">
        <f t="shared" si="127"/>
        <v>0</v>
      </c>
      <c r="AI99" s="12">
        <f t="shared" ref="AI99:AL100" si="128">+AI37-AI70-AI73</f>
        <v>0</v>
      </c>
      <c r="AJ99" s="12">
        <f t="shared" si="128"/>
        <v>0</v>
      </c>
      <c r="AK99" s="12">
        <f t="shared" si="128"/>
        <v>0</v>
      </c>
      <c r="AL99" s="12">
        <f t="shared" si="128"/>
        <v>0</v>
      </c>
      <c r="AM99" s="12"/>
      <c r="AN99" s="12">
        <f t="shared" ref="AN99:AQ100" si="129">+AN37-AN70-AN73</f>
        <v>0</v>
      </c>
      <c r="AO99" s="12">
        <f t="shared" si="129"/>
        <v>0</v>
      </c>
      <c r="AP99" s="12">
        <f t="shared" si="129"/>
        <v>0</v>
      </c>
      <c r="AQ99" s="12">
        <f t="shared" si="129"/>
        <v>0</v>
      </c>
      <c r="AS99" s="12">
        <f t="shared" ref="AS99:AV100" si="130">+AS37-AS70-AS73</f>
        <v>0</v>
      </c>
      <c r="AT99" s="12">
        <f t="shared" si="130"/>
        <v>0</v>
      </c>
      <c r="AU99" s="12">
        <f t="shared" si="130"/>
        <v>0</v>
      </c>
      <c r="AV99" s="12">
        <f t="shared" si="130"/>
        <v>0</v>
      </c>
      <c r="AX99" s="12">
        <f t="shared" ref="AX99:AZ100" si="131">+AX37-AX70-AX73</f>
        <v>0</v>
      </c>
      <c r="AY99" s="12">
        <f t="shared" si="131"/>
        <v>0</v>
      </c>
      <c r="AZ99" s="12">
        <f t="shared" si="131"/>
        <v>0</v>
      </c>
      <c r="BA99" s="12">
        <f t="shared" ref="BA99:BC99" si="132">+BA37-BA70-BA73</f>
        <v>0</v>
      </c>
      <c r="BC99" s="12">
        <f t="shared" si="132"/>
        <v>0</v>
      </c>
      <c r="BD99" s="12">
        <f t="shared" ref="BD99:BE99" si="133">+BD37-BD70-BD73</f>
        <v>0</v>
      </c>
      <c r="BE99" s="12">
        <f t="shared" si="133"/>
        <v>0</v>
      </c>
      <c r="BF99" s="12">
        <f t="shared" ref="BF99:BH99" si="134">+BF37-BF70-BF73</f>
        <v>0</v>
      </c>
      <c r="BG99" s="12"/>
      <c r="BH99" s="12">
        <f t="shared" si="134"/>
        <v>0</v>
      </c>
      <c r="BI99" s="12">
        <f t="shared" ref="BI99:BK99" si="135">+BI37-BI70-BI73</f>
        <v>0</v>
      </c>
      <c r="BJ99" s="12">
        <f t="shared" si="135"/>
        <v>0</v>
      </c>
      <c r="BK99" s="12">
        <f t="shared" si="135"/>
        <v>0</v>
      </c>
      <c r="BL99" s="12"/>
      <c r="BM99" s="12">
        <f t="shared" ref="BM99" si="136">+BM37-BM70-BM73</f>
        <v>0</v>
      </c>
    </row>
    <row r="100" spans="2:65" ht="16.5" customHeight="1" x14ac:dyDescent="0.25">
      <c r="C100" s="38">
        <f>+C38-C71-C74</f>
        <v>0</v>
      </c>
      <c r="D100" s="38"/>
      <c r="E100" s="38">
        <f t="shared" si="123"/>
        <v>0</v>
      </c>
      <c r="F100" s="38">
        <f t="shared" si="123"/>
        <v>0</v>
      </c>
      <c r="G100" s="38">
        <f t="shared" si="123"/>
        <v>0</v>
      </c>
      <c r="H100" s="38">
        <f t="shared" si="123"/>
        <v>0</v>
      </c>
      <c r="J100" s="38">
        <f t="shared" si="124"/>
        <v>0</v>
      </c>
      <c r="K100" s="38">
        <f t="shared" si="124"/>
        <v>0</v>
      </c>
      <c r="L100" s="38">
        <f t="shared" si="124"/>
        <v>0</v>
      </c>
      <c r="M100" s="23">
        <f t="shared" si="124"/>
        <v>0</v>
      </c>
      <c r="N100" s="23">
        <f t="shared" si="124"/>
        <v>0</v>
      </c>
      <c r="P100" s="12">
        <f t="shared" si="125"/>
        <v>0</v>
      </c>
      <c r="Q100" s="12">
        <f t="shared" si="125"/>
        <v>0</v>
      </c>
      <c r="R100" s="12">
        <f t="shared" si="125"/>
        <v>0</v>
      </c>
      <c r="S100" s="12">
        <f t="shared" si="125"/>
        <v>0</v>
      </c>
      <c r="T100" s="12">
        <f t="shared" si="125"/>
        <v>0</v>
      </c>
      <c r="U100" s="12">
        <f t="shared" si="125"/>
        <v>0</v>
      </c>
      <c r="V100" s="12">
        <f t="shared" si="125"/>
        <v>0</v>
      </c>
      <c r="X100" s="12">
        <f t="shared" si="126"/>
        <v>0</v>
      </c>
      <c r="Y100" s="12">
        <f t="shared" si="126"/>
        <v>0</v>
      </c>
      <c r="Z100" s="12">
        <f t="shared" si="126"/>
        <v>0</v>
      </c>
      <c r="AA100" s="12">
        <f t="shared" si="126"/>
        <v>0</v>
      </c>
      <c r="AB100" s="12"/>
      <c r="AC100" s="12">
        <f t="shared" si="127"/>
        <v>0</v>
      </c>
      <c r="AD100" s="12">
        <f t="shared" si="127"/>
        <v>0</v>
      </c>
      <c r="AE100" s="12">
        <f t="shared" si="127"/>
        <v>0</v>
      </c>
      <c r="AF100" s="12">
        <f t="shared" si="127"/>
        <v>0</v>
      </c>
      <c r="AG100" s="12">
        <f t="shared" si="127"/>
        <v>0</v>
      </c>
      <c r="AI100" s="12">
        <f t="shared" si="128"/>
        <v>0</v>
      </c>
      <c r="AJ100" s="12">
        <f t="shared" si="128"/>
        <v>0</v>
      </c>
      <c r="AK100" s="12">
        <f t="shared" si="128"/>
        <v>0</v>
      </c>
      <c r="AL100" s="12">
        <f t="shared" si="128"/>
        <v>0</v>
      </c>
      <c r="AM100" s="12"/>
      <c r="AN100" s="12">
        <f t="shared" si="129"/>
        <v>0</v>
      </c>
      <c r="AO100" s="12">
        <f t="shared" si="129"/>
        <v>0</v>
      </c>
      <c r="AP100" s="12">
        <f t="shared" si="129"/>
        <v>0</v>
      </c>
      <c r="AQ100" s="12">
        <f t="shared" si="129"/>
        <v>0</v>
      </c>
      <c r="AS100" s="12">
        <f t="shared" si="130"/>
        <v>0</v>
      </c>
      <c r="AT100" s="12">
        <f t="shared" si="130"/>
        <v>0</v>
      </c>
      <c r="AU100" s="12">
        <f t="shared" si="130"/>
        <v>0</v>
      </c>
      <c r="AV100" s="12">
        <f t="shared" si="130"/>
        <v>0</v>
      </c>
      <c r="AX100" s="12">
        <f t="shared" si="131"/>
        <v>0</v>
      </c>
      <c r="AY100" s="12">
        <f t="shared" si="131"/>
        <v>0</v>
      </c>
      <c r="AZ100" s="12">
        <f t="shared" si="131"/>
        <v>0</v>
      </c>
      <c r="BA100" s="12">
        <f t="shared" ref="BA100:BC100" si="137">+BA38-BA71-BA74</f>
        <v>0</v>
      </c>
      <c r="BC100" s="12">
        <f t="shared" si="137"/>
        <v>0</v>
      </c>
      <c r="BD100" s="12">
        <f t="shared" ref="BD100:BE100" si="138">+BD38-BD71-BD74</f>
        <v>0</v>
      </c>
      <c r="BE100" s="12">
        <f t="shared" si="138"/>
        <v>0</v>
      </c>
      <c r="BF100" s="12">
        <f t="shared" ref="BF100:BH100" si="139">+BF38-BF71-BF74</f>
        <v>0</v>
      </c>
      <c r="BG100" s="12"/>
      <c r="BH100" s="12">
        <f t="shared" si="139"/>
        <v>0</v>
      </c>
      <c r="BI100" s="12">
        <f t="shared" ref="BI100:BK100" si="140">+BI38-BI71-BI74</f>
        <v>0</v>
      </c>
      <c r="BJ100" s="12">
        <f t="shared" si="140"/>
        <v>0</v>
      </c>
      <c r="BK100" s="12">
        <f t="shared" si="140"/>
        <v>0</v>
      </c>
      <c r="BL100" s="12"/>
      <c r="BM100" s="12">
        <f t="shared" ref="BM100" si="141">+BM38-BM71-BM74</f>
        <v>0</v>
      </c>
    </row>
    <row r="101" spans="2:65" ht="16.5" customHeight="1" x14ac:dyDescent="0.25">
      <c r="C101" s="10"/>
      <c r="D101" s="10"/>
      <c r="M101" s="14"/>
      <c r="N101" s="14"/>
      <c r="P101" s="14"/>
      <c r="Q101" s="14"/>
      <c r="R101" s="14"/>
      <c r="S101" s="14"/>
      <c r="T101" s="14"/>
      <c r="U101" s="14"/>
      <c r="V101" s="14"/>
      <c r="X101" s="14"/>
      <c r="Y101" s="14"/>
      <c r="Z101" s="14"/>
      <c r="AA101" s="14"/>
      <c r="AB101" s="14"/>
      <c r="AC101" s="14"/>
      <c r="AD101" s="14"/>
      <c r="AE101" s="14"/>
      <c r="AF101" s="14"/>
      <c r="AG101" s="14"/>
      <c r="AI101" s="14"/>
      <c r="AJ101" s="14"/>
      <c r="AK101" s="14"/>
      <c r="AL101" s="14"/>
      <c r="AM101" s="14"/>
      <c r="AN101" s="14"/>
      <c r="AO101" s="14"/>
      <c r="AP101" s="14"/>
      <c r="AQ101" s="14"/>
      <c r="AS101" s="14"/>
      <c r="AT101" s="14"/>
      <c r="AU101" s="14"/>
      <c r="AV101" s="14"/>
      <c r="AX101" s="14"/>
      <c r="AY101" s="14"/>
      <c r="AZ101" s="14"/>
      <c r="BA101" s="14"/>
      <c r="BC101" s="14"/>
      <c r="BD101" s="14"/>
      <c r="BE101" s="14"/>
      <c r="BF101" s="14"/>
      <c r="BG101" s="14"/>
      <c r="BH101" s="14"/>
      <c r="BI101" s="14"/>
      <c r="BJ101" s="14"/>
      <c r="BK101" s="14"/>
      <c r="BL101" s="14"/>
      <c r="BM101" s="14"/>
    </row>
    <row r="102" spans="2:65" ht="14.25" customHeight="1" x14ac:dyDescent="0.25">
      <c r="C102" s="38">
        <f>+C87-C89-C92</f>
        <v>0</v>
      </c>
      <c r="D102" s="38"/>
      <c r="E102" s="38">
        <f>+E87-E89-E92</f>
        <v>0</v>
      </c>
      <c r="F102" s="38">
        <f>+F87-F89-F92</f>
        <v>0</v>
      </c>
      <c r="G102" s="38">
        <f>+G87-G89-G92</f>
        <v>0</v>
      </c>
      <c r="H102" s="38">
        <f>+H87-H89-H92</f>
        <v>0</v>
      </c>
      <c r="J102" s="38">
        <f>+J87-J89-J92</f>
        <v>0</v>
      </c>
      <c r="K102" s="38">
        <f>+K87-K89-K92</f>
        <v>0</v>
      </c>
      <c r="L102" s="38">
        <f>+L87-L89-L92</f>
        <v>0</v>
      </c>
      <c r="M102" s="38">
        <f>+M87-M89-M92</f>
        <v>0</v>
      </c>
      <c r="N102" s="38">
        <f>+N87-N89-N92</f>
        <v>0</v>
      </c>
      <c r="P102" s="43">
        <f t="shared" ref="P102:V102" si="142">+P87-P89-P92</f>
        <v>0</v>
      </c>
      <c r="Q102" s="43">
        <f t="shared" si="142"/>
        <v>0</v>
      </c>
      <c r="R102" s="43">
        <f t="shared" si="142"/>
        <v>0</v>
      </c>
      <c r="S102" s="43">
        <f t="shared" si="142"/>
        <v>0</v>
      </c>
      <c r="T102" s="43">
        <f t="shared" si="142"/>
        <v>0</v>
      </c>
      <c r="U102" s="43">
        <f t="shared" si="142"/>
        <v>0</v>
      </c>
      <c r="V102" s="43">
        <f t="shared" si="142"/>
        <v>0</v>
      </c>
      <c r="X102" s="43">
        <f>+X87-X89-X92</f>
        <v>0</v>
      </c>
      <c r="Y102" s="43">
        <f>+Y87-Y89-Y92</f>
        <v>0</v>
      </c>
      <c r="Z102" s="43">
        <f>+Z87-Z89-Z92</f>
        <v>0</v>
      </c>
      <c r="AA102" s="43">
        <f>+AA87-AA89-AA92</f>
        <v>0</v>
      </c>
      <c r="AB102" s="43"/>
      <c r="AC102" s="43">
        <f>+AC87-AC89-AC92</f>
        <v>0</v>
      </c>
      <c r="AD102" s="43">
        <f>+AD87-AD89-AD92</f>
        <v>0</v>
      </c>
      <c r="AE102" s="43">
        <f>+AE87-AE89-AE92</f>
        <v>0</v>
      </c>
      <c r="AF102" s="43">
        <f>+AF87-AF89-AF92</f>
        <v>0</v>
      </c>
      <c r="AG102" s="43">
        <f>+AG87-AG89-AG92</f>
        <v>0</v>
      </c>
      <c r="AI102" s="43">
        <f>+AI87-AI89-AI92</f>
        <v>0</v>
      </c>
      <c r="AJ102" s="43">
        <f>+AJ87-AJ89-AJ92</f>
        <v>0</v>
      </c>
      <c r="AK102" s="43">
        <f>+AK87-AK89-AK92</f>
        <v>0</v>
      </c>
      <c r="AL102" s="43">
        <f>+AL87-AL89-AL92</f>
        <v>0</v>
      </c>
      <c r="AM102" s="43"/>
      <c r="AN102" s="43">
        <f>+AN87-AN89-AN92</f>
        <v>0</v>
      </c>
      <c r="AO102" s="43">
        <f>+AO87-AO89-AO92</f>
        <v>0</v>
      </c>
      <c r="AP102" s="43">
        <f>+AP87-AP89-AP92</f>
        <v>0</v>
      </c>
      <c r="AQ102" s="43">
        <f>+AQ87-AQ89-AQ92</f>
        <v>0</v>
      </c>
      <c r="AS102" s="43">
        <f>+AS87-AS89-AS92</f>
        <v>0</v>
      </c>
      <c r="AT102" s="43">
        <f>+AT87-AT89-AT92</f>
        <v>0</v>
      </c>
      <c r="AU102" s="43">
        <f>+AU87-AU89-AU92</f>
        <v>0</v>
      </c>
      <c r="AV102" s="43">
        <f>+AV87-AV89-AV92</f>
        <v>0</v>
      </c>
      <c r="AX102" s="43">
        <f>+AX87-AX89-AX92</f>
        <v>0</v>
      </c>
      <c r="AY102" s="43">
        <f>+AY87-AY89-AY92</f>
        <v>0</v>
      </c>
      <c r="AZ102" s="43">
        <f>+AZ87-AZ89-AZ92</f>
        <v>0</v>
      </c>
      <c r="BA102" s="43">
        <f>+BA87-BA89-BA92</f>
        <v>0</v>
      </c>
      <c r="BC102" s="43">
        <f>+BC87-BC89-BC92</f>
        <v>0</v>
      </c>
      <c r="BD102" s="43">
        <f>+BD87-BD89-BD92</f>
        <v>0</v>
      </c>
      <c r="BE102" s="43">
        <f>+BE87-BE89-BE92</f>
        <v>0</v>
      </c>
      <c r="BF102" s="43">
        <f>+BF87-BF89-BF92</f>
        <v>0</v>
      </c>
      <c r="BG102" s="43"/>
      <c r="BH102" s="43">
        <f>+BH87-BH89-BH92</f>
        <v>0</v>
      </c>
      <c r="BI102" s="43">
        <f>+BI87-BI89-BI92</f>
        <v>0</v>
      </c>
      <c r="BJ102" s="43">
        <f>+BJ87-BJ89-BJ92</f>
        <v>0</v>
      </c>
      <c r="BK102" s="43">
        <f>+BK87-BK89-BK92</f>
        <v>0</v>
      </c>
      <c r="BL102" s="43"/>
      <c r="BM102" s="43">
        <f>+BM87-BM89-BM92</f>
        <v>0</v>
      </c>
    </row>
    <row r="103" spans="2:65" ht="16.5" customHeight="1" x14ac:dyDescent="0.25"/>
    <row r="104" spans="2:65" ht="3.75" customHeight="1" x14ac:dyDescent="0.25"/>
    <row r="105" spans="2:65" ht="16.5" customHeight="1" x14ac:dyDescent="0.25">
      <c r="Z105" s="44"/>
      <c r="AA105" s="44"/>
    </row>
    <row r="106" spans="2:65" ht="126" customHeight="1" x14ac:dyDescent="0.25">
      <c r="AC106" s="347" t="s">
        <v>67</v>
      </c>
      <c r="AD106" s="347"/>
      <c r="AE106" s="347"/>
      <c r="AF106" s="347"/>
      <c r="AG106" s="347"/>
    </row>
    <row r="107" spans="2:65" ht="14.25" customHeight="1" x14ac:dyDescent="0.25">
      <c r="B107" s="348"/>
      <c r="C107" s="348"/>
      <c r="D107" s="348"/>
      <c r="E107" s="348"/>
      <c r="F107" s="348"/>
      <c r="G107" s="2"/>
      <c r="H107" s="2"/>
    </row>
    <row r="108" spans="2:65" ht="12.75" customHeight="1" x14ac:dyDescent="0.25">
      <c r="AC108" s="347" t="s">
        <v>68</v>
      </c>
      <c r="AD108" s="347"/>
      <c r="AE108" s="347"/>
      <c r="AF108" s="347"/>
      <c r="AG108" s="347"/>
    </row>
    <row r="109" spans="2:65" x14ac:dyDescent="0.25">
      <c r="AC109" s="347" t="s">
        <v>69</v>
      </c>
      <c r="AD109" s="347"/>
      <c r="AE109" s="347"/>
      <c r="AF109" s="347"/>
      <c r="AG109" s="347"/>
    </row>
    <row r="110" spans="2:65" ht="15" x14ac:dyDescent="0.25">
      <c r="B110" s="45"/>
      <c r="C110" s="45"/>
      <c r="D110" s="45"/>
      <c r="E110" s="46"/>
      <c r="F110" s="46"/>
      <c r="G110" s="46"/>
      <c r="H110" s="46"/>
    </row>
    <row r="111" spans="2:65" ht="15" x14ac:dyDescent="0.25">
      <c r="B111" s="47"/>
      <c r="C111" s="47"/>
      <c r="D111" s="47"/>
      <c r="E111" s="46"/>
      <c r="F111" s="48"/>
      <c r="G111" s="48"/>
      <c r="H111" s="48"/>
    </row>
    <row r="112" spans="2:65" ht="15" x14ac:dyDescent="0.25">
      <c r="B112" s="47"/>
      <c r="C112" s="47"/>
      <c r="D112" s="47"/>
      <c r="E112" s="46"/>
      <c r="F112" s="48"/>
      <c r="G112" s="48"/>
      <c r="H112" s="48"/>
    </row>
    <row r="113" spans="2:8" ht="15" x14ac:dyDescent="0.25">
      <c r="B113" s="47"/>
      <c r="C113" s="47"/>
      <c r="D113" s="47"/>
      <c r="E113" s="46"/>
      <c r="F113" s="48"/>
      <c r="G113" s="48"/>
      <c r="H113" s="48"/>
    </row>
    <row r="114" spans="2:8" ht="15" x14ac:dyDescent="0.25">
      <c r="B114" s="47"/>
      <c r="C114" s="47"/>
      <c r="D114" s="47"/>
      <c r="E114" s="46"/>
      <c r="F114" s="48"/>
      <c r="G114" s="48"/>
      <c r="H114" s="48"/>
    </row>
    <row r="115" spans="2:8" ht="15" x14ac:dyDescent="0.25">
      <c r="B115" s="45"/>
      <c r="C115" s="45"/>
      <c r="D115" s="45"/>
      <c r="E115" s="49"/>
      <c r="F115" s="49"/>
      <c r="G115" s="49"/>
      <c r="H115" s="49"/>
    </row>
  </sheetData>
  <mergeCells count="18">
    <mergeCell ref="B1:L1"/>
    <mergeCell ref="B2:L2"/>
    <mergeCell ref="B3:L3"/>
    <mergeCell ref="E6:H6"/>
    <mergeCell ref="J6:N6"/>
    <mergeCell ref="BH6:BK6"/>
    <mergeCell ref="AC106:AG106"/>
    <mergeCell ref="B107:F107"/>
    <mergeCell ref="AC108:AG108"/>
    <mergeCell ref="AC109:AG109"/>
    <mergeCell ref="X6:AA6"/>
    <mergeCell ref="AC6:AF6"/>
    <mergeCell ref="P6:V6"/>
    <mergeCell ref="AX6:BA6"/>
    <mergeCell ref="AI6:AL6"/>
    <mergeCell ref="AN6:AQ6"/>
    <mergeCell ref="AS6:AV6"/>
    <mergeCell ref="BC6:BF6"/>
  </mergeCells>
  <pageMargins left="0.7" right="0.7" top="0.75" bottom="0.75" header="0.3" footer="0.3"/>
  <customProperties>
    <customPr name="FPMExcelClientCellBasedFunctionStatus" r:id="rId1"/>
  </customProperties>
  <ignoredErrors>
    <ignoredError sqref="BO89" formulaRange="1"/>
    <ignoredError sqref="BC6"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842C6-CAD9-4072-9074-6050B2DCB721}">
  <sheetPr codeName="Hoja2"/>
  <dimension ref="B1:CF105"/>
  <sheetViews>
    <sheetView showGridLines="0" zoomScale="90" zoomScaleNormal="90" workbookViewId="0">
      <pane xSplit="2" ySplit="9" topLeftCell="BR10" activePane="bottomRight" state="frozen"/>
      <selection pane="topRight" activeCell="C1" sqref="C1"/>
      <selection pane="bottomLeft" activeCell="A10" sqref="A10"/>
      <selection pane="bottomRight" activeCell="B15" sqref="B15"/>
    </sheetView>
  </sheetViews>
  <sheetFormatPr baseColWidth="10" defaultColWidth="13" defaultRowHeight="12.75" x14ac:dyDescent="0.25"/>
  <cols>
    <col min="1" max="1" width="2.28515625" style="51" customWidth="1"/>
    <col min="2" max="2" width="45.28515625" style="51" customWidth="1"/>
    <col min="3" max="3" width="11.28515625" style="51" customWidth="1"/>
    <col min="4" max="6" width="11.28515625" style="55" customWidth="1"/>
    <col min="7" max="7" width="1.28515625" style="51" customWidth="1"/>
    <col min="8" max="11" width="11.28515625" style="51" customWidth="1"/>
    <col min="12" max="12" width="11.7109375" style="51" bestFit="1" customWidth="1"/>
    <col min="13" max="13" width="1.28515625" style="51" customWidth="1"/>
    <col min="14" max="14" width="11.28515625" style="51" customWidth="1"/>
    <col min="15" max="15" width="12.28515625" style="51" customWidth="1"/>
    <col min="16" max="19" width="13" style="51"/>
    <col min="20" max="21" width="13.7109375" style="51" customWidth="1"/>
    <col min="22" max="22" width="1.5703125" style="51" customWidth="1"/>
    <col min="23" max="26" width="13" style="51"/>
    <col min="27" max="27" width="10.28515625" style="51" bestFit="1" customWidth="1"/>
    <col min="28" max="28" width="10.28515625" style="51" customWidth="1"/>
    <col min="29" max="30" width="13" style="51"/>
    <col min="31" max="31" width="1.5703125" style="51" customWidth="1"/>
    <col min="32" max="37" width="13" style="51"/>
    <col min="38" max="39" width="13" style="51" hidden="1" customWidth="1"/>
    <col min="40" max="41" width="13" style="51"/>
    <col min="42" max="42" width="1.5703125" style="51" customWidth="1"/>
    <col min="43" max="48" width="13" style="51"/>
    <col min="49" max="49" width="1.5703125" style="51" customWidth="1"/>
    <col min="50" max="53" width="13" style="51"/>
    <col min="54" max="54" width="1.5703125" style="51" customWidth="1"/>
    <col min="55" max="58" width="13" style="51"/>
    <col min="59" max="59" width="1.5703125" style="51" customWidth="1"/>
    <col min="60" max="63" width="13" style="51"/>
    <col min="64" max="64" width="1.42578125" style="51" customWidth="1"/>
    <col min="65" max="65" width="0" style="51" hidden="1" customWidth="1"/>
    <col min="66" max="66" width="13" style="51"/>
    <col min="67" max="67" width="0" style="51" hidden="1" customWidth="1"/>
    <col min="68" max="68" width="13" style="51"/>
    <col min="69" max="69" width="0" style="51" hidden="1" customWidth="1"/>
    <col min="70" max="70" width="13" style="51"/>
    <col min="71" max="71" width="0" style="51" hidden="1" customWidth="1"/>
    <col min="72" max="72" width="13" style="51"/>
    <col min="73" max="73" width="1.42578125" style="51" customWidth="1"/>
    <col min="74" max="74" width="10.7109375" style="51" hidden="1" customWidth="1"/>
    <col min="75" max="78" width="10.7109375" style="51" customWidth="1"/>
    <col min="79" max="79" width="1.42578125" style="51" customWidth="1"/>
    <col min="80" max="80" width="10.7109375" style="51" customWidth="1"/>
    <col min="81" max="16384" width="13" style="51"/>
  </cols>
  <sheetData>
    <row r="1" spans="2:84" ht="16.5" customHeight="1" x14ac:dyDescent="0.25">
      <c r="B1" s="357" t="s">
        <v>0</v>
      </c>
      <c r="C1" s="357"/>
      <c r="D1" s="357"/>
      <c r="E1" s="357"/>
      <c r="F1" s="357"/>
      <c r="G1" s="357"/>
      <c r="H1" s="357"/>
      <c r="I1" s="357"/>
    </row>
    <row r="2" spans="2:84" ht="12.75" customHeight="1" x14ac:dyDescent="0.25">
      <c r="B2" s="357" t="s">
        <v>70</v>
      </c>
      <c r="C2" s="357"/>
      <c r="D2" s="357"/>
      <c r="E2" s="357"/>
      <c r="F2" s="357"/>
      <c r="G2" s="357"/>
      <c r="H2" s="357"/>
      <c r="I2" s="357"/>
    </row>
    <row r="3" spans="2:84" ht="12.75" customHeight="1" x14ac:dyDescent="0.25">
      <c r="B3" s="350" t="s">
        <v>2</v>
      </c>
      <c r="C3" s="350"/>
      <c r="D3" s="350"/>
      <c r="E3" s="350"/>
      <c r="F3" s="350"/>
      <c r="G3" s="350"/>
      <c r="H3" s="350"/>
      <c r="I3" s="350"/>
      <c r="J3" s="52"/>
      <c r="K3" s="52"/>
      <c r="L3" s="52"/>
    </row>
    <row r="4" spans="2:84" ht="12.75" customHeight="1" x14ac:dyDescent="0.25">
      <c r="B4" s="3"/>
      <c r="C4" s="3"/>
      <c r="D4" s="3"/>
      <c r="E4" s="3"/>
      <c r="F4" s="3"/>
      <c r="G4" s="3"/>
      <c r="H4" s="3"/>
      <c r="I4" s="3"/>
      <c r="J4" s="52"/>
      <c r="K4" s="52"/>
      <c r="L4" s="52"/>
      <c r="N4" s="3"/>
      <c r="O4" s="3"/>
    </row>
    <row r="5" spans="2:84" ht="12.75" customHeight="1" x14ac:dyDescent="0.25">
      <c r="B5" s="53"/>
      <c r="C5" s="53"/>
      <c r="D5" s="53"/>
      <c r="E5" s="53"/>
      <c r="F5" s="53"/>
      <c r="G5" s="53"/>
    </row>
    <row r="6" spans="2:84" ht="21" customHeight="1" x14ac:dyDescent="0.25">
      <c r="B6" s="53"/>
      <c r="C6" s="358" t="s">
        <v>3</v>
      </c>
      <c r="D6" s="359"/>
      <c r="E6" s="359"/>
      <c r="F6" s="359"/>
      <c r="G6" s="2"/>
      <c r="H6" s="358" t="s">
        <v>4</v>
      </c>
      <c r="I6" s="359"/>
      <c r="J6" s="359"/>
      <c r="K6" s="359"/>
      <c r="L6" s="54"/>
      <c r="N6" s="355" t="s">
        <v>5</v>
      </c>
      <c r="O6" s="356"/>
      <c r="P6" s="356"/>
      <c r="Q6" s="356"/>
      <c r="R6" s="356"/>
      <c r="S6" s="356"/>
      <c r="T6" s="356"/>
      <c r="U6" s="356"/>
      <c r="W6" s="345" t="s">
        <v>6</v>
      </c>
      <c r="X6" s="346"/>
      <c r="Y6" s="346"/>
      <c r="Z6" s="346"/>
      <c r="AA6" s="346"/>
      <c r="AB6" s="346"/>
      <c r="AC6" s="346"/>
      <c r="AD6" s="5"/>
      <c r="AE6" s="6"/>
      <c r="AF6" s="345" t="s">
        <v>7</v>
      </c>
      <c r="AG6" s="346"/>
      <c r="AH6" s="346"/>
      <c r="AI6" s="346"/>
      <c r="AJ6" s="346"/>
      <c r="AK6" s="346"/>
      <c r="AL6" s="346"/>
      <c r="AM6" s="346"/>
      <c r="AN6" s="346"/>
      <c r="AO6" s="5"/>
      <c r="AQ6" s="345" t="s">
        <v>8</v>
      </c>
      <c r="AR6" s="346"/>
      <c r="AS6" s="346"/>
      <c r="AT6" s="346"/>
      <c r="AU6" s="346"/>
      <c r="AV6" s="346"/>
      <c r="AX6" s="345" t="s">
        <v>71</v>
      </c>
      <c r="AY6" s="346"/>
      <c r="AZ6" s="346"/>
      <c r="BA6" s="346"/>
      <c r="BC6" s="345" t="s">
        <v>9</v>
      </c>
      <c r="BD6" s="346"/>
      <c r="BE6" s="346"/>
      <c r="BF6" s="346"/>
      <c r="BG6" s="6"/>
      <c r="BH6" s="345">
        <v>2022</v>
      </c>
      <c r="BI6" s="346"/>
      <c r="BJ6" s="346"/>
      <c r="BK6" s="346"/>
      <c r="BM6" s="346" t="s">
        <v>305</v>
      </c>
      <c r="BN6" s="346"/>
      <c r="BO6" s="346"/>
      <c r="BP6" s="346"/>
      <c r="BQ6" s="346"/>
      <c r="BR6" s="346"/>
      <c r="BS6" s="346"/>
      <c r="BT6" s="5"/>
      <c r="BU6" s="6"/>
      <c r="BV6" s="345" t="s">
        <v>322</v>
      </c>
      <c r="BW6" s="346"/>
      <c r="BX6" s="346"/>
      <c r="BY6" s="346"/>
      <c r="BZ6" s="346"/>
      <c r="CA6" s="6"/>
      <c r="CB6" s="4" t="s">
        <v>351</v>
      </c>
    </row>
    <row r="7" spans="2:84" ht="5.25" customHeight="1" thickBot="1" x14ac:dyDescent="0.3">
      <c r="C7" s="55"/>
      <c r="G7" s="55"/>
      <c r="H7" s="55"/>
      <c r="I7" s="55"/>
      <c r="J7" s="55"/>
      <c r="N7" s="55"/>
      <c r="O7" s="55"/>
      <c r="BV7" s="2"/>
      <c r="BW7" s="2"/>
      <c r="BX7" s="2"/>
      <c r="BY7" s="2"/>
      <c r="BZ7" s="2"/>
      <c r="CA7" s="2"/>
      <c r="CB7" s="2"/>
    </row>
    <row r="8" spans="2:84" ht="27" thickTop="1" thickBot="1" x14ac:dyDescent="0.3">
      <c r="C8" s="7" t="s">
        <v>72</v>
      </c>
      <c r="D8" s="7" t="s">
        <v>73</v>
      </c>
      <c r="E8" s="7" t="s">
        <v>74</v>
      </c>
      <c r="F8" s="7" t="s">
        <v>75</v>
      </c>
      <c r="G8" s="55"/>
      <c r="H8" s="7" t="s">
        <v>76</v>
      </c>
      <c r="I8" s="7" t="s">
        <v>77</v>
      </c>
      <c r="J8" s="7" t="s">
        <v>78</v>
      </c>
      <c r="K8" s="7" t="s">
        <v>79</v>
      </c>
      <c r="L8" s="7" t="s">
        <v>80</v>
      </c>
      <c r="N8" s="7" t="s">
        <v>81</v>
      </c>
      <c r="O8" s="7" t="s">
        <v>82</v>
      </c>
      <c r="P8" s="7" t="s">
        <v>83</v>
      </c>
      <c r="Q8" s="7" t="s">
        <v>84</v>
      </c>
      <c r="R8" s="7" t="s">
        <v>85</v>
      </c>
      <c r="S8" s="7" t="s">
        <v>86</v>
      </c>
      <c r="T8" s="7" t="s">
        <v>87</v>
      </c>
      <c r="U8" s="7" t="s">
        <v>88</v>
      </c>
      <c r="W8" s="7" t="s">
        <v>89</v>
      </c>
      <c r="X8" s="7" t="s">
        <v>90</v>
      </c>
      <c r="Y8" s="7" t="s">
        <v>91</v>
      </c>
      <c r="Z8" s="7" t="s">
        <v>92</v>
      </c>
      <c r="AA8" s="7" t="s">
        <v>93</v>
      </c>
      <c r="AB8" s="7" t="s">
        <v>94</v>
      </c>
      <c r="AC8" s="7" t="s">
        <v>95</v>
      </c>
      <c r="AD8" s="7" t="s">
        <v>96</v>
      </c>
      <c r="AE8" s="8"/>
      <c r="AF8" s="7" t="s">
        <v>97</v>
      </c>
      <c r="AG8" s="7" t="s">
        <v>98</v>
      </c>
      <c r="AH8" s="7" t="s">
        <v>99</v>
      </c>
      <c r="AI8" s="7" t="s">
        <v>100</v>
      </c>
      <c r="AJ8" s="7" t="s">
        <v>101</v>
      </c>
      <c r="AK8" s="7" t="s">
        <v>102</v>
      </c>
      <c r="AN8" s="7" t="s">
        <v>103</v>
      </c>
      <c r="AO8" s="7" t="s">
        <v>104</v>
      </c>
      <c r="AQ8" s="7" t="s">
        <v>105</v>
      </c>
      <c r="AR8" s="7" t="s">
        <v>106</v>
      </c>
      <c r="AS8" s="7" t="s">
        <v>107</v>
      </c>
      <c r="AT8" s="7" t="s">
        <v>108</v>
      </c>
      <c r="AU8" s="7" t="s">
        <v>109</v>
      </c>
      <c r="AV8" s="7" t="s">
        <v>110</v>
      </c>
      <c r="AX8" s="7" t="s">
        <v>111</v>
      </c>
      <c r="AY8" s="7" t="s">
        <v>112</v>
      </c>
      <c r="AZ8" s="7" t="s">
        <v>113</v>
      </c>
      <c r="BA8" s="7" t="s">
        <v>114</v>
      </c>
      <c r="BC8" s="7" t="s">
        <v>115</v>
      </c>
      <c r="BD8" s="7" t="s">
        <v>116</v>
      </c>
      <c r="BE8" s="7" t="s">
        <v>117</v>
      </c>
      <c r="BF8" s="7" t="s">
        <v>118</v>
      </c>
      <c r="BG8" s="8"/>
      <c r="BH8" s="7" t="s">
        <v>119</v>
      </c>
      <c r="BI8" s="7" t="s">
        <v>120</v>
      </c>
      <c r="BJ8" s="7" t="s">
        <v>121</v>
      </c>
      <c r="BK8" s="7" t="s">
        <v>296</v>
      </c>
      <c r="BM8" s="7" t="s">
        <v>323</v>
      </c>
      <c r="BN8" s="7" t="s">
        <v>326</v>
      </c>
      <c r="BO8" s="7" t="s">
        <v>324</v>
      </c>
      <c r="BP8" s="7" t="s">
        <v>327</v>
      </c>
      <c r="BQ8" s="7" t="s">
        <v>325</v>
      </c>
      <c r="BR8" s="7" t="s">
        <v>330</v>
      </c>
      <c r="BS8" s="7" t="s">
        <v>320</v>
      </c>
      <c r="BT8" s="7" t="s">
        <v>331</v>
      </c>
      <c r="BU8" s="8"/>
      <c r="BV8" s="7">
        <v>45352</v>
      </c>
      <c r="BW8" s="7" t="s">
        <v>352</v>
      </c>
      <c r="BX8" s="7">
        <v>45444</v>
      </c>
      <c r="BY8" s="7">
        <v>45536</v>
      </c>
      <c r="BZ8" s="7">
        <v>45627</v>
      </c>
      <c r="CA8" s="8"/>
      <c r="CB8" s="7">
        <v>45717</v>
      </c>
    </row>
    <row r="9" spans="2:84" ht="4.5" customHeight="1" thickTop="1" x14ac:dyDescent="0.25">
      <c r="G9" s="55"/>
      <c r="I9" s="55"/>
    </row>
    <row r="10" spans="2:84" ht="16.5" customHeight="1" x14ac:dyDescent="0.25">
      <c r="B10" s="56" t="s">
        <v>234</v>
      </c>
      <c r="C10" s="57">
        <f>SUM(C12:C15)-C16</f>
        <v>2292775</v>
      </c>
      <c r="D10" s="57">
        <f>SUM(D12:D15)-D16</f>
        <v>2545153</v>
      </c>
      <c r="E10" s="57">
        <f>SUM(E12:E15)-E16</f>
        <v>2234744</v>
      </c>
      <c r="F10" s="57">
        <f>SUM(F12:F15)-F16</f>
        <v>2223617</v>
      </c>
      <c r="G10" s="58"/>
      <c r="H10" s="57">
        <f>SUM(H12:H15)-H16</f>
        <v>2640110</v>
      </c>
      <c r="I10" s="57">
        <f>SUM(I12:I15)-I16</f>
        <v>2849871</v>
      </c>
      <c r="J10" s="57">
        <f>SUM(J12:J15)-J16</f>
        <v>3212391</v>
      </c>
      <c r="K10" s="57">
        <f>SUM(K12:K15)-K16</f>
        <v>3877306</v>
      </c>
      <c r="L10" s="57">
        <f>SUM(L12:L15)-L16</f>
        <v>3997932</v>
      </c>
      <c r="M10" s="57"/>
      <c r="N10" s="57">
        <f t="shared" ref="N10:U10" si="0">SUM(N12:N15)-N16</f>
        <v>4056133</v>
      </c>
      <c r="O10" s="57">
        <f t="shared" si="0"/>
        <v>4042625</v>
      </c>
      <c r="P10" s="57">
        <f t="shared" si="0"/>
        <v>3395640</v>
      </c>
      <c r="Q10" s="57">
        <f t="shared" si="0"/>
        <v>3384378</v>
      </c>
      <c r="R10" s="57">
        <f t="shared" si="0"/>
        <v>3362235</v>
      </c>
      <c r="S10" s="57">
        <f t="shared" si="0"/>
        <v>3401921</v>
      </c>
      <c r="T10" s="57">
        <f t="shared" si="0"/>
        <v>3738876</v>
      </c>
      <c r="U10" s="57">
        <f t="shared" si="0"/>
        <v>3723960</v>
      </c>
      <c r="W10" s="57">
        <f t="shared" ref="W10:AD10" si="1">SUM(W12:W15)-W16</f>
        <v>3357194</v>
      </c>
      <c r="X10" s="57">
        <f t="shared" si="1"/>
        <v>3357194</v>
      </c>
      <c r="Y10" s="57">
        <f t="shared" si="1"/>
        <v>3565133</v>
      </c>
      <c r="Z10" s="57">
        <f t="shared" si="1"/>
        <v>3565133</v>
      </c>
      <c r="AA10" s="57">
        <f t="shared" si="1"/>
        <v>4066042</v>
      </c>
      <c r="AB10" s="57">
        <f t="shared" si="1"/>
        <v>4066041</v>
      </c>
      <c r="AC10" s="57">
        <f t="shared" si="1"/>
        <v>3585209</v>
      </c>
      <c r="AD10" s="57">
        <f t="shared" si="1"/>
        <v>3585211</v>
      </c>
      <c r="AE10" s="59"/>
      <c r="AF10" s="57">
        <f t="shared" ref="AF10:AK10" si="2">SUM(AF12:AF15)-AF16</f>
        <v>3310546</v>
      </c>
      <c r="AG10" s="57">
        <f t="shared" si="2"/>
        <v>3307952</v>
      </c>
      <c r="AH10" s="57">
        <f t="shared" si="2"/>
        <v>3617110</v>
      </c>
      <c r="AI10" s="57">
        <f t="shared" si="2"/>
        <v>3612406</v>
      </c>
      <c r="AJ10" s="57">
        <f t="shared" si="2"/>
        <v>3638242</v>
      </c>
      <c r="AK10" s="57">
        <f t="shared" si="2"/>
        <v>3634422</v>
      </c>
      <c r="AN10" s="57">
        <f>SUM(AN12:AN15)-AN16</f>
        <v>3748115</v>
      </c>
      <c r="AO10" s="57">
        <f>SUM(AO12:AO15)-AO16</f>
        <v>3739895</v>
      </c>
      <c r="AQ10" s="57">
        <f t="shared" ref="AQ10:AV10" si="3">SUM(AQ12:AQ15)-AQ16</f>
        <v>3721316</v>
      </c>
      <c r="AR10" s="57">
        <f t="shared" si="3"/>
        <v>3714904</v>
      </c>
      <c r="AS10" s="57">
        <f t="shared" si="3"/>
        <v>3860566</v>
      </c>
      <c r="AT10" s="57">
        <f t="shared" si="3"/>
        <v>3915193</v>
      </c>
      <c r="AU10" s="57">
        <f t="shared" si="3"/>
        <v>5227687</v>
      </c>
      <c r="AV10" s="57">
        <f t="shared" si="3"/>
        <v>3940804</v>
      </c>
      <c r="AX10" s="57">
        <f>SUM(AX12:AX15)-AX16</f>
        <v>3615782</v>
      </c>
      <c r="AY10" s="57">
        <f>SUM(AY12:AY15)-AY16</f>
        <v>3345810</v>
      </c>
      <c r="AZ10" s="57">
        <f>SUM(AZ12:AZ15)-AZ16</f>
        <v>3453182</v>
      </c>
      <c r="BA10" s="57">
        <f>SUM(BA12:BA15)-BA16</f>
        <v>3575749</v>
      </c>
      <c r="BC10" s="57">
        <f>SUM(BC12:BC15)-BC16</f>
        <v>3733014</v>
      </c>
      <c r="BD10" s="57">
        <f>SUM(BD12:BD15)-BD16</f>
        <v>4026624</v>
      </c>
      <c r="BE10" s="57">
        <f>SUM(BE12:BE15)-BE16</f>
        <v>4115415</v>
      </c>
      <c r="BF10" s="57">
        <f>SUM(BF12:BF15)-BF16</f>
        <v>4434066</v>
      </c>
      <c r="BG10" s="59"/>
      <c r="BH10" s="57">
        <f>SUM(BH12:BH15)-BH16</f>
        <v>4613707</v>
      </c>
      <c r="BI10" s="57">
        <f>SUM(BI12:BI15)-BI16</f>
        <v>5898089</v>
      </c>
      <c r="BJ10" s="57">
        <f>SUM(BJ12:BJ15)-BJ16</f>
        <v>5088106</v>
      </c>
      <c r="BK10" s="57">
        <f>SUM(BK12:BK15)-BK16</f>
        <v>5739804</v>
      </c>
      <c r="BL10" s="60"/>
      <c r="BM10" s="57">
        <f t="shared" ref="BM10:BS10" si="4">SUM(BM12:BM15)-BM16</f>
        <v>5744903</v>
      </c>
      <c r="BN10" s="57">
        <f t="shared" si="4"/>
        <v>3764711</v>
      </c>
      <c r="BO10" s="57">
        <f t="shared" si="4"/>
        <v>6392395</v>
      </c>
      <c r="BP10" s="57">
        <f t="shared" si="4"/>
        <v>4420689</v>
      </c>
      <c r="BQ10" s="57">
        <f t="shared" si="4"/>
        <v>4844339</v>
      </c>
      <c r="BR10" s="57">
        <f t="shared" ref="BR10" si="5">SUM(BR12:BR15)-BR16</f>
        <v>3074249</v>
      </c>
      <c r="BS10" s="57">
        <f t="shared" si="4"/>
        <v>5611464</v>
      </c>
      <c r="BT10" s="57">
        <f t="shared" ref="BT10" si="6">SUM(BT12:BT15)-BT16</f>
        <v>3933635</v>
      </c>
      <c r="BU10" s="59"/>
      <c r="BV10" s="57">
        <f>SUM(BV12:BV15)-BV16</f>
        <v>4538378</v>
      </c>
      <c r="BW10" s="57">
        <f>SUM(BW12:BW15)-BW16</f>
        <v>2718006</v>
      </c>
      <c r="BX10" s="57">
        <f>SUM(BX12:BX15)-BX16</f>
        <v>3684628</v>
      </c>
      <c r="BY10" s="57">
        <f>SUM(BY12:BY15)-BY16</f>
        <v>3310217</v>
      </c>
      <c r="BZ10" s="57">
        <f>SUM(BZ12:BZ15)-BZ16</f>
        <v>3623139</v>
      </c>
      <c r="CA10" s="59"/>
      <c r="CB10" s="57">
        <f>SUM(CB12:CB15)-CB16</f>
        <v>2903129</v>
      </c>
      <c r="CC10" s="60" t="e">
        <f>+CB10-#REF!</f>
        <v>#REF!</v>
      </c>
      <c r="CD10" s="60" t="e">
        <f>+BW10-#REF!</f>
        <v>#REF!</v>
      </c>
      <c r="CE10" s="261"/>
      <c r="CF10" s="261"/>
    </row>
    <row r="11" spans="2:84" ht="16.5" hidden="1" customHeight="1" x14ac:dyDescent="0.25">
      <c r="B11" s="61" t="s">
        <v>35</v>
      </c>
      <c r="C11" s="62">
        <v>1115.1199999999999</v>
      </c>
      <c r="D11" s="62">
        <v>1367.51</v>
      </c>
      <c r="E11" s="62">
        <v>1143.54</v>
      </c>
      <c r="F11" s="62">
        <v>911.8</v>
      </c>
      <c r="G11" s="58"/>
      <c r="H11" s="62">
        <v>1057.43</v>
      </c>
      <c r="I11" s="62">
        <v>1140.18</v>
      </c>
      <c r="J11" s="62">
        <v>1092.03</v>
      </c>
      <c r="K11" s="62">
        <v>1267.8699999999999</v>
      </c>
      <c r="L11" s="62" t="e">
        <f>+#REF!-J11-I11-H11</f>
        <v>#REF!</v>
      </c>
      <c r="N11" s="62">
        <v>1057.43</v>
      </c>
      <c r="O11" s="62">
        <v>1057.43</v>
      </c>
      <c r="P11" s="62">
        <v>1057.43</v>
      </c>
      <c r="Q11" s="62">
        <v>1057.43</v>
      </c>
      <c r="R11" s="62">
        <v>1057.43</v>
      </c>
      <c r="S11" s="62">
        <v>1057.43</v>
      </c>
      <c r="T11" s="62"/>
      <c r="U11" s="62"/>
      <c r="W11" s="62">
        <v>1057.43</v>
      </c>
      <c r="X11" s="62">
        <v>1057.43</v>
      </c>
      <c r="Y11" s="62">
        <v>1057.43</v>
      </c>
      <c r="Z11" s="62">
        <v>1057.43</v>
      </c>
      <c r="AA11" s="62">
        <v>1057.43</v>
      </c>
      <c r="AB11" s="62">
        <v>1057.43</v>
      </c>
      <c r="AC11" s="62">
        <v>1057.43</v>
      </c>
      <c r="AD11" s="62">
        <v>1057.43</v>
      </c>
      <c r="AE11" s="63"/>
      <c r="AF11" s="62">
        <v>1057.43</v>
      </c>
      <c r="AG11" s="62">
        <v>1057.43</v>
      </c>
      <c r="AH11" s="62">
        <v>1057.43</v>
      </c>
      <c r="AI11" s="62">
        <v>1057.43</v>
      </c>
      <c r="AJ11" s="62">
        <v>1057.43</v>
      </c>
      <c r="AK11" s="62">
        <v>1057.43</v>
      </c>
      <c r="AN11" s="62">
        <v>1057.43</v>
      </c>
      <c r="AO11" s="62">
        <v>1057.43</v>
      </c>
      <c r="AQ11" s="62">
        <v>1057.43</v>
      </c>
      <c r="AR11" s="62">
        <v>1057.43</v>
      </c>
      <c r="AS11" s="62">
        <v>1057.43</v>
      </c>
      <c r="AT11" s="62">
        <v>1057.43</v>
      </c>
      <c r="AU11" s="62">
        <v>1057.43</v>
      </c>
      <c r="AV11" s="62">
        <v>1057.43</v>
      </c>
      <c r="AX11" s="62">
        <v>1057.43</v>
      </c>
      <c r="AY11" s="62">
        <v>1057.43</v>
      </c>
      <c r="AZ11" s="62">
        <v>1057.43</v>
      </c>
      <c r="BA11" s="62">
        <v>1057.43</v>
      </c>
      <c r="BC11" s="62">
        <v>1057.43</v>
      </c>
      <c r="BD11" s="62">
        <v>1057.43</v>
      </c>
      <c r="BE11" s="62">
        <v>1057.43</v>
      </c>
      <c r="BF11" s="62">
        <v>1057.43</v>
      </c>
      <c r="BG11" s="63"/>
      <c r="BH11" s="62">
        <v>1057.43</v>
      </c>
      <c r="BI11" s="62"/>
      <c r="BJ11" s="62"/>
      <c r="BK11" s="62"/>
      <c r="BM11" s="62"/>
      <c r="BN11" s="62"/>
      <c r="BO11" s="62"/>
      <c r="BP11" s="62"/>
      <c r="BQ11" s="62"/>
      <c r="BR11" s="62"/>
      <c r="BS11" s="62"/>
      <c r="BT11" s="62"/>
      <c r="BU11" s="63"/>
      <c r="BV11" s="62"/>
      <c r="BW11" s="62"/>
      <c r="BX11" s="62"/>
      <c r="BY11" s="62"/>
      <c r="BZ11" s="62"/>
      <c r="CA11" s="63"/>
      <c r="CB11" s="62"/>
    </row>
    <row r="12" spans="2:84" ht="16.5" customHeight="1" x14ac:dyDescent="0.25">
      <c r="B12" s="64" t="s">
        <v>122</v>
      </c>
      <c r="C12" s="22">
        <v>1992290</v>
      </c>
      <c r="D12" s="22">
        <v>2374522</v>
      </c>
      <c r="E12" s="22">
        <v>2156742</v>
      </c>
      <c r="F12" s="65">
        <f>1861580+1+148990</f>
        <v>2010571</v>
      </c>
      <c r="G12" s="55"/>
      <c r="H12" s="22">
        <f>2473610+1</f>
        <v>2473611</v>
      </c>
      <c r="I12" s="22">
        <f>2620500-1</f>
        <v>2620499</v>
      </c>
      <c r="J12" s="22">
        <v>3121999</v>
      </c>
      <c r="K12" s="22">
        <f>3699920</f>
        <v>3699920</v>
      </c>
      <c r="L12" s="22">
        <v>3693705</v>
      </c>
      <c r="N12" s="22">
        <v>3759881</v>
      </c>
      <c r="O12" s="22">
        <v>3759881</v>
      </c>
      <c r="P12" s="22">
        <v>3268366</v>
      </c>
      <c r="Q12" s="22">
        <f>3268365</f>
        <v>3268365</v>
      </c>
      <c r="R12" s="22">
        <v>3105623</v>
      </c>
      <c r="S12" s="22">
        <v>3105623</v>
      </c>
      <c r="T12" s="22">
        <v>3001173</v>
      </c>
      <c r="U12" s="22">
        <v>3001173</v>
      </c>
      <c r="W12" s="22">
        <v>3059897</v>
      </c>
      <c r="X12" s="22">
        <v>3059897</v>
      </c>
      <c r="Y12" s="22">
        <v>3202231</v>
      </c>
      <c r="Z12" s="22">
        <v>3202231</v>
      </c>
      <c r="AA12" s="22">
        <v>3264247</v>
      </c>
      <c r="AB12" s="22">
        <v>3264247</v>
      </c>
      <c r="AC12" s="22">
        <v>3222833</v>
      </c>
      <c r="AD12" s="22">
        <f>3222833-1</f>
        <v>3222832</v>
      </c>
      <c r="AE12" s="22"/>
      <c r="AF12" s="22">
        <v>3073465</v>
      </c>
      <c r="AG12" s="22">
        <v>3070871</v>
      </c>
      <c r="AH12" s="22">
        <f>3298956+1</f>
        <v>3298957</v>
      </c>
      <c r="AI12" s="22">
        <v>3294253</v>
      </c>
      <c r="AJ12" s="22">
        <v>3439736</v>
      </c>
      <c r="AK12" s="22">
        <v>3435916</v>
      </c>
      <c r="AN12" s="22">
        <f>3399975+1+1</f>
        <v>3399977</v>
      </c>
      <c r="AO12" s="22">
        <f>3391756+1</f>
        <v>3391757</v>
      </c>
      <c r="AQ12" s="22">
        <v>3391160</v>
      </c>
      <c r="AR12" s="22">
        <v>3384748</v>
      </c>
      <c r="AS12" s="22">
        <f>3618287+1</f>
        <v>3618288</v>
      </c>
      <c r="AT12" s="22">
        <f>3610233+1</f>
        <v>3610234</v>
      </c>
      <c r="AU12" s="22">
        <v>3826892</v>
      </c>
      <c r="AV12" s="22">
        <v>3671283</v>
      </c>
      <c r="AX12" s="22">
        <v>3452172</v>
      </c>
      <c r="AY12" s="22">
        <v>3155161</v>
      </c>
      <c r="AZ12" s="22">
        <v>3354549</v>
      </c>
      <c r="BA12" s="22">
        <v>3476079</v>
      </c>
      <c r="BC12" s="22">
        <v>3574647</v>
      </c>
      <c r="BD12" s="22">
        <v>3708297</v>
      </c>
      <c r="BE12" s="22">
        <v>3842351</v>
      </c>
      <c r="BF12" s="22">
        <v>4149579</v>
      </c>
      <c r="BG12" s="22"/>
      <c r="BH12" s="22">
        <v>4313197</v>
      </c>
      <c r="BI12" s="22">
        <f>4508131+1</f>
        <v>4508132</v>
      </c>
      <c r="BJ12" s="22">
        <f>4756509-1</f>
        <v>4756508</v>
      </c>
      <c r="BK12" s="22">
        <f>5351083-1</f>
        <v>5351082</v>
      </c>
      <c r="BL12" s="60"/>
      <c r="BM12" s="22">
        <v>5288148</v>
      </c>
      <c r="BN12" s="22">
        <v>3278804</v>
      </c>
      <c r="BO12" s="22">
        <v>5365605</v>
      </c>
      <c r="BP12" s="22">
        <f>3367823+1</f>
        <v>3367824</v>
      </c>
      <c r="BQ12" s="22">
        <v>4669625</v>
      </c>
      <c r="BR12" s="22">
        <f>2873041-1</f>
        <v>2873040</v>
      </c>
      <c r="BS12" s="22">
        <v>4673162</v>
      </c>
      <c r="BT12" s="22">
        <v>2969767</v>
      </c>
      <c r="BU12" s="22"/>
      <c r="BV12" s="22">
        <v>2767290</v>
      </c>
      <c r="BW12" s="22">
        <v>2767290</v>
      </c>
      <c r="BX12" s="22">
        <f>3373785-1</f>
        <v>3373784</v>
      </c>
      <c r="BY12" s="22">
        <f>2821867+2</f>
        <v>2821869</v>
      </c>
      <c r="BZ12" s="22">
        <f>3508659-2</f>
        <v>3508657</v>
      </c>
      <c r="CA12" s="22"/>
      <c r="CB12" s="22">
        <v>2759423</v>
      </c>
      <c r="CC12" s="60" t="e">
        <f>+CB12-#REF!</f>
        <v>#REF!</v>
      </c>
      <c r="CD12" s="60" t="e">
        <f>+BW12-#REF!</f>
        <v>#REF!</v>
      </c>
    </row>
    <row r="13" spans="2:84" ht="16.5" customHeight="1" x14ac:dyDescent="0.25">
      <c r="B13" s="64" t="s">
        <v>123</v>
      </c>
      <c r="C13" s="22">
        <f>129401+41394</f>
        <v>170795</v>
      </c>
      <c r="D13" s="22">
        <f>103473-5545</f>
        <v>97928</v>
      </c>
      <c r="E13" s="22">
        <f>80766+1650</f>
        <v>82416</v>
      </c>
      <c r="F13" s="22">
        <f>-10405-14670</f>
        <v>-25075</v>
      </c>
      <c r="G13" s="55"/>
      <c r="H13" s="22">
        <f>51878+19502</f>
        <v>71380</v>
      </c>
      <c r="I13" s="22">
        <f>88150+1438</f>
        <v>89588</v>
      </c>
      <c r="J13" s="22">
        <f>237+1533</f>
        <v>1770</v>
      </c>
      <c r="K13" s="22">
        <f>7882-395</f>
        <v>7487</v>
      </c>
      <c r="L13" s="22">
        <v>8710</v>
      </c>
      <c r="N13" s="22">
        <v>61822</v>
      </c>
      <c r="O13" s="22">
        <v>61043</v>
      </c>
      <c r="P13" s="22">
        <v>24150</v>
      </c>
      <c r="Q13" s="22">
        <f>23394+1</f>
        <v>23395</v>
      </c>
      <c r="R13" s="22">
        <f>138944-17</f>
        <v>138927</v>
      </c>
      <c r="S13" s="22">
        <f>141845-17</f>
        <v>141828</v>
      </c>
      <c r="T13" s="22">
        <f>452070+1532</f>
        <v>453602</v>
      </c>
      <c r="U13" s="22">
        <f>450703+1532</f>
        <v>452235</v>
      </c>
      <c r="W13" s="22">
        <v>71238</v>
      </c>
      <c r="X13" s="22">
        <v>71238</v>
      </c>
      <c r="Y13" s="22">
        <f>111618+196</f>
        <v>111814</v>
      </c>
      <c r="Z13" s="22">
        <f>111618+196</f>
        <v>111814</v>
      </c>
      <c r="AA13" s="22">
        <v>439836</v>
      </c>
      <c r="AB13" s="22">
        <f>439836-1</f>
        <v>439835</v>
      </c>
      <c r="AC13" s="22">
        <f>71207+264</f>
        <v>71471</v>
      </c>
      <c r="AD13" s="22">
        <f>71207+264+1</f>
        <v>71472</v>
      </c>
      <c r="AE13" s="22"/>
      <c r="AF13" s="22">
        <v>86713</v>
      </c>
      <c r="AG13" s="22">
        <v>86713</v>
      </c>
      <c r="AH13" s="22">
        <v>45032</v>
      </c>
      <c r="AI13" s="22">
        <v>45032</v>
      </c>
      <c r="AJ13" s="22">
        <v>58866</v>
      </c>
      <c r="AK13" s="22">
        <v>58866</v>
      </c>
      <c r="AN13" s="22">
        <f>49321+1373</f>
        <v>50694</v>
      </c>
      <c r="AO13" s="22">
        <f>49321+1373</f>
        <v>50694</v>
      </c>
      <c r="AQ13" s="22">
        <v>90744</v>
      </c>
      <c r="AR13" s="22">
        <v>90744</v>
      </c>
      <c r="AS13" s="22">
        <v>41223</v>
      </c>
      <c r="AT13" s="22">
        <v>103904</v>
      </c>
      <c r="AU13" s="22">
        <v>1134165</v>
      </c>
      <c r="AV13" s="22">
        <v>45886</v>
      </c>
      <c r="AW13" s="60"/>
      <c r="AX13" s="22">
        <v>120584</v>
      </c>
      <c r="AY13" s="22">
        <f>70177+1</f>
        <v>70178</v>
      </c>
      <c r="AZ13" s="22">
        <f>52710</f>
        <v>52710</v>
      </c>
      <c r="BA13" s="22">
        <v>54121</v>
      </c>
      <c r="BB13" s="60"/>
      <c r="BC13" s="22">
        <v>90812</v>
      </c>
      <c r="BD13" s="22">
        <v>55087</v>
      </c>
      <c r="BE13" s="22">
        <v>57653</v>
      </c>
      <c r="BF13" s="22">
        <f>44157-1</f>
        <v>44156</v>
      </c>
      <c r="BG13" s="22"/>
      <c r="BH13" s="22">
        <v>48859</v>
      </c>
      <c r="BI13" s="22">
        <f>1109972-1</f>
        <v>1109971</v>
      </c>
      <c r="BJ13" s="22">
        <f>1927+1</f>
        <v>1928</v>
      </c>
      <c r="BK13" s="22">
        <v>26069</v>
      </c>
      <c r="BL13" s="60"/>
      <c r="BM13" s="22">
        <v>66722</v>
      </c>
      <c r="BN13" s="22">
        <v>66722</v>
      </c>
      <c r="BO13" s="22">
        <f>916861-1</f>
        <v>916860</v>
      </c>
      <c r="BP13" s="22">
        <f>916861-1</f>
        <v>916860</v>
      </c>
      <c r="BQ13" s="22">
        <v>4783</v>
      </c>
      <c r="BR13" s="22">
        <v>4783</v>
      </c>
      <c r="BS13" s="22">
        <v>775910</v>
      </c>
      <c r="BT13" s="22">
        <v>775910</v>
      </c>
      <c r="BU13" s="22"/>
      <c r="BV13" s="22">
        <v>7374</v>
      </c>
      <c r="BW13" s="22">
        <v>7374</v>
      </c>
      <c r="BX13" s="22">
        <v>22499</v>
      </c>
      <c r="BY13" s="22">
        <v>3593</v>
      </c>
      <c r="BZ13" s="22">
        <v>3828</v>
      </c>
      <c r="CA13" s="22"/>
      <c r="CB13" s="22">
        <v>15393</v>
      </c>
      <c r="CC13" s="60" t="e">
        <f>+CB13-#REF!</f>
        <v>#REF!</v>
      </c>
      <c r="CD13" s="60" t="e">
        <f>+BW13-#REF!</f>
        <v>#REF!</v>
      </c>
    </row>
    <row r="14" spans="2:84" ht="16.5" customHeight="1" x14ac:dyDescent="0.25">
      <c r="B14" s="64" t="s">
        <v>124</v>
      </c>
      <c r="C14" s="22">
        <v>28578</v>
      </c>
      <c r="D14" s="22">
        <v>12288</v>
      </c>
      <c r="E14" s="22">
        <v>5193</v>
      </c>
      <c r="F14" s="22">
        <f>26088-1</f>
        <v>26087</v>
      </c>
      <c r="G14" s="55"/>
      <c r="H14" s="22">
        <v>10870</v>
      </c>
      <c r="I14" s="22">
        <v>16535</v>
      </c>
      <c r="J14" s="22">
        <v>46411</v>
      </c>
      <c r="K14" s="22">
        <v>224999</v>
      </c>
      <c r="L14" s="22">
        <v>328551</v>
      </c>
      <c r="N14" s="22">
        <v>115479</v>
      </c>
      <c r="O14" s="22">
        <v>115479</v>
      </c>
      <c r="P14" s="22">
        <v>10460</v>
      </c>
      <c r="Q14" s="22">
        <v>10460</v>
      </c>
      <c r="R14" s="22">
        <v>59828</v>
      </c>
      <c r="S14" s="22">
        <v>59828</v>
      </c>
      <c r="T14" s="22">
        <v>183614</v>
      </c>
      <c r="U14" s="22">
        <v>183614</v>
      </c>
      <c r="W14" s="22">
        <v>127058</v>
      </c>
      <c r="X14" s="22">
        <v>127058</v>
      </c>
      <c r="Y14" s="22">
        <v>234338</v>
      </c>
      <c r="Z14" s="22">
        <v>234338</v>
      </c>
      <c r="AA14" s="22">
        <v>284908</v>
      </c>
      <c r="AB14" s="22">
        <v>284908</v>
      </c>
      <c r="AC14" s="22">
        <v>246472</v>
      </c>
      <c r="AD14" s="22">
        <v>246472</v>
      </c>
      <c r="AE14" s="22"/>
      <c r="AF14" s="22">
        <v>114913</v>
      </c>
      <c r="AG14" s="22">
        <f>114913-1024</f>
        <v>113889</v>
      </c>
      <c r="AH14" s="22">
        <f>179778+1</f>
        <v>179779</v>
      </c>
      <c r="AI14" s="22">
        <f>179778+1+1024</f>
        <v>180803</v>
      </c>
      <c r="AJ14" s="22">
        <v>110811</v>
      </c>
      <c r="AK14" s="22">
        <v>110811</v>
      </c>
      <c r="AN14" s="22">
        <v>288479</v>
      </c>
      <c r="AO14" s="22">
        <v>288479</v>
      </c>
      <c r="AQ14" s="22">
        <v>127462</v>
      </c>
      <c r="AR14" s="22">
        <v>127462</v>
      </c>
      <c r="AS14" s="22">
        <v>124351</v>
      </c>
      <c r="AT14" s="22">
        <v>124351</v>
      </c>
      <c r="AU14" s="22">
        <v>177656</v>
      </c>
      <c r="AV14" s="22">
        <v>258046</v>
      </c>
      <c r="AX14" s="22">
        <v>133480</v>
      </c>
      <c r="AY14" s="22">
        <v>83247</v>
      </c>
      <c r="AZ14" s="22">
        <v>60061</v>
      </c>
      <c r="BA14" s="22">
        <v>144687</v>
      </c>
      <c r="BC14" s="22">
        <v>83836</v>
      </c>
      <c r="BD14" s="22">
        <v>200422</v>
      </c>
      <c r="BE14" s="22">
        <f>136057-1</f>
        <v>136056</v>
      </c>
      <c r="BF14" s="22">
        <f>201350+1</f>
        <v>201351</v>
      </c>
      <c r="BG14" s="22"/>
      <c r="BH14" s="22">
        <v>180506</v>
      </c>
      <c r="BI14" s="22">
        <v>210080</v>
      </c>
      <c r="BJ14" s="22">
        <v>142535</v>
      </c>
      <c r="BK14" s="22">
        <v>227868</v>
      </c>
      <c r="BL14" s="60"/>
      <c r="BM14" s="22">
        <v>223016</v>
      </c>
      <c r="BN14" s="22">
        <v>222759</v>
      </c>
      <c r="BO14" s="22">
        <v>168244</v>
      </c>
      <c r="BP14" s="22">
        <f>168000-1</f>
        <v>167999</v>
      </c>
      <c r="BQ14" s="22">
        <v>75539</v>
      </c>
      <c r="BR14" s="22">
        <v>75053</v>
      </c>
      <c r="BS14" s="22">
        <v>77239</v>
      </c>
      <c r="BT14" s="22">
        <f>76965+1</f>
        <v>76966</v>
      </c>
      <c r="BU14" s="22"/>
      <c r="BV14" s="22">
        <v>-49256</v>
      </c>
      <c r="BW14" s="22">
        <v>-49256</v>
      </c>
      <c r="BX14" s="22">
        <v>62718</v>
      </c>
      <c r="BY14" s="22">
        <f>47421-1</f>
        <v>47420</v>
      </c>
      <c r="BZ14" s="22">
        <f>125052+1</f>
        <v>125053</v>
      </c>
      <c r="CA14" s="22"/>
      <c r="CB14" s="22">
        <v>52183</v>
      </c>
      <c r="CC14" s="60" t="e">
        <f>+CB14-#REF!</f>
        <v>#REF!</v>
      </c>
      <c r="CD14" s="60" t="e">
        <f>+BW14-#REF!</f>
        <v>#REF!</v>
      </c>
    </row>
    <row r="15" spans="2:84" ht="25.5" x14ac:dyDescent="0.25">
      <c r="B15" s="64" t="s">
        <v>125</v>
      </c>
      <c r="C15" s="22">
        <f>203796-58</f>
        <v>203738</v>
      </c>
      <c r="D15" s="22">
        <f>167817+1913</f>
        <v>169730</v>
      </c>
      <c r="E15" s="22">
        <f>87705+1335</f>
        <v>89040</v>
      </c>
      <c r="F15" s="22">
        <f>-42376+4793</f>
        <v>-37583</v>
      </c>
      <c r="G15" s="55"/>
      <c r="H15" s="22">
        <v>101940</v>
      </c>
      <c r="I15" s="22">
        <f>147307+829</f>
        <v>148136</v>
      </c>
      <c r="J15" s="22">
        <f>80792-1711</f>
        <v>79081</v>
      </c>
      <c r="K15" s="22">
        <f>-31596+94+1</f>
        <v>-31501</v>
      </c>
      <c r="L15" s="22">
        <v>-9435</v>
      </c>
      <c r="N15" s="22">
        <v>167011</v>
      </c>
      <c r="O15" s="22">
        <v>154281</v>
      </c>
      <c r="P15" s="22">
        <f>137323-1</f>
        <v>137322</v>
      </c>
      <c r="Q15" s="22">
        <v>126817</v>
      </c>
      <c r="R15" s="22">
        <f>103988-468</f>
        <v>103520</v>
      </c>
      <c r="S15" s="22">
        <f>140773-468</f>
        <v>140305</v>
      </c>
      <c r="T15" s="22">
        <v>132145</v>
      </c>
      <c r="U15" s="22">
        <f>117208+1389-1</f>
        <v>118596</v>
      </c>
      <c r="W15" s="22">
        <v>129970</v>
      </c>
      <c r="X15" s="22">
        <v>129970</v>
      </c>
      <c r="Y15" s="22">
        <f>77954-1386</f>
        <v>76568</v>
      </c>
      <c r="Z15" s="22">
        <f>77954-1386</f>
        <v>76568</v>
      </c>
      <c r="AA15" s="22">
        <v>130368</v>
      </c>
      <c r="AB15" s="22">
        <v>130368</v>
      </c>
      <c r="AC15" s="22">
        <f>102341-3524</f>
        <v>98817</v>
      </c>
      <c r="AD15" s="22">
        <f>102341-3524+1</f>
        <v>98818</v>
      </c>
      <c r="AE15" s="22"/>
      <c r="AF15" s="22">
        <v>111887</v>
      </c>
      <c r="AG15" s="22">
        <v>111887</v>
      </c>
      <c r="AH15" s="22">
        <v>143208</v>
      </c>
      <c r="AI15" s="22">
        <v>143208</v>
      </c>
      <c r="AJ15" s="22">
        <f>137782+1</f>
        <v>137783</v>
      </c>
      <c r="AK15" s="22">
        <f>137782+1</f>
        <v>137783</v>
      </c>
      <c r="AN15" s="22">
        <f>94488-2184-1</f>
        <v>92303</v>
      </c>
      <c r="AO15" s="22">
        <f>94488-2184-1</f>
        <v>92303</v>
      </c>
      <c r="AQ15" s="22">
        <v>176866</v>
      </c>
      <c r="AR15" s="22">
        <v>176866</v>
      </c>
      <c r="AS15" s="22">
        <f>141946-1</f>
        <v>141945</v>
      </c>
      <c r="AT15" s="22">
        <f>141946-1</f>
        <v>141945</v>
      </c>
      <c r="AU15" s="22">
        <v>148648</v>
      </c>
      <c r="AV15" s="22">
        <v>21304</v>
      </c>
      <c r="AX15" s="22">
        <v>-35478</v>
      </c>
      <c r="AY15" s="22">
        <v>72921</v>
      </c>
      <c r="AZ15" s="22">
        <f>34895-1</f>
        <v>34894</v>
      </c>
      <c r="BA15" s="22">
        <v>-41977</v>
      </c>
      <c r="BC15" s="22">
        <v>33765</v>
      </c>
      <c r="BD15" s="22">
        <v>117246</v>
      </c>
      <c r="BE15" s="22">
        <v>141236</v>
      </c>
      <c r="BF15" s="22">
        <v>101985</v>
      </c>
      <c r="BG15" s="22"/>
      <c r="BH15" s="22">
        <v>136898</v>
      </c>
      <c r="BI15" s="22">
        <v>146077</v>
      </c>
      <c r="BJ15" s="22">
        <f>260997-1</f>
        <v>260996</v>
      </c>
      <c r="BK15" s="22">
        <f>215301+1</f>
        <v>215302</v>
      </c>
      <c r="BL15" s="60"/>
      <c r="BM15" s="22">
        <v>251006</v>
      </c>
      <c r="BN15" s="22">
        <v>251006</v>
      </c>
      <c r="BO15" s="22">
        <v>18635</v>
      </c>
      <c r="BP15" s="22">
        <v>18635</v>
      </c>
      <c r="BQ15" s="22">
        <v>163718</v>
      </c>
      <c r="BR15" s="22">
        <v>163718</v>
      </c>
      <c r="BS15" s="22">
        <f>153064-1</f>
        <v>153063</v>
      </c>
      <c r="BT15" s="22">
        <f>153064-1</f>
        <v>153063</v>
      </c>
      <c r="BU15" s="22"/>
      <c r="BV15" s="22">
        <v>1860870</v>
      </c>
      <c r="BW15" s="22">
        <v>40498</v>
      </c>
      <c r="BX15" s="22">
        <f>286154-1</f>
        <v>286153</v>
      </c>
      <c r="BY15" s="22">
        <f>483727+1</f>
        <v>483728</v>
      </c>
      <c r="BZ15" s="22">
        <v>24892</v>
      </c>
      <c r="CA15" s="22"/>
      <c r="CB15" s="22">
        <v>115321</v>
      </c>
      <c r="CC15" s="60" t="e">
        <f>+CB15-#REF!</f>
        <v>#REF!</v>
      </c>
      <c r="CD15" s="60" t="e">
        <f>+BW15-#REF!</f>
        <v>#REF!</v>
      </c>
    </row>
    <row r="16" spans="2:84" ht="16.5" customHeight="1" x14ac:dyDescent="0.25">
      <c r="B16" s="64" t="s">
        <v>126</v>
      </c>
      <c r="C16" s="22">
        <v>102626</v>
      </c>
      <c r="D16" s="22">
        <v>109315</v>
      </c>
      <c r="E16" s="22">
        <v>98647</v>
      </c>
      <c r="F16" s="22">
        <v>-249617</v>
      </c>
      <c r="G16" s="55"/>
      <c r="H16" s="22">
        <v>17691</v>
      </c>
      <c r="I16" s="22">
        <v>24887</v>
      </c>
      <c r="J16" s="22">
        <v>36870</v>
      </c>
      <c r="K16" s="22">
        <f>23598+1</f>
        <v>23599</v>
      </c>
      <c r="L16" s="22">
        <v>23599</v>
      </c>
      <c r="N16" s="22">
        <v>48060</v>
      </c>
      <c r="O16" s="22">
        <v>48059</v>
      </c>
      <c r="P16" s="22">
        <v>44658</v>
      </c>
      <c r="Q16" s="22">
        <f>44658+1</f>
        <v>44659</v>
      </c>
      <c r="R16" s="22">
        <v>45663</v>
      </c>
      <c r="S16" s="22">
        <v>45663</v>
      </c>
      <c r="T16" s="22">
        <v>31658</v>
      </c>
      <c r="U16" s="22">
        <v>31658</v>
      </c>
      <c r="W16" s="22">
        <v>30969</v>
      </c>
      <c r="X16" s="22">
        <v>30969</v>
      </c>
      <c r="Y16" s="22">
        <v>59818</v>
      </c>
      <c r="Z16" s="22">
        <v>59818</v>
      </c>
      <c r="AA16" s="22">
        <v>53317</v>
      </c>
      <c r="AB16" s="22">
        <v>53317</v>
      </c>
      <c r="AC16" s="22">
        <v>54384</v>
      </c>
      <c r="AD16" s="22">
        <f>54384-1</f>
        <v>54383</v>
      </c>
      <c r="AE16" s="22"/>
      <c r="AF16" s="22">
        <v>76432</v>
      </c>
      <c r="AG16" s="22">
        <f>76432-1024</f>
        <v>75408</v>
      </c>
      <c r="AH16" s="22">
        <v>49866</v>
      </c>
      <c r="AI16" s="22">
        <f>49866+1024</f>
        <v>50890</v>
      </c>
      <c r="AJ16" s="22">
        <v>108954</v>
      </c>
      <c r="AK16" s="22">
        <v>108954</v>
      </c>
      <c r="AN16" s="22">
        <v>83338</v>
      </c>
      <c r="AO16" s="22">
        <v>83338</v>
      </c>
      <c r="AQ16" s="22">
        <v>64916</v>
      </c>
      <c r="AR16" s="22">
        <v>64916</v>
      </c>
      <c r="AS16" s="22">
        <v>65241</v>
      </c>
      <c r="AT16" s="22">
        <v>65241</v>
      </c>
      <c r="AU16" s="22">
        <v>59674</v>
      </c>
      <c r="AV16" s="22">
        <v>55715</v>
      </c>
      <c r="AX16" s="22">
        <v>54976</v>
      </c>
      <c r="AY16" s="22">
        <v>35697</v>
      </c>
      <c r="AZ16" s="22">
        <v>49032</v>
      </c>
      <c r="BA16" s="22">
        <v>57161</v>
      </c>
      <c r="BC16" s="66">
        <v>50046</v>
      </c>
      <c r="BD16" s="66">
        <v>54428</v>
      </c>
      <c r="BE16" s="66">
        <v>61881</v>
      </c>
      <c r="BF16" s="66">
        <v>63005</v>
      </c>
      <c r="BG16" s="66"/>
      <c r="BH16" s="66">
        <v>65753</v>
      </c>
      <c r="BI16" s="66">
        <f>76172-1</f>
        <v>76171</v>
      </c>
      <c r="BJ16" s="66">
        <v>73861</v>
      </c>
      <c r="BK16" s="66">
        <f>80516+1</f>
        <v>80517</v>
      </c>
      <c r="BL16" s="60"/>
      <c r="BM16" s="66">
        <v>83989</v>
      </c>
      <c r="BN16" s="66">
        <v>54580</v>
      </c>
      <c r="BO16" s="66">
        <v>76949</v>
      </c>
      <c r="BP16" s="66">
        <v>50629</v>
      </c>
      <c r="BQ16" s="66">
        <v>69326</v>
      </c>
      <c r="BR16" s="66">
        <v>42345</v>
      </c>
      <c r="BS16" s="66">
        <v>67910</v>
      </c>
      <c r="BT16" s="66">
        <v>42071</v>
      </c>
      <c r="BU16" s="66"/>
      <c r="BV16" s="66">
        <v>47900</v>
      </c>
      <c r="BW16" s="66">
        <v>47900</v>
      </c>
      <c r="BX16" s="66">
        <v>60526</v>
      </c>
      <c r="BY16" s="66">
        <v>46393</v>
      </c>
      <c r="BZ16" s="66">
        <v>39291</v>
      </c>
      <c r="CA16" s="66"/>
      <c r="CB16" s="66">
        <v>39191</v>
      </c>
      <c r="CC16" s="60" t="e">
        <f>+CB16-#REF!</f>
        <v>#REF!</v>
      </c>
      <c r="CD16" s="60" t="e">
        <f>+BW16-#REF!</f>
        <v>#REF!</v>
      </c>
    </row>
    <row r="17" spans="2:82" ht="6.75" customHeight="1" x14ac:dyDescent="0.25">
      <c r="C17" s="55"/>
      <c r="D17" s="66"/>
      <c r="E17" s="66"/>
      <c r="F17" s="66"/>
      <c r="G17" s="55"/>
      <c r="H17" s="66"/>
      <c r="I17" s="66"/>
      <c r="J17" s="66"/>
      <c r="K17" s="66"/>
      <c r="L17" s="66"/>
      <c r="N17" s="66"/>
      <c r="O17" s="66"/>
      <c r="P17" s="66"/>
      <c r="Q17" s="66"/>
      <c r="R17" s="66"/>
      <c r="S17" s="66"/>
      <c r="T17" s="66"/>
      <c r="U17" s="66"/>
      <c r="W17" s="66"/>
      <c r="X17" s="66"/>
      <c r="Y17" s="66"/>
      <c r="Z17" s="66"/>
      <c r="AA17" s="66"/>
      <c r="AB17" s="66"/>
      <c r="AC17" s="66"/>
      <c r="AD17" s="66"/>
      <c r="AE17" s="66"/>
      <c r="AF17" s="66"/>
      <c r="AG17" s="66"/>
      <c r="AH17" s="66"/>
      <c r="AI17" s="66"/>
      <c r="AJ17" s="66"/>
      <c r="AK17" s="66"/>
      <c r="AN17" s="66"/>
      <c r="AO17" s="66"/>
      <c r="AQ17" s="66"/>
      <c r="AR17" s="66"/>
      <c r="AS17" s="66"/>
      <c r="AT17" s="66"/>
      <c r="AU17" s="66"/>
      <c r="AV17" s="66"/>
      <c r="AX17" s="66"/>
      <c r="AY17" s="66"/>
      <c r="AZ17" s="66"/>
      <c r="BA17" s="66"/>
      <c r="BL17" s="60"/>
      <c r="CC17" s="60"/>
      <c r="CD17" s="60"/>
    </row>
    <row r="18" spans="2:82" ht="16.5" customHeight="1" x14ac:dyDescent="0.25">
      <c r="B18" s="56" t="s">
        <v>127</v>
      </c>
      <c r="C18" s="67">
        <f>SUM(C19:C22)</f>
        <v>1395579</v>
      </c>
      <c r="D18" s="59">
        <f>SUM(D19:D22)</f>
        <v>1718950.8439674901</v>
      </c>
      <c r="E18" s="59">
        <f>SUM(E19:E22)</f>
        <v>1646441</v>
      </c>
      <c r="F18" s="59">
        <f>SUM(F19:F22)</f>
        <v>1815266</v>
      </c>
      <c r="G18" s="55"/>
      <c r="H18" s="59">
        <f>SUM(H19:H22)</f>
        <v>1932374</v>
      </c>
      <c r="I18" s="59">
        <f t="shared" ref="I18:U18" si="7">SUM(I19:I22)</f>
        <v>2028265</v>
      </c>
      <c r="J18" s="59">
        <f t="shared" si="7"/>
        <v>2441431</v>
      </c>
      <c r="K18" s="59">
        <f t="shared" si="7"/>
        <v>3228975</v>
      </c>
      <c r="L18" s="59">
        <f t="shared" si="7"/>
        <v>3322002</v>
      </c>
      <c r="M18" s="59">
        <f t="shared" si="7"/>
        <v>0</v>
      </c>
      <c r="N18" s="59">
        <f t="shared" si="7"/>
        <v>2952728</v>
      </c>
      <c r="O18" s="59">
        <f t="shared" si="7"/>
        <v>2952525</v>
      </c>
      <c r="P18" s="59">
        <f t="shared" si="7"/>
        <v>2379246</v>
      </c>
      <c r="Q18" s="59">
        <f t="shared" si="7"/>
        <v>2378643</v>
      </c>
      <c r="R18" s="59">
        <f t="shared" si="7"/>
        <v>2357572</v>
      </c>
      <c r="S18" s="59">
        <f t="shared" si="7"/>
        <v>2361600</v>
      </c>
      <c r="T18" s="59">
        <f t="shared" si="7"/>
        <v>2741928</v>
      </c>
      <c r="U18" s="59">
        <f t="shared" si="7"/>
        <v>2738706</v>
      </c>
      <c r="W18" s="59">
        <f t="shared" ref="W18:AD18" si="8">SUM(W19:W22)</f>
        <v>2416638</v>
      </c>
      <c r="X18" s="59">
        <f t="shared" si="8"/>
        <v>2479144</v>
      </c>
      <c r="Y18" s="59">
        <f t="shared" si="8"/>
        <v>2476082</v>
      </c>
      <c r="Z18" s="59">
        <f t="shared" si="8"/>
        <v>2579363</v>
      </c>
      <c r="AA18" s="59">
        <f t="shared" si="8"/>
        <v>2622976</v>
      </c>
      <c r="AB18" s="59">
        <f t="shared" si="8"/>
        <v>2854732</v>
      </c>
      <c r="AC18" s="59">
        <f t="shared" si="8"/>
        <v>2803579</v>
      </c>
      <c r="AD18" s="59">
        <f t="shared" si="8"/>
        <v>2578896</v>
      </c>
      <c r="AE18" s="59"/>
      <c r="AF18" s="59">
        <f t="shared" ref="AF18:AK18" si="9">SUM(AF19:AF22)</f>
        <v>2317141</v>
      </c>
      <c r="AG18" s="59">
        <f t="shared" si="9"/>
        <v>2375672</v>
      </c>
      <c r="AH18" s="59">
        <f t="shared" si="9"/>
        <v>2546340</v>
      </c>
      <c r="AI18" s="59">
        <f t="shared" si="9"/>
        <v>2604825</v>
      </c>
      <c r="AJ18" s="59">
        <f t="shared" si="9"/>
        <v>2579168</v>
      </c>
      <c r="AK18" s="59">
        <f t="shared" si="9"/>
        <v>2579169</v>
      </c>
      <c r="AN18" s="59">
        <f t="shared" ref="AN18:AO18" si="10">SUM(AN19:AN22)</f>
        <v>2651727</v>
      </c>
      <c r="AO18" s="59">
        <f t="shared" si="10"/>
        <v>2651727</v>
      </c>
      <c r="AQ18" s="59">
        <f t="shared" ref="AQ18:AV18" si="11">SUM(AQ19:AQ22)</f>
        <v>2685456</v>
      </c>
      <c r="AR18" s="59">
        <f t="shared" si="11"/>
        <v>2685456</v>
      </c>
      <c r="AS18" s="59">
        <f t="shared" si="11"/>
        <v>2822418</v>
      </c>
      <c r="AT18" s="59">
        <f t="shared" si="11"/>
        <v>2866576</v>
      </c>
      <c r="AU18" s="59">
        <f t="shared" si="11"/>
        <v>3851920</v>
      </c>
      <c r="AV18" s="59">
        <f t="shared" si="11"/>
        <v>2861060</v>
      </c>
      <c r="AX18" s="59">
        <f t="shared" ref="AX18:BA18" si="12">SUM(AX19:AX22)</f>
        <v>2797682</v>
      </c>
      <c r="AY18" s="59">
        <f t="shared" si="12"/>
        <v>2498216</v>
      </c>
      <c r="AZ18" s="59">
        <f t="shared" si="12"/>
        <v>2615417</v>
      </c>
      <c r="BA18" s="59">
        <f t="shared" si="12"/>
        <v>2720609</v>
      </c>
      <c r="BC18" s="59">
        <f t="shared" ref="BC18:BF18" si="13">SUM(BC19:BC22)</f>
        <v>2750841</v>
      </c>
      <c r="BD18" s="59">
        <f t="shared" si="13"/>
        <v>2923945</v>
      </c>
      <c r="BE18" s="59">
        <f t="shared" si="13"/>
        <v>2989665</v>
      </c>
      <c r="BF18" s="59">
        <f t="shared" si="13"/>
        <v>3183862</v>
      </c>
      <c r="BG18" s="59"/>
      <c r="BH18" s="59">
        <f t="shared" ref="BH18:BJ18" si="14">SUM(BH19:BH22)</f>
        <v>3417804</v>
      </c>
      <c r="BI18" s="59">
        <f t="shared" si="14"/>
        <v>4472689</v>
      </c>
      <c r="BJ18" s="59">
        <f t="shared" si="14"/>
        <v>3673290</v>
      </c>
      <c r="BK18" s="59">
        <f t="shared" ref="BK18:BM18" si="15">SUM(BK19:BK22)</f>
        <v>4227589</v>
      </c>
      <c r="BL18" s="60"/>
      <c r="BM18" s="59">
        <f t="shared" si="15"/>
        <v>3959964</v>
      </c>
      <c r="BN18" s="59">
        <f t="shared" ref="BN18" si="16">SUM(BN19:BN22)</f>
        <v>2294982</v>
      </c>
      <c r="BO18" s="59">
        <f t="shared" ref="BO18:BQ18" si="17">SUM(BO19:BO22)</f>
        <v>4551409</v>
      </c>
      <c r="BP18" s="59">
        <f t="shared" ref="BP18" si="18">SUM(BP19:BP22)</f>
        <v>3015363</v>
      </c>
      <c r="BQ18" s="59">
        <f t="shared" si="17"/>
        <v>3464541</v>
      </c>
      <c r="BR18" s="59">
        <f t="shared" ref="BR18" si="19">SUM(BR19:BR22)</f>
        <v>2125840</v>
      </c>
      <c r="BS18" s="59">
        <f t="shared" ref="BS18:BT18" si="20">SUM(BS19:BS22)</f>
        <v>4336176</v>
      </c>
      <c r="BT18" s="59">
        <f t="shared" si="20"/>
        <v>3059893</v>
      </c>
      <c r="BU18" s="59"/>
      <c r="BV18" s="59">
        <f t="shared" ref="BV18:BY18" si="21">SUM(BV19:BV22)</f>
        <v>2067545</v>
      </c>
      <c r="BW18" s="59">
        <f t="shared" ref="BW18" si="22">SUM(BW19:BW22)</f>
        <v>2067544</v>
      </c>
      <c r="BX18" s="59">
        <f t="shared" si="21"/>
        <v>2541181</v>
      </c>
      <c r="BY18" s="59">
        <f t="shared" si="21"/>
        <v>2090947</v>
      </c>
      <c r="BZ18" s="59">
        <f t="shared" ref="BZ18" si="23">SUM(BZ19:BZ22)</f>
        <v>2885126</v>
      </c>
      <c r="CA18" s="59"/>
      <c r="CB18" s="59">
        <f t="shared" ref="CB18" si="24">SUM(CB19:CB22)</f>
        <v>1952215</v>
      </c>
      <c r="CC18" s="60" t="e">
        <f>+CB18-#REF!</f>
        <v>#REF!</v>
      </c>
      <c r="CD18" s="60" t="e">
        <f>+BW18-#REF!</f>
        <v>#REF!</v>
      </c>
    </row>
    <row r="19" spans="2:82" ht="16.5" customHeight="1" x14ac:dyDescent="0.25">
      <c r="B19" s="64" t="s">
        <v>128</v>
      </c>
      <c r="C19" s="68">
        <v>1219105</v>
      </c>
      <c r="D19" s="22">
        <v>1457032.1981916202</v>
      </c>
      <c r="E19" s="22">
        <v>1470281</v>
      </c>
      <c r="F19" s="65">
        <f>1532585+148990</f>
        <v>1681575</v>
      </c>
      <c r="G19" s="55"/>
      <c r="H19" s="22">
        <f>1735140+1</f>
        <v>1735141</v>
      </c>
      <c r="I19" s="22">
        <f>1816481-1</f>
        <v>1816480</v>
      </c>
      <c r="J19" s="22">
        <v>2234831</v>
      </c>
      <c r="K19" s="22">
        <v>2846760</v>
      </c>
      <c r="L19" s="22">
        <v>2925128</v>
      </c>
      <c r="N19" s="22">
        <v>2695173</v>
      </c>
      <c r="O19" s="22">
        <v>2695173</v>
      </c>
      <c r="P19" s="22">
        <v>2175634</v>
      </c>
      <c r="Q19" s="22">
        <v>2175634</v>
      </c>
      <c r="R19" s="22">
        <v>2066846</v>
      </c>
      <c r="S19" s="22">
        <v>2066846</v>
      </c>
      <c r="T19" s="22">
        <v>2045753</v>
      </c>
      <c r="U19" s="22">
        <v>2045753</v>
      </c>
      <c r="W19" s="22">
        <v>2100364</v>
      </c>
      <c r="X19" s="22">
        <v>2162870</v>
      </c>
      <c r="Y19" s="22">
        <f>2051400</f>
        <v>2051400</v>
      </c>
      <c r="Z19" s="22">
        <f>2154681-1</f>
        <v>2154680</v>
      </c>
      <c r="AA19" s="22">
        <v>2074681</v>
      </c>
      <c r="AB19" s="22">
        <v>2180785</v>
      </c>
      <c r="AC19" s="22">
        <f>2486736+2</f>
        <v>2486738</v>
      </c>
      <c r="AD19" s="22">
        <f>2214846+2</f>
        <v>2214848</v>
      </c>
      <c r="AE19" s="22"/>
      <c r="AF19" s="22">
        <v>2086302</v>
      </c>
      <c r="AG19" s="22">
        <v>2086302</v>
      </c>
      <c r="AH19" s="22">
        <f>2268617+1</f>
        <v>2268618</v>
      </c>
      <c r="AI19" s="22">
        <f>2268617+1</f>
        <v>2268618</v>
      </c>
      <c r="AJ19" s="22">
        <v>2276872</v>
      </c>
      <c r="AK19" s="22">
        <v>2276872</v>
      </c>
      <c r="AL19" s="60"/>
      <c r="AM19" s="60"/>
      <c r="AN19" s="22">
        <v>2349342</v>
      </c>
      <c r="AO19" s="22">
        <v>2349342</v>
      </c>
      <c r="AP19" s="60"/>
      <c r="AQ19" s="22">
        <v>2346085</v>
      </c>
      <c r="AR19" s="22">
        <v>2346085</v>
      </c>
      <c r="AS19" s="22">
        <f>2439852+1</f>
        <v>2439853</v>
      </c>
      <c r="AT19" s="22">
        <f>2439852+1</f>
        <v>2439853</v>
      </c>
      <c r="AU19" s="22">
        <f>2647845-1</f>
        <v>2647844</v>
      </c>
      <c r="AV19" s="22">
        <v>2458935</v>
      </c>
      <c r="AW19" s="60"/>
      <c r="AX19" s="22">
        <v>2383062</v>
      </c>
      <c r="AY19" s="22">
        <v>2122510</v>
      </c>
      <c r="AZ19" s="22">
        <v>2247991</v>
      </c>
      <c r="BA19" s="22">
        <v>2312010</v>
      </c>
      <c r="BB19" s="60"/>
      <c r="BC19" s="22">
        <v>2383803</v>
      </c>
      <c r="BD19" s="22">
        <f>2485337+1</f>
        <v>2485338</v>
      </c>
      <c r="BE19" s="22">
        <v>2603062</v>
      </c>
      <c r="BF19" s="22">
        <v>2772862</v>
      </c>
      <c r="BG19" s="22"/>
      <c r="BH19" s="22">
        <v>3013948</v>
      </c>
      <c r="BI19" s="22">
        <v>3029728</v>
      </c>
      <c r="BJ19" s="22">
        <f>3268886+1</f>
        <v>3268887</v>
      </c>
      <c r="BK19" s="22">
        <v>3850700</v>
      </c>
      <c r="BL19" s="60"/>
      <c r="BM19" s="22">
        <f>3625245-1</f>
        <v>3625244</v>
      </c>
      <c r="BN19" s="22">
        <f>2102680-1</f>
        <v>2102679</v>
      </c>
      <c r="BO19" s="22">
        <v>3659688</v>
      </c>
      <c r="BP19" s="22">
        <f>2242908+2</f>
        <v>2242910</v>
      </c>
      <c r="BQ19" s="22">
        <f>3130544+1</f>
        <v>3130545</v>
      </c>
      <c r="BR19" s="22">
        <f>1897309-2</f>
        <v>1897307</v>
      </c>
      <c r="BS19" s="22">
        <v>3134110</v>
      </c>
      <c r="BT19" s="22">
        <f>1970023+1</f>
        <v>1970024</v>
      </c>
      <c r="BU19" s="22"/>
      <c r="BV19" s="22">
        <f>1879474+1</f>
        <v>1879475</v>
      </c>
      <c r="BW19" s="22">
        <f>1879474</f>
        <v>1879474</v>
      </c>
      <c r="BX19" s="22">
        <v>2311671</v>
      </c>
      <c r="BY19" s="22">
        <v>1867712</v>
      </c>
      <c r="BZ19" s="22">
        <f>2574668-1</f>
        <v>2574667</v>
      </c>
      <c r="CA19" s="22"/>
      <c r="CB19" s="22">
        <f>1748224-1</f>
        <v>1748223</v>
      </c>
      <c r="CC19" s="60" t="e">
        <f>+CB19-#REF!</f>
        <v>#REF!</v>
      </c>
      <c r="CD19" s="60" t="e">
        <f>+BW19-#REF!</f>
        <v>#REF!</v>
      </c>
    </row>
    <row r="20" spans="2:82" ht="16.5" customHeight="1" x14ac:dyDescent="0.25">
      <c r="B20" s="64" t="s">
        <v>129</v>
      </c>
      <c r="C20" s="68">
        <v>133215</v>
      </c>
      <c r="D20" s="22">
        <v>147306.10460471999</v>
      </c>
      <c r="E20" s="22">
        <v>111773</v>
      </c>
      <c r="F20" s="22">
        <f>78595-1</f>
        <v>78594</v>
      </c>
      <c r="G20" s="55"/>
      <c r="H20" s="22">
        <v>197626</v>
      </c>
      <c r="I20" s="22">
        <v>166732</v>
      </c>
      <c r="J20" s="22">
        <v>189486</v>
      </c>
      <c r="K20" s="22">
        <v>201199</v>
      </c>
      <c r="L20" s="22">
        <v>200459</v>
      </c>
      <c r="N20" s="22">
        <v>214247</v>
      </c>
      <c r="O20" s="22">
        <v>213654</v>
      </c>
      <c r="P20" s="22">
        <v>196554</v>
      </c>
      <c r="Q20" s="22">
        <v>195961</v>
      </c>
      <c r="R20" s="22">
        <v>200431</v>
      </c>
      <c r="S20" s="22">
        <v>204459</v>
      </c>
      <c r="T20" s="22">
        <v>243653</v>
      </c>
      <c r="U20" s="22">
        <v>240811</v>
      </c>
      <c r="W20" s="22">
        <v>245643</v>
      </c>
      <c r="X20" s="22">
        <v>245643</v>
      </c>
      <c r="Y20" s="22">
        <f>227496</f>
        <v>227496</v>
      </c>
      <c r="Z20" s="22">
        <f>227496</f>
        <v>227496</v>
      </c>
      <c r="AA20" s="22">
        <v>233124</v>
      </c>
      <c r="AB20" s="22">
        <v>358777</v>
      </c>
      <c r="AC20" s="22">
        <v>224870</v>
      </c>
      <c r="AD20" s="22">
        <f>272076+1</f>
        <v>272077</v>
      </c>
      <c r="AE20" s="22"/>
      <c r="AF20" s="22">
        <v>221530</v>
      </c>
      <c r="AG20" s="22">
        <v>280061</v>
      </c>
      <c r="AH20" s="22">
        <v>235774</v>
      </c>
      <c r="AI20" s="22">
        <f>294260-1</f>
        <v>294259</v>
      </c>
      <c r="AJ20" s="22">
        <f>285940-1</f>
        <v>285939</v>
      </c>
      <c r="AK20" s="22">
        <f>285940</f>
        <v>285940</v>
      </c>
      <c r="AL20" s="60">
        <f>+AG20-AF20</f>
        <v>58531</v>
      </c>
      <c r="AM20" s="60">
        <f>+AI20-AH20</f>
        <v>58485</v>
      </c>
      <c r="AN20" s="22">
        <f>268477+1</f>
        <v>268478</v>
      </c>
      <c r="AO20" s="22">
        <f>268477+1</f>
        <v>268478</v>
      </c>
      <c r="AP20" s="60"/>
      <c r="AQ20" s="22">
        <v>328510</v>
      </c>
      <c r="AR20" s="22">
        <v>328510</v>
      </c>
      <c r="AS20" s="22">
        <v>373108</v>
      </c>
      <c r="AT20" s="22">
        <v>373108</v>
      </c>
      <c r="AU20" s="22">
        <v>365534</v>
      </c>
      <c r="AV20" s="22">
        <v>344788</v>
      </c>
      <c r="AW20" s="60"/>
      <c r="AX20" s="22">
        <v>356537</v>
      </c>
      <c r="AY20" s="22">
        <v>368685</v>
      </c>
      <c r="AZ20" s="22">
        <v>357938</v>
      </c>
      <c r="BA20" s="22">
        <v>358260</v>
      </c>
      <c r="BB20" s="60"/>
      <c r="BC20" s="22">
        <v>360552</v>
      </c>
      <c r="BD20" s="22">
        <v>367081</v>
      </c>
      <c r="BE20" s="22">
        <v>366743</v>
      </c>
      <c r="BF20" s="22">
        <f>371398-1</f>
        <v>371397</v>
      </c>
      <c r="BG20" s="22"/>
      <c r="BH20" s="22">
        <v>373933</v>
      </c>
      <c r="BI20" s="22">
        <f>363100+1</f>
        <v>363101</v>
      </c>
      <c r="BJ20" s="22">
        <f>379860-1</f>
        <v>379859</v>
      </c>
      <c r="BK20" s="22">
        <v>324989</v>
      </c>
      <c r="BL20" s="60"/>
      <c r="BM20" s="22">
        <v>312775</v>
      </c>
      <c r="BN20" s="22">
        <v>170358</v>
      </c>
      <c r="BO20" s="22">
        <v>301873</v>
      </c>
      <c r="BP20" s="22">
        <v>182605</v>
      </c>
      <c r="BQ20" s="22">
        <v>282270</v>
      </c>
      <c r="BR20" s="22">
        <v>176806</v>
      </c>
      <c r="BS20" s="22">
        <v>304144</v>
      </c>
      <c r="BT20" s="22">
        <v>191948</v>
      </c>
      <c r="BU20" s="22"/>
      <c r="BV20" s="22">
        <v>171741</v>
      </c>
      <c r="BW20" s="22">
        <v>171741</v>
      </c>
      <c r="BX20" s="22">
        <v>186150</v>
      </c>
      <c r="BY20" s="22">
        <v>201421</v>
      </c>
      <c r="BZ20" s="22">
        <f>203574+1</f>
        <v>203575</v>
      </c>
      <c r="CA20" s="22"/>
      <c r="CB20" s="22">
        <v>185648</v>
      </c>
      <c r="CC20" s="60" t="e">
        <f>+CB20-#REF!</f>
        <v>#REF!</v>
      </c>
      <c r="CD20" s="60" t="e">
        <f>+BW20-#REF!</f>
        <v>#REF!</v>
      </c>
    </row>
    <row r="21" spans="2:82" ht="15.75" customHeight="1" x14ac:dyDescent="0.25">
      <c r="B21" s="64" t="s">
        <v>130</v>
      </c>
      <c r="C21" s="68">
        <v>32888</v>
      </c>
      <c r="D21" s="22">
        <v>116153.38323199999</v>
      </c>
      <c r="E21" s="22">
        <v>65351</v>
      </c>
      <c r="F21" s="22">
        <v>42445</v>
      </c>
      <c r="G21" s="55"/>
      <c r="H21" s="22">
        <v>0</v>
      </c>
      <c r="I21" s="22">
        <v>42075</v>
      </c>
      <c r="J21" s="22">
        <v>0</v>
      </c>
      <c r="K21" s="22">
        <v>57390</v>
      </c>
      <c r="L21" s="22">
        <v>57390</v>
      </c>
      <c r="N21" s="22">
        <v>11323</v>
      </c>
      <c r="O21" s="22">
        <v>11713</v>
      </c>
      <c r="P21" s="22">
        <f>79</f>
        <v>79</v>
      </c>
      <c r="Q21" s="22">
        <v>69</v>
      </c>
      <c r="R21" s="22">
        <v>77774</v>
      </c>
      <c r="S21" s="22">
        <v>77774</v>
      </c>
      <c r="T21" s="22">
        <v>373087</v>
      </c>
      <c r="U21" s="22">
        <v>372707</v>
      </c>
      <c r="W21" s="22">
        <v>0</v>
      </c>
      <c r="X21" s="22">
        <v>0</v>
      </c>
      <c r="Y21" s="22">
        <v>66801</v>
      </c>
      <c r="Z21" s="22">
        <v>66801</v>
      </c>
      <c r="AA21" s="22">
        <f>250218-1</f>
        <v>250217</v>
      </c>
      <c r="AB21" s="22">
        <f>250218-1</f>
        <v>250217</v>
      </c>
      <c r="AC21" s="22">
        <v>0</v>
      </c>
      <c r="AD21" s="22">
        <v>0</v>
      </c>
      <c r="AE21" s="22"/>
      <c r="AF21" s="22">
        <v>0</v>
      </c>
      <c r="AG21" s="22">
        <v>0</v>
      </c>
      <c r="AH21" s="22">
        <v>0</v>
      </c>
      <c r="AI21" s="22">
        <v>0</v>
      </c>
      <c r="AJ21" s="22">
        <v>0</v>
      </c>
      <c r="AK21" s="22">
        <v>0</v>
      </c>
      <c r="AN21" s="22">
        <v>932</v>
      </c>
      <c r="AO21" s="22">
        <v>932</v>
      </c>
      <c r="AQ21" s="22">
        <v>0</v>
      </c>
      <c r="AR21" s="22">
        <v>0</v>
      </c>
      <c r="AS21" s="22">
        <v>0</v>
      </c>
      <c r="AT21" s="22">
        <v>44158</v>
      </c>
      <c r="AU21" s="22">
        <v>781170</v>
      </c>
      <c r="AV21" s="22">
        <v>0</v>
      </c>
      <c r="AW21" s="60"/>
      <c r="AX21" s="22">
        <v>43276</v>
      </c>
      <c r="AY21" s="22">
        <v>0</v>
      </c>
      <c r="AZ21" s="22">
        <v>835</v>
      </c>
      <c r="BA21" s="22">
        <v>18630</v>
      </c>
      <c r="BB21" s="60"/>
      <c r="BC21" s="22">
        <v>0</v>
      </c>
      <c r="BD21" s="22">
        <v>909</v>
      </c>
      <c r="BE21" s="22">
        <v>0</v>
      </c>
      <c r="BF21" s="22">
        <v>6874</v>
      </c>
      <c r="BG21" s="22"/>
      <c r="BH21" s="22">
        <v>0</v>
      </c>
      <c r="BI21" s="22">
        <v>1044922</v>
      </c>
      <c r="BJ21" s="22">
        <v>0</v>
      </c>
      <c r="BK21" s="22">
        <v>0</v>
      </c>
      <c r="BL21" s="60"/>
      <c r="BM21" s="22">
        <v>0</v>
      </c>
      <c r="BN21" s="22">
        <v>0</v>
      </c>
      <c r="BO21" s="22">
        <v>569751</v>
      </c>
      <c r="BP21" s="22">
        <v>569751</v>
      </c>
      <c r="BQ21" s="22">
        <v>0</v>
      </c>
      <c r="BR21" s="22">
        <v>0</v>
      </c>
      <c r="BS21" s="22">
        <v>830382</v>
      </c>
      <c r="BT21" s="22">
        <v>830382</v>
      </c>
      <c r="BU21" s="22"/>
      <c r="BV21" s="22">
        <v>0</v>
      </c>
      <c r="BW21" s="22">
        <v>0</v>
      </c>
      <c r="BX21" s="22">
        <v>19197</v>
      </c>
      <c r="BY21" s="22">
        <v>-779</v>
      </c>
      <c r="BZ21" s="22">
        <v>0</v>
      </c>
      <c r="CA21" s="22"/>
      <c r="CB21" s="22">
        <v>7490</v>
      </c>
      <c r="CC21" s="60" t="e">
        <f>+CB21-#REF!</f>
        <v>#REF!</v>
      </c>
      <c r="CD21" s="60" t="e">
        <f>+BW21-#REF!</f>
        <v>#REF!</v>
      </c>
    </row>
    <row r="22" spans="2:82" ht="15" customHeight="1" x14ac:dyDescent="0.25">
      <c r="B22" s="64" t="s">
        <v>131</v>
      </c>
      <c r="C22" s="68">
        <v>10371</v>
      </c>
      <c r="D22" s="22">
        <v>-1540.8420608499998</v>
      </c>
      <c r="E22" s="22">
        <v>-964</v>
      </c>
      <c r="F22" s="22">
        <v>12652</v>
      </c>
      <c r="G22" s="55"/>
      <c r="H22" s="22">
        <v>-393</v>
      </c>
      <c r="I22" s="22">
        <v>2978</v>
      </c>
      <c r="J22" s="22">
        <v>17114</v>
      </c>
      <c r="K22" s="22">
        <v>123626</v>
      </c>
      <c r="L22" s="22">
        <v>139025</v>
      </c>
      <c r="N22" s="22">
        <v>31985</v>
      </c>
      <c r="O22" s="22">
        <v>31985</v>
      </c>
      <c r="P22" s="22">
        <v>6979</v>
      </c>
      <c r="Q22" s="22">
        <v>6979</v>
      </c>
      <c r="R22" s="22">
        <v>12521</v>
      </c>
      <c r="S22" s="22">
        <v>12521</v>
      </c>
      <c r="T22" s="22">
        <v>79435</v>
      </c>
      <c r="U22" s="22">
        <v>79435</v>
      </c>
      <c r="W22" s="22">
        <v>70631</v>
      </c>
      <c r="X22" s="22">
        <v>70631</v>
      </c>
      <c r="Y22" s="22">
        <v>130385</v>
      </c>
      <c r="Z22" s="22">
        <f>130385+1</f>
        <v>130386</v>
      </c>
      <c r="AA22" s="22">
        <f>64953+1</f>
        <v>64954</v>
      </c>
      <c r="AB22" s="22">
        <f>64953</f>
        <v>64953</v>
      </c>
      <c r="AC22" s="22">
        <v>91971</v>
      </c>
      <c r="AD22" s="22">
        <v>91971</v>
      </c>
      <c r="AE22" s="22"/>
      <c r="AF22" s="22">
        <v>9309</v>
      </c>
      <c r="AG22" s="22">
        <v>9309</v>
      </c>
      <c r="AH22" s="22">
        <v>41948</v>
      </c>
      <c r="AI22" s="22">
        <v>41948</v>
      </c>
      <c r="AJ22" s="22">
        <f>16356+1</f>
        <v>16357</v>
      </c>
      <c r="AK22" s="22">
        <f>16356+1</f>
        <v>16357</v>
      </c>
      <c r="AN22" s="22">
        <v>32975</v>
      </c>
      <c r="AO22" s="22">
        <v>32975</v>
      </c>
      <c r="AQ22" s="22">
        <v>10861</v>
      </c>
      <c r="AR22" s="22">
        <v>10861</v>
      </c>
      <c r="AS22" s="22">
        <v>9457</v>
      </c>
      <c r="AT22" s="22">
        <v>9457</v>
      </c>
      <c r="AU22" s="22">
        <v>57372</v>
      </c>
      <c r="AV22" s="22">
        <v>57337</v>
      </c>
      <c r="AW22" s="60"/>
      <c r="AX22" s="22">
        <v>14807</v>
      </c>
      <c r="AY22" s="22">
        <v>7021</v>
      </c>
      <c r="AZ22" s="22">
        <v>8653</v>
      </c>
      <c r="BA22" s="22">
        <f>31710-1</f>
        <v>31709</v>
      </c>
      <c r="BB22" s="60"/>
      <c r="BC22" s="22">
        <v>6486</v>
      </c>
      <c r="BD22" s="22">
        <f>70616+1</f>
        <v>70617</v>
      </c>
      <c r="BE22" s="22">
        <v>19860</v>
      </c>
      <c r="BF22" s="22">
        <v>32729</v>
      </c>
      <c r="BG22" s="22"/>
      <c r="BH22" s="22">
        <v>29923</v>
      </c>
      <c r="BI22" s="22">
        <f>34939-1</f>
        <v>34938</v>
      </c>
      <c r="BJ22" s="22">
        <f>24543+1</f>
        <v>24544</v>
      </c>
      <c r="BK22" s="22">
        <f>51901-1</f>
        <v>51900</v>
      </c>
      <c r="BL22" s="60"/>
      <c r="BM22" s="22">
        <v>21945</v>
      </c>
      <c r="BN22" s="22">
        <v>21945</v>
      </c>
      <c r="BO22" s="22">
        <v>20097</v>
      </c>
      <c r="BP22" s="22">
        <v>20097</v>
      </c>
      <c r="BQ22" s="22">
        <f>51727-1</f>
        <v>51726</v>
      </c>
      <c r="BR22" s="22">
        <f>51727</f>
        <v>51727</v>
      </c>
      <c r="BS22" s="22">
        <f>67539+1</f>
        <v>67540</v>
      </c>
      <c r="BT22" s="22">
        <f>67539</f>
        <v>67539</v>
      </c>
      <c r="BU22" s="22"/>
      <c r="BV22" s="22">
        <v>16329</v>
      </c>
      <c r="BW22" s="22">
        <v>16329</v>
      </c>
      <c r="BX22" s="22">
        <v>24163</v>
      </c>
      <c r="BY22" s="22">
        <v>22593</v>
      </c>
      <c r="BZ22" s="22">
        <f>106883+1</f>
        <v>106884</v>
      </c>
      <c r="CA22" s="22"/>
      <c r="CB22" s="22">
        <v>10854</v>
      </c>
      <c r="CC22" s="60" t="e">
        <f>+CB22-#REF!</f>
        <v>#REF!</v>
      </c>
      <c r="CD22" s="60" t="e">
        <f>+BW22-#REF!</f>
        <v>#REF!</v>
      </c>
    </row>
    <row r="23" spans="2:82" ht="10.5" customHeight="1" x14ac:dyDescent="0.25">
      <c r="C23" s="55"/>
      <c r="D23" s="66"/>
      <c r="E23" s="66"/>
      <c r="F23" s="66"/>
      <c r="G23" s="55"/>
      <c r="H23" s="66"/>
      <c r="I23" s="66"/>
      <c r="J23" s="66"/>
      <c r="K23" s="66"/>
      <c r="L23" s="66"/>
      <c r="N23" s="66"/>
      <c r="O23" s="66"/>
      <c r="P23" s="66"/>
      <c r="Q23" s="66"/>
      <c r="R23" s="66"/>
      <c r="S23" s="66"/>
      <c r="T23" s="66"/>
      <c r="U23" s="66"/>
      <c r="W23" s="66"/>
      <c r="X23" s="66"/>
      <c r="Y23" s="66"/>
      <c r="Z23" s="66"/>
      <c r="AA23" s="66"/>
      <c r="AB23" s="66"/>
      <c r="AC23" s="66"/>
      <c r="AD23" s="66"/>
      <c r="AE23" s="66"/>
      <c r="AF23" s="66"/>
      <c r="AG23" s="66"/>
      <c r="AH23" s="66"/>
      <c r="AI23" s="66"/>
      <c r="AJ23" s="66"/>
      <c r="AK23" s="66"/>
      <c r="AN23" s="66"/>
      <c r="AO23" s="66"/>
      <c r="AQ23" s="66"/>
      <c r="AR23" s="66"/>
      <c r="AS23" s="66"/>
      <c r="AT23" s="66"/>
      <c r="AU23" s="66"/>
      <c r="AV23" s="66"/>
      <c r="AW23" s="60"/>
      <c r="AX23" s="66"/>
      <c r="AY23" s="66"/>
      <c r="AZ23" s="66"/>
      <c r="BA23" s="66"/>
      <c r="BB23" s="60"/>
      <c r="BC23" s="66"/>
      <c r="BD23" s="66"/>
      <c r="BE23" s="66"/>
      <c r="BF23" s="66"/>
      <c r="BG23" s="66"/>
      <c r="BH23" s="66"/>
      <c r="BI23" s="66"/>
      <c r="BJ23" s="66"/>
      <c r="BK23" s="66"/>
      <c r="BL23" s="60"/>
      <c r="BM23" s="66"/>
      <c r="BN23" s="66"/>
      <c r="BO23" s="66"/>
      <c r="BP23" s="66"/>
      <c r="BQ23" s="66"/>
      <c r="BR23" s="66"/>
      <c r="BS23" s="66"/>
      <c r="BT23" s="66"/>
      <c r="BU23" s="66"/>
      <c r="BV23" s="66"/>
      <c r="BW23" s="66"/>
      <c r="BX23" s="66"/>
      <c r="BY23" s="66"/>
      <c r="BZ23" s="66"/>
      <c r="CA23" s="66"/>
      <c r="CB23" s="66"/>
      <c r="CC23" s="60"/>
      <c r="CD23" s="60"/>
    </row>
    <row r="24" spans="2:82" s="56" customFormat="1" ht="16.5" customHeight="1" x14ac:dyDescent="0.25">
      <c r="B24" s="56" t="s">
        <v>132</v>
      </c>
      <c r="C24" s="69">
        <f>+C10-C18</f>
        <v>897196</v>
      </c>
      <c r="D24" s="70">
        <f>+D10-D18</f>
        <v>826202.15603250987</v>
      </c>
      <c r="E24" s="70">
        <f>+E10-E18</f>
        <v>588303</v>
      </c>
      <c r="F24" s="70">
        <f>+F10-F18</f>
        <v>408351</v>
      </c>
      <c r="G24" s="55"/>
      <c r="H24" s="70">
        <f>+H10-H18</f>
        <v>707736</v>
      </c>
      <c r="I24" s="70">
        <f>+I10-I18</f>
        <v>821606</v>
      </c>
      <c r="J24" s="70">
        <f>+J10-J18</f>
        <v>770960</v>
      </c>
      <c r="K24" s="70">
        <f>+K10-K18</f>
        <v>648331</v>
      </c>
      <c r="L24" s="70">
        <f>+L10-L18</f>
        <v>675930</v>
      </c>
      <c r="N24" s="70">
        <f t="shared" ref="N24:U24" si="25">+N10-N18</f>
        <v>1103405</v>
      </c>
      <c r="O24" s="70">
        <f t="shared" si="25"/>
        <v>1090100</v>
      </c>
      <c r="P24" s="70">
        <f t="shared" si="25"/>
        <v>1016394</v>
      </c>
      <c r="Q24" s="70">
        <f t="shared" si="25"/>
        <v>1005735</v>
      </c>
      <c r="R24" s="70">
        <f t="shared" si="25"/>
        <v>1004663</v>
      </c>
      <c r="S24" s="70">
        <f t="shared" si="25"/>
        <v>1040321</v>
      </c>
      <c r="T24" s="70">
        <f t="shared" si="25"/>
        <v>996948</v>
      </c>
      <c r="U24" s="70">
        <f t="shared" si="25"/>
        <v>985254</v>
      </c>
      <c r="W24" s="70">
        <f t="shared" ref="W24:AD24" si="26">+W10-W18</f>
        <v>940556</v>
      </c>
      <c r="X24" s="70">
        <f t="shared" si="26"/>
        <v>878050</v>
      </c>
      <c r="Y24" s="70">
        <f t="shared" si="26"/>
        <v>1089051</v>
      </c>
      <c r="Z24" s="70">
        <f t="shared" si="26"/>
        <v>985770</v>
      </c>
      <c r="AA24" s="70">
        <f t="shared" si="26"/>
        <v>1443066</v>
      </c>
      <c r="AB24" s="70">
        <f t="shared" si="26"/>
        <v>1211309</v>
      </c>
      <c r="AC24" s="70">
        <f t="shared" si="26"/>
        <v>781630</v>
      </c>
      <c r="AD24" s="70">
        <f t="shared" si="26"/>
        <v>1006315</v>
      </c>
      <c r="AE24" s="70"/>
      <c r="AF24" s="70">
        <f t="shared" ref="AF24:AK24" si="27">+AF10-AF18</f>
        <v>993405</v>
      </c>
      <c r="AG24" s="70">
        <f t="shared" si="27"/>
        <v>932280</v>
      </c>
      <c r="AH24" s="70">
        <f t="shared" si="27"/>
        <v>1070770</v>
      </c>
      <c r="AI24" s="70">
        <f t="shared" si="27"/>
        <v>1007581</v>
      </c>
      <c r="AJ24" s="70">
        <f t="shared" si="27"/>
        <v>1059074</v>
      </c>
      <c r="AK24" s="70">
        <f t="shared" si="27"/>
        <v>1055253</v>
      </c>
      <c r="AN24" s="70">
        <f>+AN10-AN18</f>
        <v>1096388</v>
      </c>
      <c r="AO24" s="70">
        <f>+AO10-AO18</f>
        <v>1088168</v>
      </c>
      <c r="AQ24" s="70">
        <f t="shared" ref="AQ24:AV24" si="28">+AQ10-AQ18</f>
        <v>1035860</v>
      </c>
      <c r="AR24" s="70">
        <f t="shared" si="28"/>
        <v>1029448</v>
      </c>
      <c r="AS24" s="70">
        <f t="shared" si="28"/>
        <v>1038148</v>
      </c>
      <c r="AT24" s="70">
        <f t="shared" si="28"/>
        <v>1048617</v>
      </c>
      <c r="AU24" s="70">
        <f t="shared" si="28"/>
        <v>1375767</v>
      </c>
      <c r="AV24" s="70">
        <f t="shared" si="28"/>
        <v>1079744</v>
      </c>
      <c r="AW24" s="71"/>
      <c r="AX24" s="70">
        <f>+AX10-AX18</f>
        <v>818100</v>
      </c>
      <c r="AY24" s="70">
        <f>+AY10-AY18</f>
        <v>847594</v>
      </c>
      <c r="AZ24" s="70">
        <f>+AZ10-AZ18</f>
        <v>837765</v>
      </c>
      <c r="BA24" s="70">
        <f>+BA10-BA18</f>
        <v>855140</v>
      </c>
      <c r="BB24" s="71"/>
      <c r="BC24" s="70">
        <f>+BC10-BC18</f>
        <v>982173</v>
      </c>
      <c r="BD24" s="70">
        <f>+BD10-BD18</f>
        <v>1102679</v>
      </c>
      <c r="BE24" s="70">
        <f>+BE10-BE18</f>
        <v>1125750</v>
      </c>
      <c r="BF24" s="70">
        <f>+BF10-BF18</f>
        <v>1250204</v>
      </c>
      <c r="BG24" s="70"/>
      <c r="BH24" s="70">
        <f>+BH10-BH18</f>
        <v>1195903</v>
      </c>
      <c r="BI24" s="70">
        <f>+BI10-BI18</f>
        <v>1425400</v>
      </c>
      <c r="BJ24" s="70">
        <f>+BJ10-BJ18</f>
        <v>1414816</v>
      </c>
      <c r="BK24" s="70">
        <f>+BK10-BK18</f>
        <v>1512215</v>
      </c>
      <c r="BL24" s="60"/>
      <c r="BM24" s="70">
        <f t="shared" ref="BM24:BS24" si="29">+BM10-BM18</f>
        <v>1784939</v>
      </c>
      <c r="BN24" s="70">
        <f t="shared" si="29"/>
        <v>1469729</v>
      </c>
      <c r="BO24" s="70">
        <f t="shared" si="29"/>
        <v>1840986</v>
      </c>
      <c r="BP24" s="70">
        <f t="shared" si="29"/>
        <v>1405326</v>
      </c>
      <c r="BQ24" s="70">
        <f t="shared" si="29"/>
        <v>1379798</v>
      </c>
      <c r="BR24" s="70">
        <f t="shared" ref="BR24" si="30">+BR10-BR18</f>
        <v>948409</v>
      </c>
      <c r="BS24" s="70">
        <f t="shared" si="29"/>
        <v>1275288</v>
      </c>
      <c r="BT24" s="70">
        <f t="shared" ref="BT24" si="31">+BT10-BT18</f>
        <v>873742</v>
      </c>
      <c r="BU24" s="70"/>
      <c r="BV24" s="70">
        <f>+BV10-BV18</f>
        <v>2470833</v>
      </c>
      <c r="BW24" s="70">
        <f>+BW10-BW18</f>
        <v>650462</v>
      </c>
      <c r="BX24" s="70">
        <f>+BX10-BX18</f>
        <v>1143447</v>
      </c>
      <c r="BY24" s="70">
        <f>+BY10-BY18</f>
        <v>1219270</v>
      </c>
      <c r="BZ24" s="70">
        <f>+BZ10-BZ18</f>
        <v>738013</v>
      </c>
      <c r="CA24" s="70"/>
      <c r="CB24" s="70">
        <f>+CB10-CB18</f>
        <v>950914</v>
      </c>
      <c r="CC24" s="60" t="e">
        <f>+CB24-#REF!</f>
        <v>#REF!</v>
      </c>
      <c r="CD24" s="60" t="e">
        <f>+BW24-#REF!</f>
        <v>#REF!</v>
      </c>
    </row>
    <row r="25" spans="2:82" ht="16.5" customHeight="1" x14ac:dyDescent="0.25">
      <c r="B25" s="72" t="s">
        <v>133</v>
      </c>
      <c r="C25" s="73">
        <f>+C24/C10</f>
        <v>0.3913144551907623</v>
      </c>
      <c r="D25" s="73">
        <f>+D24/D10</f>
        <v>0.32461787406592446</v>
      </c>
      <c r="E25" s="73">
        <f>+E24/E10</f>
        <v>0.26325297215251503</v>
      </c>
      <c r="F25" s="73">
        <f>+F24/F10</f>
        <v>0.18364268666771302</v>
      </c>
      <c r="G25" s="55"/>
      <c r="H25" s="73">
        <f>+H24/H10</f>
        <v>0.26807064857146101</v>
      </c>
      <c r="I25" s="73">
        <f>+I24/I10</f>
        <v>0.28829585619840337</v>
      </c>
      <c r="J25" s="73">
        <f>+J24/J10</f>
        <v>0.23999569168261273</v>
      </c>
      <c r="K25" s="73">
        <f>+K24/K10</f>
        <v>0.1672117186520744</v>
      </c>
      <c r="L25" s="73">
        <f>+L24/L10</f>
        <v>0.16906990914302694</v>
      </c>
      <c r="N25" s="73">
        <f t="shared" ref="N25:U25" si="32">+N24/N10</f>
        <v>0.27203373262168673</v>
      </c>
      <c r="O25" s="73">
        <f t="shared" si="32"/>
        <v>0.26965152592684211</v>
      </c>
      <c r="P25" s="73">
        <f t="shared" si="32"/>
        <v>0.29932324981446795</v>
      </c>
      <c r="Q25" s="73">
        <f t="shared" si="32"/>
        <v>0.29716981968326234</v>
      </c>
      <c r="R25" s="73">
        <f t="shared" si="32"/>
        <v>0.29880808450331403</v>
      </c>
      <c r="S25" s="73">
        <f t="shared" si="32"/>
        <v>0.30580398545410081</v>
      </c>
      <c r="T25" s="73">
        <f t="shared" si="32"/>
        <v>0.26664377208551449</v>
      </c>
      <c r="U25" s="73">
        <f t="shared" si="32"/>
        <v>0.26457158508684303</v>
      </c>
      <c r="W25" s="73">
        <f t="shared" ref="W25:AD25" si="33">+W24/W10</f>
        <v>0.28016134903136369</v>
      </c>
      <c r="X25" s="73">
        <f t="shared" si="33"/>
        <v>0.26154282415612562</v>
      </c>
      <c r="Y25" s="73">
        <f t="shared" si="33"/>
        <v>0.30547275515387506</v>
      </c>
      <c r="Z25" s="73">
        <f t="shared" si="33"/>
        <v>0.27650300844316328</v>
      </c>
      <c r="AA25" s="73">
        <f t="shared" si="33"/>
        <v>0.35490681109540922</v>
      </c>
      <c r="AB25" s="73">
        <f t="shared" si="33"/>
        <v>0.29790870283895315</v>
      </c>
      <c r="AC25" s="73">
        <f t="shared" si="33"/>
        <v>0.21801518405203155</v>
      </c>
      <c r="AD25" s="73">
        <f t="shared" si="33"/>
        <v>0.28068501407588003</v>
      </c>
      <c r="AE25" s="73"/>
      <c r="AF25" s="73">
        <f t="shared" ref="AF25:AK25" si="34">+AF24/AF10</f>
        <v>0.30007285807235423</v>
      </c>
      <c r="AG25" s="73">
        <f t="shared" si="34"/>
        <v>0.28182996609382482</v>
      </c>
      <c r="AH25" s="73">
        <f t="shared" si="34"/>
        <v>0.29602915034378274</v>
      </c>
      <c r="AI25" s="73">
        <f t="shared" si="34"/>
        <v>0.27892241348286989</v>
      </c>
      <c r="AJ25" s="73">
        <f t="shared" si="34"/>
        <v>0.29109498488555735</v>
      </c>
      <c r="AK25" s="73">
        <f t="shared" si="34"/>
        <v>0.29034960717274988</v>
      </c>
      <c r="AN25" s="73">
        <f>+AN24/AN10</f>
        <v>0.29251717196510779</v>
      </c>
      <c r="AO25" s="73">
        <f>+AO24/AO10</f>
        <v>0.29096217941947566</v>
      </c>
      <c r="AQ25" s="73">
        <f t="shared" ref="AQ25:AV25" si="35">+AQ24/AQ10</f>
        <v>0.27835851618083496</v>
      </c>
      <c r="AR25" s="73">
        <f t="shared" si="35"/>
        <v>0.27711294827537941</v>
      </c>
      <c r="AS25" s="73">
        <f t="shared" si="35"/>
        <v>0.26891082810137168</v>
      </c>
      <c r="AT25" s="73">
        <f t="shared" si="35"/>
        <v>0.26783277350567392</v>
      </c>
      <c r="AU25" s="73">
        <f t="shared" si="35"/>
        <v>0.26316935195240265</v>
      </c>
      <c r="AV25" s="73">
        <f t="shared" si="35"/>
        <v>0.2739907896967218</v>
      </c>
      <c r="AX25" s="73">
        <f>+AX24/AX10</f>
        <v>0.22625810958735898</v>
      </c>
      <c r="AY25" s="73">
        <f>+AY24/AY10</f>
        <v>0.25332998586291511</v>
      </c>
      <c r="AZ25" s="73">
        <f>+AZ24/AZ10</f>
        <v>0.24260667407625777</v>
      </c>
      <c r="BA25" s="73">
        <f>+BA24/BA10</f>
        <v>0.2391498955883089</v>
      </c>
      <c r="BC25" s="73">
        <f>+BC24/BC10</f>
        <v>0.26310455840776381</v>
      </c>
      <c r="BD25" s="73">
        <f>+BD24/BD10</f>
        <v>0.27384702420687901</v>
      </c>
      <c r="BE25" s="73">
        <f>+BE24/BE10</f>
        <v>0.27354470934280017</v>
      </c>
      <c r="BF25" s="73">
        <f>+BF24/BF10</f>
        <v>0.28195430559671419</v>
      </c>
      <c r="BG25" s="73"/>
      <c r="BH25" s="73">
        <f>+BH24/BH10</f>
        <v>0.25920653392163828</v>
      </c>
      <c r="BI25" s="73">
        <f>+BI24/BI10</f>
        <v>0.24167149732735468</v>
      </c>
      <c r="BJ25" s="73">
        <f>+BJ24/BJ10</f>
        <v>0.2780633894026579</v>
      </c>
      <c r="BK25" s="73">
        <f>+BK24/BK10</f>
        <v>0.26346108682456754</v>
      </c>
      <c r="BL25" s="60"/>
      <c r="BM25" s="73">
        <f t="shared" ref="BM25:BS25" si="36">+BM24/BM10</f>
        <v>0.31069958883552951</v>
      </c>
      <c r="BN25" s="73">
        <f t="shared" si="36"/>
        <v>0.39039623493011816</v>
      </c>
      <c r="BO25" s="73">
        <f t="shared" si="36"/>
        <v>0.28799628308325753</v>
      </c>
      <c r="BP25" s="73">
        <f t="shared" si="36"/>
        <v>0.31789750421257862</v>
      </c>
      <c r="BQ25" s="73">
        <f t="shared" si="36"/>
        <v>0.28482688763110919</v>
      </c>
      <c r="BR25" s="73">
        <f t="shared" ref="BR25" si="37">+BR24/BR10</f>
        <v>0.30850103553745972</v>
      </c>
      <c r="BS25" s="73">
        <f t="shared" si="36"/>
        <v>0.2272647565768933</v>
      </c>
      <c r="BT25" s="73">
        <f t="shared" ref="BT25" si="38">+BT24/BT10</f>
        <v>0.22212076107722248</v>
      </c>
      <c r="BU25" s="73"/>
      <c r="BV25" s="73">
        <f>+BV24/BV10</f>
        <v>0.54443085172720296</v>
      </c>
      <c r="BW25" s="73">
        <f>+BW24/BW10</f>
        <v>0.23931588083322847</v>
      </c>
      <c r="BX25" s="73">
        <f>+BX24/BX10</f>
        <v>0.31032902100293436</v>
      </c>
      <c r="BY25" s="73">
        <f>+BY24/BY10</f>
        <v>0.36833536895013225</v>
      </c>
      <c r="BZ25" s="73">
        <f>+BZ24/BZ10</f>
        <v>0.203694365576369</v>
      </c>
      <c r="CA25" s="73"/>
      <c r="CB25" s="73">
        <f>+CB24/CB10</f>
        <v>0.32754796634941125</v>
      </c>
      <c r="CC25" s="60"/>
      <c r="CD25" s="60"/>
    </row>
    <row r="26" spans="2:82" ht="4.5" customHeight="1" x14ac:dyDescent="0.25">
      <c r="C26" s="55"/>
      <c r="D26" s="66"/>
      <c r="E26" s="66"/>
      <c r="F26" s="66"/>
      <c r="G26" s="55"/>
      <c r="H26" s="66"/>
      <c r="I26" s="66"/>
      <c r="J26" s="66"/>
      <c r="K26" s="66"/>
      <c r="L26" s="66"/>
      <c r="N26" s="66"/>
      <c r="O26" s="66"/>
      <c r="P26" s="66"/>
      <c r="Q26" s="66"/>
      <c r="R26" s="66"/>
      <c r="S26" s="66"/>
      <c r="T26" s="66"/>
      <c r="U26" s="66"/>
      <c r="W26" s="66"/>
      <c r="X26" s="66"/>
      <c r="Y26" s="66"/>
      <c r="Z26" s="66"/>
      <c r="AA26" s="66"/>
      <c r="AB26" s="66"/>
      <c r="AC26" s="66"/>
      <c r="AD26" s="66"/>
      <c r="AE26" s="66"/>
      <c r="AF26" s="66"/>
      <c r="AG26" s="66"/>
      <c r="AH26" s="66"/>
      <c r="AI26" s="66"/>
      <c r="AJ26" s="66"/>
      <c r="AK26" s="66"/>
      <c r="AN26" s="66"/>
      <c r="AO26" s="66"/>
      <c r="AQ26" s="66"/>
      <c r="AR26" s="66"/>
      <c r="AS26" s="66"/>
      <c r="AT26" s="66"/>
      <c r="AU26" s="66"/>
      <c r="AV26" s="66"/>
      <c r="AX26" s="66"/>
      <c r="AY26" s="66"/>
      <c r="AZ26" s="66"/>
      <c r="BA26" s="66"/>
      <c r="BC26" s="66"/>
      <c r="BD26" s="66"/>
      <c r="BE26" s="66"/>
      <c r="BF26" s="66"/>
      <c r="BG26" s="66"/>
      <c r="BH26" s="66"/>
      <c r="BI26" s="66"/>
      <c r="BJ26" s="66"/>
      <c r="BK26" s="66"/>
      <c r="BL26" s="60"/>
      <c r="BM26" s="66"/>
      <c r="BN26" s="66"/>
      <c r="BO26" s="66"/>
      <c r="BP26" s="66"/>
      <c r="BQ26" s="66"/>
      <c r="BR26" s="66"/>
      <c r="BS26" s="66"/>
      <c r="BT26" s="66"/>
      <c r="BU26" s="66"/>
      <c r="BV26" s="66"/>
      <c r="BW26" s="66"/>
      <c r="BX26" s="66"/>
      <c r="BY26" s="66"/>
      <c r="BZ26" s="66"/>
      <c r="CA26" s="66"/>
      <c r="CB26" s="66"/>
      <c r="CC26" s="60"/>
      <c r="CD26" s="60"/>
    </row>
    <row r="27" spans="2:82" ht="15" customHeight="1" x14ac:dyDescent="0.25">
      <c r="B27" s="56" t="s">
        <v>134</v>
      </c>
      <c r="C27" s="67">
        <f>SUM(C28:C31)</f>
        <v>218824</v>
      </c>
      <c r="D27" s="59">
        <f>SUM(D28:D31)</f>
        <v>237914.21017954001</v>
      </c>
      <c r="E27" s="59">
        <f>SUM(E28:E31)</f>
        <v>221217</v>
      </c>
      <c r="F27" s="59">
        <f>SUM(F28:F31)</f>
        <v>320645</v>
      </c>
      <c r="G27" s="55"/>
      <c r="H27" s="59">
        <f>SUM(H28:H31)</f>
        <v>254132</v>
      </c>
      <c r="I27" s="59">
        <f t="shared" ref="I27:L27" si="39">SUM(I28:I31)</f>
        <v>270744</v>
      </c>
      <c r="J27" s="59">
        <f t="shared" si="39"/>
        <v>298121</v>
      </c>
      <c r="K27" s="59">
        <f t="shared" si="39"/>
        <v>401537</v>
      </c>
      <c r="L27" s="59">
        <f t="shared" si="39"/>
        <v>423472</v>
      </c>
      <c r="N27" s="59">
        <f t="shared" ref="N27:U27" si="40">SUM(N28:N31)</f>
        <v>374650</v>
      </c>
      <c r="O27" s="59">
        <f t="shared" si="40"/>
        <v>375691</v>
      </c>
      <c r="P27" s="59">
        <f t="shared" si="40"/>
        <v>338703</v>
      </c>
      <c r="Q27" s="59">
        <f t="shared" si="40"/>
        <v>323102</v>
      </c>
      <c r="R27" s="59">
        <f t="shared" si="40"/>
        <v>350059</v>
      </c>
      <c r="S27" s="59">
        <f t="shared" si="40"/>
        <v>359112</v>
      </c>
      <c r="T27" s="59">
        <f t="shared" si="40"/>
        <v>511526</v>
      </c>
      <c r="U27" s="59">
        <f t="shared" si="40"/>
        <v>517033</v>
      </c>
      <c r="W27" s="59">
        <f t="shared" ref="W27:AD27" si="41">SUM(W28:W31)</f>
        <v>516450</v>
      </c>
      <c r="X27" s="59">
        <f t="shared" si="41"/>
        <v>453945</v>
      </c>
      <c r="Y27" s="59">
        <f t="shared" si="41"/>
        <v>529111</v>
      </c>
      <c r="Z27" s="59">
        <f t="shared" si="41"/>
        <v>425830</v>
      </c>
      <c r="AA27" s="59">
        <f t="shared" si="41"/>
        <v>568293</v>
      </c>
      <c r="AB27" s="59">
        <f t="shared" si="41"/>
        <v>336536</v>
      </c>
      <c r="AC27" s="59">
        <f t="shared" si="41"/>
        <v>265323</v>
      </c>
      <c r="AD27" s="59">
        <f t="shared" si="41"/>
        <v>490006</v>
      </c>
      <c r="AE27" s="59"/>
      <c r="AF27" s="59">
        <f t="shared" ref="AF27:AK27" si="42">SUM(AF28:AF31)</f>
        <v>469371</v>
      </c>
      <c r="AG27" s="59">
        <f t="shared" si="42"/>
        <v>410841</v>
      </c>
      <c r="AH27" s="59">
        <f t="shared" si="42"/>
        <v>450565</v>
      </c>
      <c r="AI27" s="59">
        <f t="shared" si="42"/>
        <v>392079</v>
      </c>
      <c r="AJ27" s="59">
        <f t="shared" si="42"/>
        <v>395698</v>
      </c>
      <c r="AK27" s="59">
        <f t="shared" si="42"/>
        <v>395697</v>
      </c>
      <c r="AN27" s="59">
        <f t="shared" ref="AN27:AO27" si="43">SUM(AN28:AN31)</f>
        <v>414505</v>
      </c>
      <c r="AO27" s="59">
        <f t="shared" si="43"/>
        <v>414505</v>
      </c>
      <c r="AQ27" s="59">
        <f t="shared" ref="AQ27:AV27" si="44">SUM(AQ28:AQ31)</f>
        <v>443235</v>
      </c>
      <c r="AR27" s="59">
        <f t="shared" si="44"/>
        <v>443235</v>
      </c>
      <c r="AS27" s="59">
        <f t="shared" si="44"/>
        <v>458570</v>
      </c>
      <c r="AT27" s="59">
        <f t="shared" si="44"/>
        <v>458570</v>
      </c>
      <c r="AU27" s="59">
        <f t="shared" si="44"/>
        <v>427531</v>
      </c>
      <c r="AV27" s="59">
        <f t="shared" si="44"/>
        <v>523442</v>
      </c>
      <c r="AX27" s="59">
        <f t="shared" ref="AX27:BA27" si="45">SUM(AX28:AX31)</f>
        <v>438590</v>
      </c>
      <c r="AY27" s="59">
        <f t="shared" si="45"/>
        <v>394218</v>
      </c>
      <c r="AZ27" s="59">
        <f t="shared" si="45"/>
        <v>416928</v>
      </c>
      <c r="BA27" s="59">
        <f t="shared" si="45"/>
        <v>438377</v>
      </c>
      <c r="BC27" s="59">
        <f t="shared" ref="BC27:BF27" si="46">SUM(BC28:BC31)</f>
        <v>443454</v>
      </c>
      <c r="BD27" s="59">
        <f t="shared" si="46"/>
        <v>419071</v>
      </c>
      <c r="BE27" s="59">
        <f t="shared" si="46"/>
        <v>405701</v>
      </c>
      <c r="BF27" s="59">
        <f t="shared" si="46"/>
        <v>509432</v>
      </c>
      <c r="BG27" s="59"/>
      <c r="BH27" s="59">
        <f t="shared" ref="BH27:BJ27" si="47">SUM(BH28:BH31)</f>
        <v>495906</v>
      </c>
      <c r="BI27" s="59">
        <f t="shared" si="47"/>
        <v>481880</v>
      </c>
      <c r="BJ27" s="59">
        <f t="shared" si="47"/>
        <v>468438</v>
      </c>
      <c r="BK27" s="59">
        <f t="shared" ref="BK27:BM27" si="48">SUM(BK28:BK31)</f>
        <v>592958</v>
      </c>
      <c r="BL27" s="60"/>
      <c r="BM27" s="59">
        <f t="shared" si="48"/>
        <v>542473</v>
      </c>
      <c r="BN27" s="59">
        <f t="shared" ref="BN27" si="49">SUM(BN28:BN31)</f>
        <v>396247</v>
      </c>
      <c r="BO27" s="59">
        <f t="shared" ref="BO27:BQ27" si="50">SUM(BO28:BO31)</f>
        <v>604744</v>
      </c>
      <c r="BP27" s="59">
        <f t="shared" ref="BP27" si="51">SUM(BP28:BP31)</f>
        <v>467116</v>
      </c>
      <c r="BQ27" s="59">
        <f t="shared" si="50"/>
        <v>452323</v>
      </c>
      <c r="BR27" s="59">
        <f t="shared" ref="BR27" si="52">SUM(BR28:BR31)</f>
        <v>305212</v>
      </c>
      <c r="BS27" s="59">
        <f t="shared" ref="BS27:BT27" si="53">SUM(BS28:BS31)</f>
        <v>566663</v>
      </c>
      <c r="BT27" s="59">
        <f t="shared" si="53"/>
        <v>388842</v>
      </c>
      <c r="BU27" s="59"/>
      <c r="BV27" s="59">
        <f t="shared" ref="BV27:BY27" si="54">SUM(BV28:BV31)</f>
        <v>356255</v>
      </c>
      <c r="BW27" s="59">
        <f t="shared" ref="BW27" si="55">SUM(BW28:BW31)</f>
        <v>356255</v>
      </c>
      <c r="BX27" s="59">
        <f t="shared" si="54"/>
        <v>358547</v>
      </c>
      <c r="BY27" s="59">
        <f t="shared" si="54"/>
        <v>319053</v>
      </c>
      <c r="BZ27" s="59">
        <f t="shared" ref="BZ27" si="56">SUM(BZ28:BZ31)</f>
        <v>375379</v>
      </c>
      <c r="CA27" s="59"/>
      <c r="CB27" s="59">
        <f t="shared" ref="CB27" si="57">SUM(CB28:CB31)</f>
        <v>341716</v>
      </c>
      <c r="CC27" s="60" t="e">
        <f>+CB27-#REF!</f>
        <v>#REF!</v>
      </c>
      <c r="CD27" s="60" t="e">
        <f>+BW27-#REF!</f>
        <v>#REF!</v>
      </c>
    </row>
    <row r="28" spans="2:82" x14ac:dyDescent="0.25">
      <c r="B28" s="64" t="s">
        <v>135</v>
      </c>
      <c r="C28" s="68">
        <v>156362</v>
      </c>
      <c r="D28" s="22">
        <v>165131.00481824999</v>
      </c>
      <c r="E28" s="22">
        <v>155601</v>
      </c>
      <c r="F28" s="22">
        <f>235633-1</f>
        <v>235632</v>
      </c>
      <c r="G28" s="55"/>
      <c r="H28" s="22">
        <v>176549</v>
      </c>
      <c r="I28" s="22">
        <f>188427+1</f>
        <v>188428</v>
      </c>
      <c r="J28" s="22">
        <v>202847</v>
      </c>
      <c r="K28" s="22">
        <v>273836</v>
      </c>
      <c r="L28" s="22">
        <v>293375</v>
      </c>
      <c r="N28" s="22">
        <v>273896</v>
      </c>
      <c r="O28" s="22">
        <v>273896</v>
      </c>
      <c r="P28" s="22">
        <v>227500</v>
      </c>
      <c r="Q28" s="22">
        <f>227749</f>
        <v>227749</v>
      </c>
      <c r="R28" s="22">
        <v>232226</v>
      </c>
      <c r="S28" s="22">
        <v>231977</v>
      </c>
      <c r="T28" s="22">
        <v>382408</v>
      </c>
      <c r="U28" s="22">
        <v>382408</v>
      </c>
      <c r="W28" s="22">
        <v>379041</v>
      </c>
      <c r="X28" s="22">
        <v>316536</v>
      </c>
      <c r="Y28" s="22">
        <v>381636</v>
      </c>
      <c r="Z28" s="22">
        <v>278355</v>
      </c>
      <c r="AA28" s="22">
        <v>383907</v>
      </c>
      <c r="AB28" s="22">
        <v>277803</v>
      </c>
      <c r="AC28" s="22">
        <f>99278-1</f>
        <v>99277</v>
      </c>
      <c r="AD28" s="22">
        <v>371167</v>
      </c>
      <c r="AE28" s="22"/>
      <c r="AF28" s="22">
        <v>302984</v>
      </c>
      <c r="AG28" s="22">
        <v>302984</v>
      </c>
      <c r="AH28" s="22">
        <v>284767</v>
      </c>
      <c r="AI28" s="22">
        <v>284767</v>
      </c>
      <c r="AJ28" s="22">
        <v>279324</v>
      </c>
      <c r="AK28" s="22">
        <v>279324</v>
      </c>
      <c r="AL28" s="60"/>
      <c r="AM28" s="60"/>
      <c r="AN28" s="22">
        <v>298440</v>
      </c>
      <c r="AO28" s="22">
        <v>298440</v>
      </c>
      <c r="AP28" s="60"/>
      <c r="AQ28" s="22">
        <v>328881</v>
      </c>
      <c r="AR28" s="22">
        <v>328881</v>
      </c>
      <c r="AS28" s="22">
        <v>316734</v>
      </c>
      <c r="AT28" s="22">
        <v>316734</v>
      </c>
      <c r="AU28" s="22">
        <v>300328</v>
      </c>
      <c r="AV28" s="22">
        <v>366319</v>
      </c>
      <c r="AW28" s="60"/>
      <c r="AX28" s="22">
        <v>314204</v>
      </c>
      <c r="AY28" s="22">
        <f>274170+1</f>
        <v>274171</v>
      </c>
      <c r="AZ28" s="22">
        <f>289241-1</f>
        <v>289240</v>
      </c>
      <c r="BA28" s="22">
        <v>313251</v>
      </c>
      <c r="BB28" s="60"/>
      <c r="BC28" s="22">
        <v>316608</v>
      </c>
      <c r="BD28" s="22">
        <v>299882</v>
      </c>
      <c r="BE28" s="22">
        <v>283671</v>
      </c>
      <c r="BF28" s="22">
        <f>381818-1</f>
        <v>381817</v>
      </c>
      <c r="BG28" s="22"/>
      <c r="BH28" s="22">
        <v>380742</v>
      </c>
      <c r="BI28" s="22">
        <f>362698+1</f>
        <v>362699</v>
      </c>
      <c r="BJ28" s="22">
        <f>349613-1</f>
        <v>349612</v>
      </c>
      <c r="BK28" s="22">
        <f>474091+1</f>
        <v>474092</v>
      </c>
      <c r="BL28" s="60"/>
      <c r="BM28" s="22">
        <v>417178</v>
      </c>
      <c r="BN28" s="22">
        <v>315470</v>
      </c>
      <c r="BO28" s="22">
        <f>493900+1</f>
        <v>493901</v>
      </c>
      <c r="BP28" s="22">
        <v>391098</v>
      </c>
      <c r="BQ28" s="22">
        <v>346426</v>
      </c>
      <c r="BR28" s="22">
        <v>229488</v>
      </c>
      <c r="BS28" s="22">
        <v>446627</v>
      </c>
      <c r="BT28" s="22">
        <v>311706</v>
      </c>
      <c r="BU28" s="22"/>
      <c r="BV28" s="22">
        <v>283747</v>
      </c>
      <c r="BW28" s="22">
        <v>283747</v>
      </c>
      <c r="BX28" s="22">
        <f>284502-1</f>
        <v>284501</v>
      </c>
      <c r="BY28" s="22">
        <f>248184+1</f>
        <v>248185</v>
      </c>
      <c r="BZ28" s="22">
        <v>296232</v>
      </c>
      <c r="CA28" s="22"/>
      <c r="CB28" s="22">
        <f>273141+1</f>
        <v>273142</v>
      </c>
      <c r="CC28" s="60" t="e">
        <f>+CB28-#REF!</f>
        <v>#REF!</v>
      </c>
      <c r="CD28" s="60" t="e">
        <f>+BW28-#REF!</f>
        <v>#REF!</v>
      </c>
    </row>
    <row r="29" spans="2:82" x14ac:dyDescent="0.25">
      <c r="B29" s="64" t="s">
        <v>136</v>
      </c>
      <c r="C29" s="68">
        <v>7535</v>
      </c>
      <c r="D29" s="22">
        <v>23586.429190990002</v>
      </c>
      <c r="E29" s="22">
        <v>8473</v>
      </c>
      <c r="F29" s="22">
        <v>6093</v>
      </c>
      <c r="G29" s="55"/>
      <c r="H29" s="22">
        <v>17128</v>
      </c>
      <c r="I29" s="22">
        <v>25492</v>
      </c>
      <c r="J29" s="22">
        <v>39591</v>
      </c>
      <c r="K29" s="22">
        <f>28947</f>
        <v>28947</v>
      </c>
      <c r="L29" s="22">
        <v>32001</v>
      </c>
      <c r="N29" s="22">
        <v>35387</v>
      </c>
      <c r="O29" s="22">
        <v>36428</v>
      </c>
      <c r="P29" s="22">
        <v>41710</v>
      </c>
      <c r="Q29" s="22">
        <v>25860</v>
      </c>
      <c r="R29" s="22">
        <v>49767</v>
      </c>
      <c r="S29" s="22">
        <v>59069</v>
      </c>
      <c r="T29" s="22">
        <v>62156</v>
      </c>
      <c r="U29" s="22">
        <v>67663</v>
      </c>
      <c r="W29" s="22">
        <v>74705</v>
      </c>
      <c r="X29" s="22">
        <v>74705</v>
      </c>
      <c r="Y29" s="22">
        <v>82978</v>
      </c>
      <c r="Z29" s="22">
        <v>82978</v>
      </c>
      <c r="AA29" s="22">
        <v>122335</v>
      </c>
      <c r="AB29" s="22">
        <v>-3318</v>
      </c>
      <c r="AC29" s="22">
        <f>97762+1</f>
        <v>97763</v>
      </c>
      <c r="AD29" s="22">
        <v>50556</v>
      </c>
      <c r="AE29" s="22"/>
      <c r="AF29" s="22">
        <v>104315</v>
      </c>
      <c r="AG29" s="22">
        <f>45785</f>
        <v>45785</v>
      </c>
      <c r="AH29" s="22">
        <f>102554+1</f>
        <v>102555</v>
      </c>
      <c r="AI29" s="22">
        <f>44068+1</f>
        <v>44069</v>
      </c>
      <c r="AJ29" s="22">
        <f>50751+1</f>
        <v>50752</v>
      </c>
      <c r="AK29" s="22">
        <f>50751</f>
        <v>50751</v>
      </c>
      <c r="AL29" s="60">
        <f>+AG29-AF29</f>
        <v>-58530</v>
      </c>
      <c r="AM29" s="60">
        <f>+AI29-AH29</f>
        <v>-58486</v>
      </c>
      <c r="AN29" s="22">
        <f>44819-1</f>
        <v>44818</v>
      </c>
      <c r="AO29" s="22">
        <f>44819-1</f>
        <v>44818</v>
      </c>
      <c r="AP29" s="60"/>
      <c r="AQ29" s="22">
        <v>51309</v>
      </c>
      <c r="AR29" s="22">
        <v>51309</v>
      </c>
      <c r="AS29" s="22">
        <v>59811</v>
      </c>
      <c r="AT29" s="22">
        <v>59811</v>
      </c>
      <c r="AU29" s="22">
        <v>57751</v>
      </c>
      <c r="AV29" s="22">
        <v>91625</v>
      </c>
      <c r="AW29" s="60"/>
      <c r="AX29" s="22">
        <v>55538</v>
      </c>
      <c r="AY29" s="22">
        <v>61624</v>
      </c>
      <c r="AZ29" s="22">
        <v>61589</v>
      </c>
      <c r="BA29" s="22">
        <v>55631</v>
      </c>
      <c r="BB29" s="60"/>
      <c r="BC29" s="22">
        <v>55999</v>
      </c>
      <c r="BD29" s="22">
        <v>51399</v>
      </c>
      <c r="BE29" s="22">
        <f>50557-1</f>
        <v>50556</v>
      </c>
      <c r="BF29" s="22">
        <f>50853+1</f>
        <v>50854</v>
      </c>
      <c r="BG29" s="22"/>
      <c r="BH29" s="22">
        <f>36249+1</f>
        <v>36250</v>
      </c>
      <c r="BI29" s="22">
        <v>35319</v>
      </c>
      <c r="BJ29" s="22">
        <v>35410</v>
      </c>
      <c r="BK29" s="22">
        <v>30884</v>
      </c>
      <c r="BL29" s="60"/>
      <c r="BM29" s="22">
        <v>29379</v>
      </c>
      <c r="BN29" s="22">
        <v>25137</v>
      </c>
      <c r="BO29" s="22">
        <v>26341</v>
      </c>
      <c r="BP29" s="22">
        <v>22392</v>
      </c>
      <c r="BQ29" s="22">
        <v>25719</v>
      </c>
      <c r="BR29" s="22">
        <v>21968</v>
      </c>
      <c r="BS29" s="22">
        <f>24518-1</f>
        <v>24517</v>
      </c>
      <c r="BT29" s="22">
        <v>20792</v>
      </c>
      <c r="BU29" s="22"/>
      <c r="BV29" s="22">
        <v>20534</v>
      </c>
      <c r="BW29" s="22">
        <v>20534</v>
      </c>
      <c r="BX29" s="22">
        <f>18548-1</f>
        <v>18547</v>
      </c>
      <c r="BY29" s="22">
        <v>18704</v>
      </c>
      <c r="BZ29" s="22">
        <v>24444</v>
      </c>
      <c r="CA29" s="22"/>
      <c r="CB29" s="22">
        <v>18428</v>
      </c>
      <c r="CC29" s="60" t="e">
        <f>+CB29-#REF!</f>
        <v>#REF!</v>
      </c>
      <c r="CD29" s="60" t="e">
        <f>+BW29-#REF!</f>
        <v>#REF!</v>
      </c>
    </row>
    <row r="30" spans="2:82" x14ac:dyDescent="0.25">
      <c r="B30" s="64" t="s">
        <v>137</v>
      </c>
      <c r="C30" s="68">
        <v>49888</v>
      </c>
      <c r="D30" s="22">
        <v>52310.244474430001</v>
      </c>
      <c r="E30" s="22">
        <v>40892</v>
      </c>
      <c r="F30" s="22">
        <v>52226</v>
      </c>
      <c r="G30" s="55"/>
      <c r="H30" s="22">
        <v>53907</v>
      </c>
      <c r="I30" s="22">
        <v>46027</v>
      </c>
      <c r="J30" s="22">
        <v>57854</v>
      </c>
      <c r="K30" s="22">
        <v>77136</v>
      </c>
      <c r="L30" s="22">
        <v>78653</v>
      </c>
      <c r="N30" s="22">
        <v>54764</v>
      </c>
      <c r="O30" s="22">
        <v>54764</v>
      </c>
      <c r="P30" s="22">
        <v>60111</v>
      </c>
      <c r="Q30" s="22">
        <v>60111</v>
      </c>
      <c r="R30" s="22">
        <v>58651</v>
      </c>
      <c r="S30" s="22">
        <v>58651</v>
      </c>
      <c r="T30" s="22">
        <v>56747</v>
      </c>
      <c r="U30" s="22">
        <v>56747</v>
      </c>
      <c r="W30" s="22">
        <f>54732</f>
        <v>54732</v>
      </c>
      <c r="X30" s="22">
        <v>54732</v>
      </c>
      <c r="Y30" s="22">
        <v>56284</v>
      </c>
      <c r="Z30" s="22">
        <f>56284-1</f>
        <v>56283</v>
      </c>
      <c r="AA30" s="22">
        <f>52748-1</f>
        <v>52747</v>
      </c>
      <c r="AB30" s="22">
        <f>52748</f>
        <v>52748</v>
      </c>
      <c r="AC30" s="22">
        <f>58360</f>
        <v>58360</v>
      </c>
      <c r="AD30" s="22">
        <f>58360</f>
        <v>58360</v>
      </c>
      <c r="AE30" s="22"/>
      <c r="AF30" s="22">
        <v>53841</v>
      </c>
      <c r="AG30" s="22">
        <v>53841</v>
      </c>
      <c r="AH30" s="22">
        <v>55810</v>
      </c>
      <c r="AI30" s="22">
        <v>55810</v>
      </c>
      <c r="AJ30" s="22">
        <f>57128+1</f>
        <v>57129</v>
      </c>
      <c r="AK30" s="22">
        <f>57128+1</f>
        <v>57129</v>
      </c>
      <c r="AN30" s="22">
        <v>62609</v>
      </c>
      <c r="AO30" s="22">
        <v>62609</v>
      </c>
      <c r="AQ30" s="22">
        <v>54074</v>
      </c>
      <c r="AR30" s="22">
        <v>54074</v>
      </c>
      <c r="AS30" s="22">
        <f>72332+1</f>
        <v>72333</v>
      </c>
      <c r="AT30" s="22">
        <f>72332+1</f>
        <v>72333</v>
      </c>
      <c r="AU30" s="22">
        <f>59534-1</f>
        <v>59533</v>
      </c>
      <c r="AV30" s="22">
        <v>55461</v>
      </c>
      <c r="AX30" s="22">
        <v>58784</v>
      </c>
      <c r="AY30" s="22">
        <v>47564</v>
      </c>
      <c r="AZ30" s="22">
        <v>55266</v>
      </c>
      <c r="BA30" s="22">
        <f>60366-1</f>
        <v>60365</v>
      </c>
      <c r="BC30" s="22">
        <v>60407</v>
      </c>
      <c r="BD30" s="22">
        <f>56991-1</f>
        <v>56990</v>
      </c>
      <c r="BE30" s="22">
        <f>59731-1</f>
        <v>59730</v>
      </c>
      <c r="BF30" s="22">
        <f>65674+1</f>
        <v>65675</v>
      </c>
      <c r="BG30" s="22"/>
      <c r="BH30" s="22">
        <v>67866</v>
      </c>
      <c r="BI30" s="22">
        <v>72913</v>
      </c>
      <c r="BJ30" s="22">
        <f>71223</f>
        <v>71223</v>
      </c>
      <c r="BK30" s="22">
        <f>75006-1</f>
        <v>75005</v>
      </c>
      <c r="BL30" s="60"/>
      <c r="BM30" s="22">
        <v>82296</v>
      </c>
      <c r="BN30" s="22">
        <f>42833-1</f>
        <v>42832</v>
      </c>
      <c r="BO30" s="22">
        <v>71712</v>
      </c>
      <c r="BP30" s="22">
        <f>41607+1</f>
        <v>41608</v>
      </c>
      <c r="BQ30" s="22">
        <v>68348</v>
      </c>
      <c r="BR30" s="22">
        <f>42656+1</f>
        <v>42657</v>
      </c>
      <c r="BS30" s="22">
        <f>83790-1</f>
        <v>83789</v>
      </c>
      <c r="BT30" s="22">
        <f>45378-1</f>
        <v>45377</v>
      </c>
      <c r="BU30" s="22"/>
      <c r="BV30" s="22">
        <f>41274-1</f>
        <v>41273</v>
      </c>
      <c r="BW30" s="22">
        <f>41274</f>
        <v>41274</v>
      </c>
      <c r="BX30" s="22">
        <f>44840+1</f>
        <v>44841</v>
      </c>
      <c r="BY30" s="22">
        <f>40985+1</f>
        <v>40986</v>
      </c>
      <c r="BZ30" s="22">
        <f>42952+1</f>
        <v>42953</v>
      </c>
      <c r="CA30" s="22"/>
      <c r="CB30" s="22">
        <v>38993</v>
      </c>
      <c r="CC30" s="60" t="e">
        <f>+CB30-#REF!</f>
        <v>#REF!</v>
      </c>
      <c r="CD30" s="60" t="e">
        <f>+BW30-#REF!</f>
        <v>#REF!</v>
      </c>
    </row>
    <row r="31" spans="2:82" x14ac:dyDescent="0.25">
      <c r="B31" s="64" t="s">
        <v>138</v>
      </c>
      <c r="C31" s="68">
        <v>5039</v>
      </c>
      <c r="D31" s="22">
        <v>-3113.46830413</v>
      </c>
      <c r="E31" s="22">
        <v>16251</v>
      </c>
      <c r="F31" s="22">
        <v>26694</v>
      </c>
      <c r="G31" s="55"/>
      <c r="H31" s="22">
        <v>6548</v>
      </c>
      <c r="I31" s="22">
        <v>10797</v>
      </c>
      <c r="J31" s="22">
        <v>-2171</v>
      </c>
      <c r="K31" s="22">
        <f>21618</f>
        <v>21618</v>
      </c>
      <c r="L31" s="22">
        <v>19443</v>
      </c>
      <c r="N31" s="22">
        <v>10603</v>
      </c>
      <c r="O31" s="22">
        <v>10603</v>
      </c>
      <c r="P31" s="22">
        <v>9382</v>
      </c>
      <c r="Q31" s="22">
        <v>9382</v>
      </c>
      <c r="R31" s="22">
        <v>9415</v>
      </c>
      <c r="S31" s="22">
        <v>9415</v>
      </c>
      <c r="T31" s="22">
        <v>10215</v>
      </c>
      <c r="U31" s="22">
        <v>10215</v>
      </c>
      <c r="W31" s="22">
        <v>7972</v>
      </c>
      <c r="X31" s="22">
        <v>7972</v>
      </c>
      <c r="Y31" s="22">
        <v>8213</v>
      </c>
      <c r="Z31" s="22">
        <f>8213+1</f>
        <v>8214</v>
      </c>
      <c r="AA31" s="22">
        <f>9303+1</f>
        <v>9304</v>
      </c>
      <c r="AB31" s="22">
        <f>9303</f>
        <v>9303</v>
      </c>
      <c r="AC31" s="22">
        <v>9923</v>
      </c>
      <c r="AD31" s="22">
        <v>9923</v>
      </c>
      <c r="AE31" s="22"/>
      <c r="AF31" s="22">
        <v>8231</v>
      </c>
      <c r="AG31" s="22">
        <v>8231</v>
      </c>
      <c r="AH31" s="22">
        <f>7434-1</f>
        <v>7433</v>
      </c>
      <c r="AI31" s="22">
        <f>7434-1</f>
        <v>7433</v>
      </c>
      <c r="AJ31" s="22">
        <v>8493</v>
      </c>
      <c r="AK31" s="22">
        <v>8493</v>
      </c>
      <c r="AN31" s="22">
        <v>8638</v>
      </c>
      <c r="AO31" s="22">
        <v>8638</v>
      </c>
      <c r="AQ31" s="22">
        <v>8971</v>
      </c>
      <c r="AR31" s="22">
        <v>8971</v>
      </c>
      <c r="AS31" s="22">
        <v>9692</v>
      </c>
      <c r="AT31" s="22">
        <v>9692</v>
      </c>
      <c r="AU31" s="22">
        <v>9919</v>
      </c>
      <c r="AV31" s="22">
        <f>10038-1</f>
        <v>10037</v>
      </c>
      <c r="AX31" s="22">
        <v>10064</v>
      </c>
      <c r="AY31" s="22">
        <v>10859</v>
      </c>
      <c r="AZ31" s="22">
        <v>10833</v>
      </c>
      <c r="BA31" s="22">
        <v>9130</v>
      </c>
      <c r="BC31" s="22">
        <v>10440</v>
      </c>
      <c r="BD31" s="22">
        <v>10800</v>
      </c>
      <c r="BE31" s="22">
        <f>11742+2</f>
        <v>11744</v>
      </c>
      <c r="BF31" s="22">
        <f>11087-1</f>
        <v>11086</v>
      </c>
      <c r="BG31" s="22"/>
      <c r="BH31" s="22">
        <v>11048</v>
      </c>
      <c r="BI31" s="22">
        <v>10949</v>
      </c>
      <c r="BJ31" s="22">
        <v>12193</v>
      </c>
      <c r="BK31" s="22">
        <f>12976+1</f>
        <v>12977</v>
      </c>
      <c r="BL31" s="60"/>
      <c r="BM31" s="22">
        <f>13621-1</f>
        <v>13620</v>
      </c>
      <c r="BN31" s="22">
        <v>12808</v>
      </c>
      <c r="BO31" s="22">
        <v>12790</v>
      </c>
      <c r="BP31" s="22">
        <f>12019-1</f>
        <v>12018</v>
      </c>
      <c r="BQ31" s="22">
        <v>11830</v>
      </c>
      <c r="BR31" s="22">
        <f>11098+1</f>
        <v>11099</v>
      </c>
      <c r="BS31" s="22">
        <f>11729+1</f>
        <v>11730</v>
      </c>
      <c r="BT31" s="22">
        <f>10966+1</f>
        <v>10967</v>
      </c>
      <c r="BU31" s="22"/>
      <c r="BV31" s="22">
        <f>10701</f>
        <v>10701</v>
      </c>
      <c r="BW31" s="22">
        <f>10701-1</f>
        <v>10700</v>
      </c>
      <c r="BX31" s="22">
        <f>10657+1</f>
        <v>10658</v>
      </c>
      <c r="BY31" s="22">
        <f>11177+1</f>
        <v>11178</v>
      </c>
      <c r="BZ31" s="22">
        <v>11750</v>
      </c>
      <c r="CA31" s="22"/>
      <c r="CB31" s="22">
        <v>11153</v>
      </c>
      <c r="CC31" s="60" t="e">
        <f>+CB31-#REF!</f>
        <v>#REF!</v>
      </c>
      <c r="CD31" s="60" t="e">
        <f>+BW31-#REF!</f>
        <v>#REF!</v>
      </c>
    </row>
    <row r="32" spans="2:82" x14ac:dyDescent="0.25">
      <c r="C32" s="55"/>
      <c r="D32" s="66"/>
      <c r="E32" s="66"/>
      <c r="F32" s="66"/>
      <c r="G32" s="55"/>
      <c r="H32" s="66"/>
      <c r="I32" s="66"/>
      <c r="J32" s="66"/>
      <c r="K32" s="66"/>
      <c r="L32" s="66"/>
      <c r="N32" s="66"/>
      <c r="O32" s="66"/>
      <c r="P32" s="66"/>
      <c r="Q32" s="66"/>
      <c r="R32" s="66"/>
      <c r="S32" s="66"/>
      <c r="T32" s="66"/>
      <c r="U32" s="66"/>
      <c r="W32" s="66"/>
      <c r="X32" s="66"/>
      <c r="Y32" s="66"/>
      <c r="Z32" s="66"/>
      <c r="AA32" s="66"/>
      <c r="AB32" s="66"/>
      <c r="AC32" s="66"/>
      <c r="AD32" s="66"/>
      <c r="AE32" s="66"/>
      <c r="AF32" s="66"/>
      <c r="AG32" s="66"/>
      <c r="AH32" s="66"/>
      <c r="AI32" s="66"/>
      <c r="AJ32" s="66"/>
      <c r="AK32" s="66"/>
      <c r="AN32" s="66"/>
      <c r="AO32" s="66"/>
      <c r="AQ32" s="66"/>
      <c r="AR32" s="66"/>
      <c r="AS32" s="66"/>
      <c r="AT32" s="66"/>
      <c r="AU32" s="66"/>
      <c r="AV32" s="66"/>
      <c r="AX32" s="66"/>
      <c r="AY32" s="66"/>
      <c r="AZ32" s="66"/>
      <c r="BA32" s="66"/>
      <c r="BC32" s="66"/>
      <c r="BD32" s="66"/>
      <c r="BE32" s="66"/>
      <c r="BF32" s="66"/>
      <c r="BG32" s="66"/>
      <c r="BH32" s="66"/>
      <c r="BI32" s="66"/>
      <c r="BJ32" s="66"/>
      <c r="BK32" s="66"/>
      <c r="BL32" s="60"/>
      <c r="BM32" s="66"/>
      <c r="BN32" s="66"/>
      <c r="BO32" s="66"/>
      <c r="BP32" s="66"/>
      <c r="BQ32" s="66"/>
      <c r="BR32" s="66"/>
      <c r="BS32" s="66"/>
      <c r="BT32" s="66"/>
      <c r="BU32" s="66"/>
      <c r="BV32" s="66"/>
      <c r="BW32" s="66"/>
      <c r="BX32" s="66"/>
      <c r="BY32" s="66"/>
      <c r="BZ32" s="66"/>
      <c r="CA32" s="66"/>
      <c r="CB32" s="66"/>
      <c r="CC32" s="60"/>
      <c r="CD32" s="60"/>
    </row>
    <row r="33" spans="2:82" ht="15" customHeight="1" x14ac:dyDescent="0.25">
      <c r="B33" s="56" t="s">
        <v>139</v>
      </c>
      <c r="C33" s="67">
        <f>+C34-C35-C36</f>
        <v>-20908</v>
      </c>
      <c r="D33" s="67">
        <f>+D34-D35-D36</f>
        <v>-15806.034953820001</v>
      </c>
      <c r="E33" s="67">
        <f>+E34-E35-E36</f>
        <v>-44938</v>
      </c>
      <c r="F33" s="67">
        <f>+F34-F35-F36</f>
        <v>23371</v>
      </c>
      <c r="G33" s="55"/>
      <c r="H33" s="67">
        <f>+H34-H35-H36</f>
        <v>-109849</v>
      </c>
      <c r="I33" s="67">
        <f>+I34-I35-I36</f>
        <v>11651</v>
      </c>
      <c r="J33" s="67">
        <f>+J34-J35-J36</f>
        <v>-18378</v>
      </c>
      <c r="K33" s="67">
        <f>+K34-K35-K36</f>
        <v>23488</v>
      </c>
      <c r="L33" s="67">
        <f>+L34-L35-L36</f>
        <v>12046</v>
      </c>
      <c r="M33" s="67">
        <f t="shared" ref="M33" si="58">+SUM(M34:M36)</f>
        <v>0</v>
      </c>
      <c r="N33" s="67">
        <f t="shared" ref="N33:U33" si="59">+N34-N35-N36</f>
        <v>-125617</v>
      </c>
      <c r="O33" s="67">
        <f t="shared" si="59"/>
        <v>-115100</v>
      </c>
      <c r="P33" s="67">
        <f t="shared" si="59"/>
        <v>-34930</v>
      </c>
      <c r="Q33" s="67">
        <f t="shared" si="59"/>
        <v>-32384</v>
      </c>
      <c r="R33" s="67">
        <f t="shared" si="59"/>
        <v>-32286</v>
      </c>
      <c r="S33" s="67">
        <f t="shared" si="59"/>
        <v>-17065</v>
      </c>
      <c r="T33" s="67">
        <f t="shared" si="59"/>
        <v>82399</v>
      </c>
      <c r="U33" s="67">
        <f t="shared" si="59"/>
        <v>74714</v>
      </c>
      <c r="W33" s="67">
        <f t="shared" ref="W33:AD33" si="60">+W34-W35-W36</f>
        <v>71208</v>
      </c>
      <c r="X33" s="67">
        <f t="shared" si="60"/>
        <v>71208</v>
      </c>
      <c r="Y33" s="67">
        <f t="shared" si="60"/>
        <v>-2988</v>
      </c>
      <c r="Z33" s="67">
        <f t="shared" si="60"/>
        <v>-2989</v>
      </c>
      <c r="AA33" s="67">
        <f t="shared" si="60"/>
        <v>-46172</v>
      </c>
      <c r="AB33" s="67">
        <f t="shared" si="60"/>
        <v>-46171</v>
      </c>
      <c r="AC33" s="67">
        <f t="shared" si="60"/>
        <v>123358</v>
      </c>
      <c r="AD33" s="67">
        <f t="shared" si="60"/>
        <v>123358</v>
      </c>
      <c r="AE33" s="67"/>
      <c r="AF33" s="67">
        <f t="shared" ref="AF33:AK33" si="61">+AF34-AF35-AF36</f>
        <v>83103</v>
      </c>
      <c r="AG33" s="67">
        <f t="shared" si="61"/>
        <v>83103</v>
      </c>
      <c r="AH33" s="67">
        <f t="shared" si="61"/>
        <v>-74743</v>
      </c>
      <c r="AI33" s="67">
        <f t="shared" si="61"/>
        <v>-74743</v>
      </c>
      <c r="AJ33" s="67">
        <f t="shared" si="61"/>
        <v>13936</v>
      </c>
      <c r="AK33" s="67">
        <f t="shared" si="61"/>
        <v>13936</v>
      </c>
      <c r="AN33" s="67">
        <f>+AN34-AN35-AN36</f>
        <v>107255</v>
      </c>
      <c r="AO33" s="67">
        <f>+AO34-AO35-AO36</f>
        <v>107255</v>
      </c>
      <c r="AQ33" s="67">
        <f t="shared" ref="AQ33:AV33" si="62">+AQ34-AQ35-AQ36</f>
        <v>16879</v>
      </c>
      <c r="AR33" s="67">
        <f t="shared" si="62"/>
        <v>16879</v>
      </c>
      <c r="AS33" s="67">
        <f t="shared" si="62"/>
        <v>30763</v>
      </c>
      <c r="AT33" s="67">
        <f t="shared" si="62"/>
        <v>12239</v>
      </c>
      <c r="AU33" s="67">
        <f t="shared" si="62"/>
        <v>31099</v>
      </c>
      <c r="AV33" s="67">
        <f t="shared" si="62"/>
        <v>335458</v>
      </c>
      <c r="AX33" s="67">
        <f>+AX34-AX35-AX36</f>
        <v>17119</v>
      </c>
      <c r="AY33" s="67">
        <f>+AY34-AY35-AY36</f>
        <v>-4403</v>
      </c>
      <c r="AZ33" s="67">
        <f>+AZ34-AZ35-AZ36</f>
        <v>5674</v>
      </c>
      <c r="BA33" s="67">
        <f>+BA34-BA35-BA36</f>
        <v>-50749</v>
      </c>
      <c r="BC33" s="67">
        <f>+BC34-BC35-BC36</f>
        <v>-14161</v>
      </c>
      <c r="BD33" s="67">
        <f>+BD34-BD35-BD36</f>
        <v>189632</v>
      </c>
      <c r="BE33" s="67">
        <f>+BE34-BE35-BE36</f>
        <v>9737</v>
      </c>
      <c r="BF33" s="67">
        <f>+BF34-BF35-BF36</f>
        <v>-250902</v>
      </c>
      <c r="BG33" s="67"/>
      <c r="BH33" s="67">
        <f>+BH34-BH35-BH36</f>
        <v>94581</v>
      </c>
      <c r="BI33" s="67">
        <f>+BI34-BI35-BI36</f>
        <v>38247</v>
      </c>
      <c r="BJ33" s="67">
        <f>+BJ34-BJ35-BJ36</f>
        <v>-104664</v>
      </c>
      <c r="BK33" s="67">
        <f>+BK34-BK35-BK36</f>
        <v>55949</v>
      </c>
      <c r="BL33" s="60"/>
      <c r="BM33" s="67">
        <f t="shared" ref="BM33:BS33" si="63">+BM34-BM35-BM36</f>
        <v>-40400</v>
      </c>
      <c r="BN33" s="67">
        <f t="shared" si="63"/>
        <v>-35713</v>
      </c>
      <c r="BO33" s="67">
        <f t="shared" si="63"/>
        <v>-23984</v>
      </c>
      <c r="BP33" s="67">
        <f t="shared" si="63"/>
        <v>-17043</v>
      </c>
      <c r="BQ33" s="67">
        <f t="shared" si="63"/>
        <v>35458</v>
      </c>
      <c r="BR33" s="67">
        <f t="shared" ref="BR33" si="64">+BR34-BR35-BR36</f>
        <v>-2381</v>
      </c>
      <c r="BS33" s="67">
        <f t="shared" si="63"/>
        <v>60355</v>
      </c>
      <c r="BT33" s="67">
        <f t="shared" ref="BT33" si="65">+BT34-BT35-BT36</f>
        <v>36079</v>
      </c>
      <c r="BU33" s="67"/>
      <c r="BV33" s="67">
        <f>+BV34-BV35-BV36</f>
        <v>52316</v>
      </c>
      <c r="BW33" s="67">
        <f>+BW34-BW35-BW36</f>
        <v>52316</v>
      </c>
      <c r="BX33" s="67">
        <f>+BX34-BX35-BX36</f>
        <v>-6895</v>
      </c>
      <c r="BY33" s="67">
        <f>+BY34-BY35-BY36</f>
        <v>4213</v>
      </c>
      <c r="BZ33" s="67">
        <f>+BZ34-BZ35-BZ36</f>
        <v>10645</v>
      </c>
      <c r="CA33" s="67"/>
      <c r="CB33" s="67">
        <f>+CB34-CB35-CB36</f>
        <v>-15650</v>
      </c>
      <c r="CC33" s="60" t="e">
        <f>+CB33-#REF!</f>
        <v>#REF!</v>
      </c>
      <c r="CD33" s="60" t="e">
        <f>+BW33-#REF!</f>
        <v>#REF!</v>
      </c>
    </row>
    <row r="34" spans="2:82" ht="15" customHeight="1" x14ac:dyDescent="0.25">
      <c r="B34" s="74" t="s">
        <v>140</v>
      </c>
      <c r="C34" s="68">
        <v>8251</v>
      </c>
      <c r="D34" s="22">
        <v>14873.740913690001</v>
      </c>
      <c r="E34" s="22">
        <v>21754</v>
      </c>
      <c r="F34" s="22">
        <v>112178</v>
      </c>
      <c r="G34" s="55"/>
      <c r="H34" s="22">
        <f>22025+1</f>
        <v>22026</v>
      </c>
      <c r="I34" s="22">
        <f>63830-2</f>
        <v>63828</v>
      </c>
      <c r="J34" s="22">
        <f>31718</f>
        <v>31718</v>
      </c>
      <c r="K34" s="22">
        <v>77032</v>
      </c>
      <c r="L34" s="22">
        <v>80799</v>
      </c>
      <c r="N34" s="22">
        <v>23708</v>
      </c>
      <c r="O34" s="22">
        <v>23707</v>
      </c>
      <c r="P34" s="22">
        <v>27776</v>
      </c>
      <c r="Q34" s="22">
        <v>27776</v>
      </c>
      <c r="R34" s="22">
        <v>23052</v>
      </c>
      <c r="S34" s="22">
        <v>32768</v>
      </c>
      <c r="T34" s="22">
        <f>453631+1</f>
        <v>453632</v>
      </c>
      <c r="U34" s="22">
        <f>443916+1</f>
        <v>443917</v>
      </c>
      <c r="W34" s="22">
        <v>161888</v>
      </c>
      <c r="X34" s="22">
        <v>161888</v>
      </c>
      <c r="Y34" s="22">
        <v>17790</v>
      </c>
      <c r="Z34" s="22">
        <f>17790+1</f>
        <v>17791</v>
      </c>
      <c r="AA34" s="22">
        <v>18400</v>
      </c>
      <c r="AB34" s="22">
        <v>18400</v>
      </c>
      <c r="AC34" s="22">
        <v>178759</v>
      </c>
      <c r="AD34" s="22">
        <v>178759</v>
      </c>
      <c r="AE34" s="22"/>
      <c r="AF34" s="22">
        <v>124768</v>
      </c>
      <c r="AG34" s="22">
        <v>124768</v>
      </c>
      <c r="AH34" s="22">
        <v>25381</v>
      </c>
      <c r="AI34" s="22">
        <v>25381</v>
      </c>
      <c r="AJ34" s="22">
        <v>50127</v>
      </c>
      <c r="AK34" s="22">
        <v>50127</v>
      </c>
      <c r="AN34" s="22">
        <v>156613</v>
      </c>
      <c r="AO34" s="22">
        <v>156613</v>
      </c>
      <c r="AQ34" s="22">
        <v>51085</v>
      </c>
      <c r="AR34" s="22">
        <v>51085</v>
      </c>
      <c r="AS34" s="22">
        <v>80819</v>
      </c>
      <c r="AT34" s="22">
        <v>62295</v>
      </c>
      <c r="AU34" s="22">
        <v>61925</v>
      </c>
      <c r="AV34" s="22">
        <v>497511</v>
      </c>
      <c r="AW34" s="60"/>
      <c r="AX34" s="22">
        <v>51301</v>
      </c>
      <c r="AY34" s="22">
        <v>24671</v>
      </c>
      <c r="AZ34" s="22">
        <v>38214</v>
      </c>
      <c r="BA34" s="22">
        <v>60737</v>
      </c>
      <c r="BB34" s="60"/>
      <c r="BC34" s="22">
        <v>23498</v>
      </c>
      <c r="BD34" s="22">
        <f>227206+1</f>
        <v>227207</v>
      </c>
      <c r="BE34" s="22">
        <v>43371</v>
      </c>
      <c r="BF34" s="22">
        <v>1931396</v>
      </c>
      <c r="BG34" s="22"/>
      <c r="BH34" s="22">
        <v>130921</v>
      </c>
      <c r="BI34" s="22">
        <v>65166</v>
      </c>
      <c r="BJ34" s="22">
        <v>38058</v>
      </c>
      <c r="BK34" s="22">
        <v>127768</v>
      </c>
      <c r="BL34" s="60"/>
      <c r="BM34" s="22">
        <v>38062</v>
      </c>
      <c r="BN34" s="22">
        <v>23899</v>
      </c>
      <c r="BO34" s="22">
        <f>37322+1</f>
        <v>37323</v>
      </c>
      <c r="BP34" s="22">
        <v>26366</v>
      </c>
      <c r="BQ34" s="22">
        <v>30688</v>
      </c>
      <c r="BR34" s="22">
        <v>18787</v>
      </c>
      <c r="BS34" s="22">
        <v>192404</v>
      </c>
      <c r="BT34" s="22">
        <f>156076+1</f>
        <v>156077</v>
      </c>
      <c r="BU34" s="22"/>
      <c r="BV34" s="22">
        <v>90996</v>
      </c>
      <c r="BW34" s="22">
        <v>90996</v>
      </c>
      <c r="BX34" s="22">
        <v>41741</v>
      </c>
      <c r="BY34" s="22">
        <v>25786</v>
      </c>
      <c r="BZ34" s="22">
        <f>58243-1</f>
        <v>58242</v>
      </c>
      <c r="CA34" s="22"/>
      <c r="CB34" s="22">
        <v>26159</v>
      </c>
      <c r="CC34" s="60" t="e">
        <f>+CB34-#REF!</f>
        <v>#REF!</v>
      </c>
      <c r="CD34" s="60" t="e">
        <f>+BW34-#REF!</f>
        <v>#REF!</v>
      </c>
    </row>
    <row r="35" spans="2:82" ht="15" customHeight="1" x14ac:dyDescent="0.25">
      <c r="B35" s="64" t="s">
        <v>141</v>
      </c>
      <c r="C35" s="68">
        <v>29159</v>
      </c>
      <c r="D35" s="22">
        <v>30679.775867510001</v>
      </c>
      <c r="E35" s="22">
        <v>66692</v>
      </c>
      <c r="F35" s="22">
        <f>88808-1</f>
        <v>88807</v>
      </c>
      <c r="G35" s="55"/>
      <c r="H35" s="22">
        <v>26711</v>
      </c>
      <c r="I35" s="22">
        <v>52465</v>
      </c>
      <c r="J35" s="22">
        <v>48704</v>
      </c>
      <c r="K35" s="22">
        <f>53541+1</f>
        <v>53542</v>
      </c>
      <c r="L35" s="22">
        <v>68753</v>
      </c>
      <c r="N35" s="22">
        <v>50019</v>
      </c>
      <c r="O35" s="22">
        <f>50019-12377</f>
        <v>37642</v>
      </c>
      <c r="P35" s="22">
        <v>61397</v>
      </c>
      <c r="Q35" s="22">
        <f>61397-2546</f>
        <v>58851</v>
      </c>
      <c r="R35" s="22">
        <v>54718</v>
      </c>
      <c r="S35" s="22">
        <f>36149+18569-3646</f>
        <v>51072</v>
      </c>
      <c r="T35" s="22">
        <v>371599</v>
      </c>
      <c r="U35" s="22">
        <f>369570-1</f>
        <v>369569</v>
      </c>
      <c r="W35" s="22">
        <f>59794-8804</f>
        <v>50990</v>
      </c>
      <c r="X35" s="22">
        <f>59794-8804</f>
        <v>50990</v>
      </c>
      <c r="Y35" s="22">
        <f>23608-2910</f>
        <v>20698</v>
      </c>
      <c r="Z35" s="22">
        <f>23608-2910+1</f>
        <v>20699</v>
      </c>
      <c r="AA35" s="22">
        <f>52858+15302-3588</f>
        <v>64572</v>
      </c>
      <c r="AB35" s="22">
        <f>52858+15302-3588-1</f>
        <v>64571</v>
      </c>
      <c r="AC35" s="22">
        <v>55401</v>
      </c>
      <c r="AD35" s="22">
        <v>55401</v>
      </c>
      <c r="AE35" s="22"/>
      <c r="AF35" s="22">
        <v>41665</v>
      </c>
      <c r="AG35" s="22">
        <v>41665</v>
      </c>
      <c r="AH35" s="22">
        <v>100124</v>
      </c>
      <c r="AI35" s="22">
        <v>100124</v>
      </c>
      <c r="AJ35" s="22">
        <v>36191</v>
      </c>
      <c r="AK35" s="22">
        <v>36191</v>
      </c>
      <c r="AN35" s="22">
        <v>49358</v>
      </c>
      <c r="AO35" s="22">
        <v>49358</v>
      </c>
      <c r="AQ35" s="22">
        <v>34206</v>
      </c>
      <c r="AR35" s="22">
        <v>34206</v>
      </c>
      <c r="AS35" s="22">
        <f>50055+1</f>
        <v>50056</v>
      </c>
      <c r="AT35" s="22">
        <f>50055+1</f>
        <v>50056</v>
      </c>
      <c r="AU35" s="22">
        <v>30826</v>
      </c>
      <c r="AV35" s="22">
        <f>162054-1</f>
        <v>162053</v>
      </c>
      <c r="AX35" s="22">
        <v>34182</v>
      </c>
      <c r="AY35" s="22">
        <f>29075-1</f>
        <v>29074</v>
      </c>
      <c r="AZ35" s="22">
        <f>32540</f>
        <v>32540</v>
      </c>
      <c r="BA35" s="22">
        <v>111486</v>
      </c>
      <c r="BC35" s="22">
        <v>37659</v>
      </c>
      <c r="BD35" s="22">
        <v>37575</v>
      </c>
      <c r="BE35" s="22">
        <v>33634</v>
      </c>
      <c r="BF35" s="22">
        <v>2182298</v>
      </c>
      <c r="BG35" s="22"/>
      <c r="BH35" s="22">
        <v>36340</v>
      </c>
      <c r="BI35" s="22">
        <v>26919</v>
      </c>
      <c r="BJ35" s="22">
        <f>142722</f>
        <v>142722</v>
      </c>
      <c r="BK35" s="22">
        <f>71820-1</f>
        <v>71819</v>
      </c>
      <c r="BL35" s="60"/>
      <c r="BM35" s="22">
        <f>78463-1</f>
        <v>78462</v>
      </c>
      <c r="BN35" s="22">
        <v>59612</v>
      </c>
      <c r="BO35" s="22">
        <v>61307</v>
      </c>
      <c r="BP35" s="22">
        <f>43410-1</f>
        <v>43409</v>
      </c>
      <c r="BQ35" s="22">
        <v>-4770</v>
      </c>
      <c r="BR35" s="22">
        <v>21168</v>
      </c>
      <c r="BS35" s="22">
        <v>132049</v>
      </c>
      <c r="BT35" s="22">
        <f>119997+1</f>
        <v>119998</v>
      </c>
      <c r="BU35" s="22"/>
      <c r="BV35" s="22">
        <v>38680</v>
      </c>
      <c r="BW35" s="22">
        <v>38680</v>
      </c>
      <c r="BX35" s="22">
        <v>48636</v>
      </c>
      <c r="BY35" s="22">
        <v>21573</v>
      </c>
      <c r="BZ35" s="22">
        <f>47598-1</f>
        <v>47597</v>
      </c>
      <c r="CA35" s="22"/>
      <c r="CB35" s="22">
        <v>41809</v>
      </c>
      <c r="CC35" s="60" t="e">
        <f>+CB35-#REF!</f>
        <v>#REF!</v>
      </c>
      <c r="CD35" s="60" t="e">
        <f>+BW35-#REF!</f>
        <v>#REF!</v>
      </c>
    </row>
    <row r="36" spans="2:82" x14ac:dyDescent="0.25">
      <c r="B36" s="64" t="s">
        <v>142</v>
      </c>
      <c r="C36" s="68">
        <v>0</v>
      </c>
      <c r="D36" s="75">
        <v>0</v>
      </c>
      <c r="E36" s="75">
        <v>0</v>
      </c>
      <c r="F36" s="75"/>
      <c r="G36" s="55"/>
      <c r="H36" s="75">
        <v>105164</v>
      </c>
      <c r="I36" s="75">
        <f>-287-1</f>
        <v>-288</v>
      </c>
      <c r="J36" s="75">
        <v>1392</v>
      </c>
      <c r="K36" s="75">
        <v>2</v>
      </c>
      <c r="L36" s="75">
        <v>0</v>
      </c>
      <c r="N36" s="75">
        <v>99306</v>
      </c>
      <c r="O36" s="75">
        <v>101165</v>
      </c>
      <c r="P36" s="22">
        <v>1309</v>
      </c>
      <c r="Q36" s="22">
        <v>1309</v>
      </c>
      <c r="R36" s="22">
        <v>620</v>
      </c>
      <c r="S36" s="22">
        <v>-1239</v>
      </c>
      <c r="T36" s="22">
        <v>-366</v>
      </c>
      <c r="U36" s="22">
        <v>-366</v>
      </c>
      <c r="W36" s="75">
        <v>39690</v>
      </c>
      <c r="X36" s="75">
        <v>39690</v>
      </c>
      <c r="Y36" s="75">
        <v>80</v>
      </c>
      <c r="Z36" s="75">
        <f>80+1</f>
        <v>81</v>
      </c>
      <c r="AA36" s="75">
        <v>0</v>
      </c>
      <c r="AB36" s="75">
        <v>0</v>
      </c>
      <c r="AC36" s="75">
        <v>0</v>
      </c>
      <c r="AD36" s="75">
        <v>0</v>
      </c>
      <c r="AE36" s="75"/>
      <c r="AF36" s="75">
        <v>0</v>
      </c>
      <c r="AG36" s="75">
        <v>0</v>
      </c>
      <c r="AH36" s="75">
        <v>0</v>
      </c>
      <c r="AI36" s="75">
        <v>0</v>
      </c>
      <c r="AJ36" s="75">
        <v>0</v>
      </c>
      <c r="AK36" s="75">
        <v>0</v>
      </c>
      <c r="AN36" s="75">
        <v>0</v>
      </c>
      <c r="AO36" s="75">
        <v>0</v>
      </c>
      <c r="AQ36" s="75">
        <v>0</v>
      </c>
      <c r="AR36" s="75">
        <v>0</v>
      </c>
      <c r="AS36" s="75">
        <v>0</v>
      </c>
      <c r="AT36" s="75">
        <v>0</v>
      </c>
      <c r="AU36" s="75">
        <v>0</v>
      </c>
      <c r="AV36" s="75">
        <v>0</v>
      </c>
      <c r="AX36" s="75">
        <v>0</v>
      </c>
      <c r="AY36" s="75">
        <v>0</v>
      </c>
      <c r="AZ36" s="75">
        <v>0</v>
      </c>
      <c r="BA36" s="75">
        <v>0</v>
      </c>
      <c r="BC36" s="75">
        <v>0</v>
      </c>
      <c r="BD36" s="75">
        <v>0</v>
      </c>
      <c r="BE36" s="75">
        <v>0</v>
      </c>
      <c r="BF36" s="75">
        <v>0</v>
      </c>
      <c r="BG36" s="75"/>
      <c r="BH36" s="75">
        <v>0</v>
      </c>
      <c r="BI36" s="75">
        <v>0</v>
      </c>
      <c r="BJ36" s="75">
        <v>0</v>
      </c>
      <c r="BK36" s="75">
        <v>0</v>
      </c>
      <c r="BL36" s="60"/>
      <c r="BM36" s="75">
        <v>0</v>
      </c>
      <c r="BN36" s="75">
        <v>0</v>
      </c>
      <c r="BO36" s="75">
        <v>0</v>
      </c>
      <c r="BP36" s="75">
        <v>0</v>
      </c>
      <c r="BQ36" s="75">
        <v>0</v>
      </c>
      <c r="BR36" s="75">
        <v>0</v>
      </c>
      <c r="BS36" s="75">
        <v>0</v>
      </c>
      <c r="BT36" s="75">
        <v>0</v>
      </c>
      <c r="BU36" s="75"/>
      <c r="BV36" s="75">
        <v>0</v>
      </c>
      <c r="BW36" s="75">
        <v>0</v>
      </c>
      <c r="BX36" s="75">
        <v>0</v>
      </c>
      <c r="BY36" s="75">
        <v>0</v>
      </c>
      <c r="BZ36" s="75">
        <v>0</v>
      </c>
      <c r="CA36" s="75"/>
      <c r="CB36" s="75">
        <v>0</v>
      </c>
      <c r="CC36" s="60" t="e">
        <f>+CB36-#REF!</f>
        <v>#REF!</v>
      </c>
      <c r="CD36" s="60" t="e">
        <f>+BW36-#REF!</f>
        <v>#REF!</v>
      </c>
    </row>
    <row r="37" spans="2:82" ht="4.5" customHeight="1" x14ac:dyDescent="0.25">
      <c r="C37" s="55"/>
      <c r="D37" s="76"/>
      <c r="E37" s="76"/>
      <c r="F37" s="76"/>
      <c r="G37" s="55"/>
      <c r="H37" s="76"/>
      <c r="I37" s="76"/>
      <c r="J37" s="76"/>
      <c r="K37" s="76"/>
      <c r="L37" s="76"/>
      <c r="N37" s="76"/>
      <c r="O37" s="76"/>
      <c r="P37" s="76"/>
      <c r="Q37" s="76"/>
      <c r="R37" s="76"/>
      <c r="S37" s="76"/>
      <c r="T37" s="76"/>
      <c r="U37" s="76"/>
      <c r="W37" s="76"/>
      <c r="X37" s="76"/>
      <c r="Y37" s="76"/>
      <c r="Z37" s="76"/>
      <c r="AA37" s="76"/>
      <c r="AB37" s="76"/>
      <c r="AC37" s="76"/>
      <c r="AD37" s="76"/>
      <c r="AE37" s="76"/>
      <c r="AF37" s="76"/>
      <c r="AG37" s="76"/>
      <c r="AH37" s="76"/>
      <c r="AI37" s="76"/>
      <c r="AJ37" s="76"/>
      <c r="AK37" s="76"/>
      <c r="AN37" s="76"/>
      <c r="AO37" s="76"/>
      <c r="AQ37" s="76"/>
      <c r="AR37" s="76"/>
      <c r="AS37" s="76"/>
      <c r="AT37" s="76"/>
      <c r="AU37" s="76"/>
      <c r="AV37" s="76"/>
      <c r="AX37" s="76"/>
      <c r="AY37" s="76"/>
      <c r="AZ37" s="76"/>
      <c r="BA37" s="76"/>
      <c r="BC37" s="76"/>
      <c r="BD37" s="76"/>
      <c r="BE37" s="76"/>
      <c r="BF37" s="76"/>
      <c r="BG37" s="76"/>
      <c r="BH37" s="76"/>
      <c r="BI37" s="76"/>
      <c r="BJ37" s="76"/>
      <c r="BK37" s="76"/>
      <c r="BL37" s="60"/>
      <c r="BM37" s="76"/>
      <c r="BN37" s="76"/>
      <c r="BO37" s="76"/>
      <c r="BP37" s="76"/>
      <c r="BQ37" s="76"/>
      <c r="BR37" s="76"/>
      <c r="BS37" s="76"/>
      <c r="BT37" s="76"/>
      <c r="BU37" s="76"/>
      <c r="BV37" s="76"/>
      <c r="BW37" s="76"/>
      <c r="BX37" s="76"/>
      <c r="BY37" s="76"/>
      <c r="BZ37" s="76"/>
      <c r="CA37" s="76"/>
      <c r="CB37" s="76"/>
      <c r="CC37" s="60"/>
      <c r="CD37" s="60"/>
    </row>
    <row r="38" spans="2:82" s="56" customFormat="1" ht="16.5" customHeight="1" x14ac:dyDescent="0.25">
      <c r="B38" s="56" t="s">
        <v>143</v>
      </c>
      <c r="C38" s="69">
        <f>+C24-C27+C33</f>
        <v>657464</v>
      </c>
      <c r="D38" s="69">
        <f>+D24-D27+D33</f>
        <v>572481.91089914984</v>
      </c>
      <c r="E38" s="69">
        <f>+E24-E27+E33</f>
        <v>322148</v>
      </c>
      <c r="F38" s="69">
        <f>+F24-F27+F33</f>
        <v>111077</v>
      </c>
      <c r="G38" s="55"/>
      <c r="H38" s="69">
        <f>+H24-H27+H33</f>
        <v>343755</v>
      </c>
      <c r="I38" s="69">
        <f t="shared" ref="I38:L38" si="66">+I24-I27+I33</f>
        <v>562513</v>
      </c>
      <c r="J38" s="69">
        <f t="shared" si="66"/>
        <v>454461</v>
      </c>
      <c r="K38" s="69">
        <f t="shared" si="66"/>
        <v>270282</v>
      </c>
      <c r="L38" s="69">
        <f t="shared" si="66"/>
        <v>264504</v>
      </c>
      <c r="N38" s="69">
        <f t="shared" ref="N38:U38" si="67">+N24-N27+N33</f>
        <v>603138</v>
      </c>
      <c r="O38" s="69">
        <f t="shared" si="67"/>
        <v>599309</v>
      </c>
      <c r="P38" s="69">
        <f t="shared" si="67"/>
        <v>642761</v>
      </c>
      <c r="Q38" s="69">
        <f t="shared" si="67"/>
        <v>650249</v>
      </c>
      <c r="R38" s="69">
        <f t="shared" si="67"/>
        <v>622318</v>
      </c>
      <c r="S38" s="69">
        <f t="shared" si="67"/>
        <v>664144</v>
      </c>
      <c r="T38" s="69">
        <f t="shared" si="67"/>
        <v>567821</v>
      </c>
      <c r="U38" s="69">
        <f t="shared" si="67"/>
        <v>542935</v>
      </c>
      <c r="W38" s="69">
        <f t="shared" ref="W38:AD38" si="68">+W24-W27+W33</f>
        <v>495314</v>
      </c>
      <c r="X38" s="69">
        <f t="shared" si="68"/>
        <v>495313</v>
      </c>
      <c r="Y38" s="69">
        <f t="shared" si="68"/>
        <v>556952</v>
      </c>
      <c r="Z38" s="69">
        <f t="shared" si="68"/>
        <v>556951</v>
      </c>
      <c r="AA38" s="69">
        <f t="shared" si="68"/>
        <v>828601</v>
      </c>
      <c r="AB38" s="69">
        <f t="shared" si="68"/>
        <v>828602</v>
      </c>
      <c r="AC38" s="69">
        <f t="shared" si="68"/>
        <v>639665</v>
      </c>
      <c r="AD38" s="69">
        <f t="shared" si="68"/>
        <v>639667</v>
      </c>
      <c r="AE38" s="69"/>
      <c r="AF38" s="69">
        <f t="shared" ref="AF38:AK38" si="69">+AF24-AF27+AF33</f>
        <v>607137</v>
      </c>
      <c r="AG38" s="69">
        <f t="shared" si="69"/>
        <v>604542</v>
      </c>
      <c r="AH38" s="69">
        <f t="shared" si="69"/>
        <v>545462</v>
      </c>
      <c r="AI38" s="69">
        <f t="shared" si="69"/>
        <v>540759</v>
      </c>
      <c r="AJ38" s="69">
        <f t="shared" si="69"/>
        <v>677312</v>
      </c>
      <c r="AK38" s="69">
        <f t="shared" si="69"/>
        <v>673492</v>
      </c>
      <c r="AN38" s="69">
        <f t="shared" ref="AN38:AO38" si="70">+AN24-AN27+AN33</f>
        <v>789138</v>
      </c>
      <c r="AO38" s="69">
        <f t="shared" si="70"/>
        <v>780918</v>
      </c>
      <c r="AQ38" s="69">
        <f t="shared" ref="AQ38:AV38" si="71">+AQ24-AQ27+AQ33</f>
        <v>609504</v>
      </c>
      <c r="AR38" s="69">
        <f t="shared" si="71"/>
        <v>603092</v>
      </c>
      <c r="AS38" s="69">
        <f t="shared" si="71"/>
        <v>610341</v>
      </c>
      <c r="AT38" s="69">
        <f t="shared" si="71"/>
        <v>602286</v>
      </c>
      <c r="AU38" s="69">
        <f t="shared" si="71"/>
        <v>979335</v>
      </c>
      <c r="AV38" s="69">
        <f t="shared" si="71"/>
        <v>891760</v>
      </c>
      <c r="AX38" s="69">
        <f t="shared" ref="AX38:BA38" si="72">+AX24-AX27+AX33</f>
        <v>396629</v>
      </c>
      <c r="AY38" s="69">
        <f t="shared" si="72"/>
        <v>448973</v>
      </c>
      <c r="AZ38" s="69">
        <f t="shared" si="72"/>
        <v>426511</v>
      </c>
      <c r="BA38" s="69">
        <f t="shared" si="72"/>
        <v>366014</v>
      </c>
      <c r="BC38" s="69">
        <f t="shared" ref="BC38:BF38" si="73">+BC24-BC27+BC33</f>
        <v>524558</v>
      </c>
      <c r="BD38" s="69">
        <f t="shared" si="73"/>
        <v>873240</v>
      </c>
      <c r="BE38" s="69">
        <f t="shared" si="73"/>
        <v>729786</v>
      </c>
      <c r="BF38" s="69">
        <f t="shared" si="73"/>
        <v>489870</v>
      </c>
      <c r="BG38" s="69"/>
      <c r="BH38" s="69">
        <f t="shared" ref="BH38:BJ38" si="74">+BH24-BH27+BH33</f>
        <v>794578</v>
      </c>
      <c r="BI38" s="69">
        <f t="shared" si="74"/>
        <v>981767</v>
      </c>
      <c r="BJ38" s="69">
        <f t="shared" si="74"/>
        <v>841714</v>
      </c>
      <c r="BK38" s="69">
        <f t="shared" ref="BK38:BM38" si="75">+BK24-BK27+BK33</f>
        <v>975206</v>
      </c>
      <c r="BL38" s="60"/>
      <c r="BM38" s="69">
        <f t="shared" si="75"/>
        <v>1202066</v>
      </c>
      <c r="BN38" s="69">
        <f t="shared" ref="BN38" si="76">+BN24-BN27+BN33</f>
        <v>1037769</v>
      </c>
      <c r="BO38" s="69">
        <f t="shared" ref="BO38:BQ38" si="77">+BO24-BO27+BO33</f>
        <v>1212258</v>
      </c>
      <c r="BP38" s="69">
        <f t="shared" ref="BP38" si="78">+BP24-BP27+BP33</f>
        <v>921167</v>
      </c>
      <c r="BQ38" s="69">
        <f t="shared" si="77"/>
        <v>962933</v>
      </c>
      <c r="BR38" s="69">
        <f t="shared" ref="BR38" si="79">+BR24-BR27+BR33</f>
        <v>640816</v>
      </c>
      <c r="BS38" s="69">
        <f t="shared" ref="BS38:BT38" si="80">+BS24-BS27+BS33</f>
        <v>768980</v>
      </c>
      <c r="BT38" s="69">
        <f t="shared" si="80"/>
        <v>520979</v>
      </c>
      <c r="BU38" s="69"/>
      <c r="BV38" s="69">
        <f t="shared" ref="BV38:BY38" si="81">+BV24-BV27+BV33</f>
        <v>2166894</v>
      </c>
      <c r="BW38" s="69">
        <f t="shared" ref="BW38" si="82">+BW24-BW27+BW33</f>
        <v>346523</v>
      </c>
      <c r="BX38" s="69">
        <f t="shared" si="81"/>
        <v>778005</v>
      </c>
      <c r="BY38" s="69">
        <f t="shared" si="81"/>
        <v>904430</v>
      </c>
      <c r="BZ38" s="69">
        <f t="shared" ref="BZ38" si="83">+BZ24-BZ27+BZ33</f>
        <v>373279</v>
      </c>
      <c r="CA38" s="69"/>
      <c r="CB38" s="69">
        <f t="shared" ref="CB38" si="84">+CB24-CB27+CB33</f>
        <v>593548</v>
      </c>
      <c r="CC38" s="60" t="e">
        <f>+CB38-#REF!</f>
        <v>#REF!</v>
      </c>
      <c r="CD38" s="60" t="e">
        <f>+BW38-#REF!</f>
        <v>#REF!</v>
      </c>
    </row>
    <row r="39" spans="2:82" s="56" customFormat="1" ht="16.5" hidden="1" customHeight="1" x14ac:dyDescent="0.25">
      <c r="B39" s="77" t="s">
        <v>35</v>
      </c>
      <c r="C39" s="78">
        <v>305.32</v>
      </c>
      <c r="D39" s="78">
        <v>309.13</v>
      </c>
      <c r="E39" s="78">
        <v>163.72999999999999</v>
      </c>
      <c r="F39" s="78">
        <v>56.22</v>
      </c>
      <c r="G39" s="55"/>
      <c r="H39" s="78">
        <v>126.58</v>
      </c>
      <c r="I39" s="78">
        <v>223.73</v>
      </c>
      <c r="J39" s="78">
        <v>154.26</v>
      </c>
      <c r="K39" s="78">
        <v>91.97</v>
      </c>
      <c r="L39" s="78" t="e">
        <f>+#REF!-J39-I39-H39</f>
        <v>#REF!</v>
      </c>
      <c r="N39" s="78">
        <v>126.58</v>
      </c>
      <c r="O39" s="78">
        <v>126.58</v>
      </c>
      <c r="P39" s="78">
        <v>126.58</v>
      </c>
      <c r="Q39" s="78">
        <v>126.58</v>
      </c>
      <c r="R39" s="78">
        <v>126.58</v>
      </c>
      <c r="S39" s="78">
        <v>126.58</v>
      </c>
      <c r="T39" s="78"/>
      <c r="U39" s="78"/>
      <c r="W39" s="78">
        <v>126.58</v>
      </c>
      <c r="X39" s="78">
        <v>126.58</v>
      </c>
      <c r="Y39" s="78">
        <v>126.58</v>
      </c>
      <c r="Z39" s="78">
        <v>126.58</v>
      </c>
      <c r="AA39" s="78">
        <v>126.58</v>
      </c>
      <c r="AB39" s="78">
        <v>126.58</v>
      </c>
      <c r="AC39" s="78">
        <v>126.58</v>
      </c>
      <c r="AD39" s="78">
        <v>126.58</v>
      </c>
      <c r="AE39" s="78"/>
      <c r="AF39" s="78">
        <v>126.58</v>
      </c>
      <c r="AG39" s="78">
        <v>126.58</v>
      </c>
      <c r="AH39" s="78">
        <v>126.58</v>
      </c>
      <c r="AI39" s="78">
        <v>126.58</v>
      </c>
      <c r="AJ39" s="78">
        <v>126.58</v>
      </c>
      <c r="AK39" s="78">
        <v>126.58</v>
      </c>
      <c r="AN39" s="78">
        <v>126.58</v>
      </c>
      <c r="AO39" s="78">
        <v>126.58</v>
      </c>
      <c r="AQ39" s="78">
        <v>126.58</v>
      </c>
      <c r="AR39" s="78">
        <v>126.58</v>
      </c>
      <c r="AS39" s="78">
        <v>126.58</v>
      </c>
      <c r="AT39" s="78">
        <v>126.58</v>
      </c>
      <c r="AU39" s="78">
        <v>126.58</v>
      </c>
      <c r="AV39" s="78">
        <v>126.58</v>
      </c>
      <c r="AX39" s="78">
        <v>126.58</v>
      </c>
      <c r="AY39" s="78">
        <v>126.58</v>
      </c>
      <c r="AZ39" s="78">
        <v>126.58</v>
      </c>
      <c r="BA39" s="78">
        <v>126.58</v>
      </c>
      <c r="BC39" s="78">
        <v>126.58</v>
      </c>
      <c r="BD39" s="78">
        <v>126.58</v>
      </c>
      <c r="BE39" s="78">
        <v>126.58</v>
      </c>
      <c r="BF39" s="78">
        <v>126.58</v>
      </c>
      <c r="BG39" s="78"/>
      <c r="BH39" s="78">
        <v>126.58</v>
      </c>
      <c r="BI39" s="78">
        <v>126.58</v>
      </c>
      <c r="BJ39" s="78">
        <v>126.58</v>
      </c>
      <c r="BK39" s="78">
        <v>126.58</v>
      </c>
      <c r="BL39" s="60"/>
      <c r="BM39" s="78">
        <v>126.58</v>
      </c>
      <c r="BN39" s="78">
        <v>126.58</v>
      </c>
      <c r="BO39" s="78">
        <v>126.58</v>
      </c>
      <c r="BP39" s="78">
        <v>126.58</v>
      </c>
      <c r="BQ39" s="78">
        <v>126.58</v>
      </c>
      <c r="BR39" s="78">
        <v>126.58</v>
      </c>
      <c r="BS39" s="78">
        <v>126.58</v>
      </c>
      <c r="BT39" s="78">
        <v>126.58</v>
      </c>
      <c r="BU39" s="78"/>
      <c r="BV39" s="78">
        <v>126.58</v>
      </c>
      <c r="BW39" s="78">
        <v>126.58</v>
      </c>
      <c r="BX39" s="78">
        <v>126.58</v>
      </c>
      <c r="BY39" s="78"/>
      <c r="BZ39" s="78"/>
      <c r="CA39" s="78"/>
      <c r="CB39" s="78">
        <v>126.58</v>
      </c>
      <c r="CC39" s="60" t="e">
        <f>+BM39+BO39+BQ39-#REF!</f>
        <v>#REF!</v>
      </c>
      <c r="CD39" s="60" t="e">
        <f>+BH39+BI39-#REF!</f>
        <v>#REF!</v>
      </c>
    </row>
    <row r="40" spans="2:82" ht="16.5" customHeight="1" x14ac:dyDescent="0.25">
      <c r="B40" s="79" t="s">
        <v>144</v>
      </c>
      <c r="C40" s="80">
        <f>+C38/C$10</f>
        <v>0.28675469681935645</v>
      </c>
      <c r="D40" s="80">
        <f>+D38/D$10</f>
        <v>0.2249302540551196</v>
      </c>
      <c r="E40" s="80">
        <f>+E38/E$10</f>
        <v>0.14415431924193553</v>
      </c>
      <c r="F40" s="80">
        <f>+F38/F$10</f>
        <v>4.9953296813255159E-2</v>
      </c>
      <c r="G40" s="81"/>
      <c r="H40" s="80">
        <f>+H38/H$10</f>
        <v>0.1302048020726409</v>
      </c>
      <c r="I40" s="80">
        <f t="shared" ref="I40:L40" si="85">+I38/I$10</f>
        <v>0.19738191658499629</v>
      </c>
      <c r="J40" s="80">
        <f t="shared" si="85"/>
        <v>0.14147125925829079</v>
      </c>
      <c r="K40" s="80">
        <f t="shared" si="85"/>
        <v>6.9708710119861572E-2</v>
      </c>
      <c r="L40" s="80">
        <f t="shared" si="85"/>
        <v>6.6160204825894992E-2</v>
      </c>
      <c r="N40" s="80">
        <f t="shared" ref="N40:U40" si="86">+N38/N$10</f>
        <v>0.14869778678361878</v>
      </c>
      <c r="O40" s="80">
        <f t="shared" si="86"/>
        <v>0.1482474877090999</v>
      </c>
      <c r="P40" s="80">
        <f t="shared" si="86"/>
        <v>0.18929008964436747</v>
      </c>
      <c r="Q40" s="80">
        <f t="shared" si="86"/>
        <v>0.19213249820203299</v>
      </c>
      <c r="R40" s="80">
        <f t="shared" si="86"/>
        <v>0.18509057219379371</v>
      </c>
      <c r="S40" s="80">
        <f t="shared" si="86"/>
        <v>0.19522616780342636</v>
      </c>
      <c r="T40" s="80">
        <f t="shared" si="86"/>
        <v>0.15186943883669851</v>
      </c>
      <c r="U40" s="80">
        <f t="shared" si="86"/>
        <v>0.14579506761619351</v>
      </c>
      <c r="W40" s="80">
        <f t="shared" ref="W40:AD40" si="87">+W38/W$10</f>
        <v>0.14753809282394761</v>
      </c>
      <c r="X40" s="80">
        <f t="shared" si="87"/>
        <v>0.14753779495614491</v>
      </c>
      <c r="Y40" s="80">
        <f t="shared" si="87"/>
        <v>0.15622194179010992</v>
      </c>
      <c r="Z40" s="80">
        <f t="shared" si="87"/>
        <v>0.15622166129566556</v>
      </c>
      <c r="AA40" s="80">
        <f t="shared" si="87"/>
        <v>0.20378564707398497</v>
      </c>
      <c r="AB40" s="80">
        <f t="shared" si="87"/>
        <v>0.20378594313239831</v>
      </c>
      <c r="AC40" s="80">
        <f t="shared" si="87"/>
        <v>0.17841777146046436</v>
      </c>
      <c r="AD40" s="80">
        <f t="shared" si="87"/>
        <v>0.17841822977782898</v>
      </c>
      <c r="AE40" s="80"/>
      <c r="AF40" s="80">
        <f t="shared" ref="AF40:AK40" si="88">+AF38/AF$10</f>
        <v>0.18339482369373511</v>
      </c>
      <c r="AG40" s="80">
        <f t="shared" si="88"/>
        <v>0.18275416330103944</v>
      </c>
      <c r="AH40" s="80">
        <f t="shared" si="88"/>
        <v>0.15080050095241782</v>
      </c>
      <c r="AI40" s="80">
        <f t="shared" si="88"/>
        <v>0.14969496784137773</v>
      </c>
      <c r="AJ40" s="80">
        <f t="shared" si="88"/>
        <v>0.18616463665693486</v>
      </c>
      <c r="AK40" s="80">
        <f t="shared" si="88"/>
        <v>0.18530924587183326</v>
      </c>
      <c r="AN40" s="80">
        <f t="shared" ref="AN40:AO40" si="89">+AN38/AN$10</f>
        <v>0.2105426327634024</v>
      </c>
      <c r="AO40" s="80">
        <f t="shared" si="89"/>
        <v>0.20880746651978196</v>
      </c>
      <c r="AQ40" s="80">
        <f t="shared" ref="AQ40:AV40" si="90">+AQ38/AQ$10</f>
        <v>0.16378721936003285</v>
      </c>
      <c r="AR40" s="80">
        <f t="shared" si="90"/>
        <v>0.16234389906172542</v>
      </c>
      <c r="AS40" s="80">
        <f t="shared" si="90"/>
        <v>0.15809624806310785</v>
      </c>
      <c r="AT40" s="80">
        <f t="shared" si="90"/>
        <v>0.1538330294317547</v>
      </c>
      <c r="AU40" s="80">
        <f t="shared" si="90"/>
        <v>0.18733619667742157</v>
      </c>
      <c r="AV40" s="80">
        <f t="shared" si="90"/>
        <v>0.22628884867148938</v>
      </c>
      <c r="AX40" s="80">
        <f t="shared" ref="AX40:BA40" si="91">+AX38/AX$10</f>
        <v>0.10969383663063757</v>
      </c>
      <c r="AY40" s="80">
        <f t="shared" si="91"/>
        <v>0.13418962822156669</v>
      </c>
      <c r="AZ40" s="80">
        <f t="shared" si="91"/>
        <v>0.12351245894366414</v>
      </c>
      <c r="BA40" s="80">
        <f t="shared" si="91"/>
        <v>0.10236009294835852</v>
      </c>
      <c r="BC40" s="80">
        <f t="shared" ref="BC40:BF40" si="92">+BC38/BC$10</f>
        <v>0.14051862650394562</v>
      </c>
      <c r="BD40" s="80">
        <f t="shared" si="92"/>
        <v>0.21686653633415984</v>
      </c>
      <c r="BE40" s="80">
        <f t="shared" si="92"/>
        <v>0.17732986831218722</v>
      </c>
      <c r="BF40" s="80">
        <f t="shared" si="92"/>
        <v>0.11047873441667309</v>
      </c>
      <c r="BG40" s="80"/>
      <c r="BH40" s="80">
        <f t="shared" ref="BH40:BJ40" si="93">+BH38/BH$10</f>
        <v>0.17222116619022404</v>
      </c>
      <c r="BI40" s="80">
        <f t="shared" si="93"/>
        <v>0.16645510096575347</v>
      </c>
      <c r="BJ40" s="80">
        <f t="shared" si="93"/>
        <v>0.16542776428006806</v>
      </c>
      <c r="BK40" s="80">
        <f t="shared" ref="BK40:BM40" si="94">+BK38/BK$10</f>
        <v>0.16990231722198179</v>
      </c>
      <c r="BL40" s="60"/>
      <c r="BM40" s="80">
        <f t="shared" si="94"/>
        <v>0.20924043452082655</v>
      </c>
      <c r="BN40" s="80">
        <f t="shared" ref="BN40" si="95">+BN38/BN$10</f>
        <v>0.27565701590374403</v>
      </c>
      <c r="BO40" s="80">
        <f t="shared" ref="BO40:BQ40" si="96">+BO38/BO$10</f>
        <v>0.18964065893925516</v>
      </c>
      <c r="BP40" s="80">
        <f t="shared" ref="BP40" si="97">+BP38/BP$10</f>
        <v>0.20837634133502719</v>
      </c>
      <c r="BQ40" s="80">
        <f t="shared" si="96"/>
        <v>0.19877489993990924</v>
      </c>
      <c r="BR40" s="80">
        <f t="shared" ref="BR40" si="98">+BR38/BR$10</f>
        <v>0.20844635551642043</v>
      </c>
      <c r="BS40" s="80">
        <f t="shared" ref="BS40:BT40" si="99">+BS38/BS$10</f>
        <v>0.13703732216761971</v>
      </c>
      <c r="BT40" s="80">
        <f t="shared" si="99"/>
        <v>0.1324421304976186</v>
      </c>
      <c r="BU40" s="80"/>
      <c r="BV40" s="80">
        <f t="shared" ref="BV40:BY40" si="100">+BV38/BV$10</f>
        <v>0.47746000884016271</v>
      </c>
      <c r="BW40" s="80">
        <f t="shared" ref="BW40" si="101">+BW38/BW$10</f>
        <v>0.12749162437463346</v>
      </c>
      <c r="BX40" s="80">
        <f t="shared" si="100"/>
        <v>0.21114885953208845</v>
      </c>
      <c r="BY40" s="80">
        <f t="shared" si="100"/>
        <v>0.27322377958907224</v>
      </c>
      <c r="BZ40" s="80">
        <f t="shared" ref="BZ40" si="102">+BZ38/BZ$10</f>
        <v>0.10302640886811132</v>
      </c>
      <c r="CA40" s="80"/>
      <c r="CB40" s="80">
        <f t="shared" ref="CB40" si="103">+CB38/CB$10</f>
        <v>0.20445112842040433</v>
      </c>
      <c r="CC40" s="60"/>
      <c r="CD40" s="60"/>
    </row>
    <row r="41" spans="2:82" ht="4.5" customHeight="1" x14ac:dyDescent="0.25">
      <c r="B41" s="64"/>
      <c r="C41" s="82"/>
      <c r="D41" s="76"/>
      <c r="E41" s="76"/>
      <c r="F41" s="76"/>
      <c r="G41" s="55"/>
      <c r="H41" s="76"/>
      <c r="I41" s="76"/>
      <c r="J41" s="76"/>
      <c r="K41" s="76"/>
      <c r="L41" s="76"/>
      <c r="N41" s="76"/>
      <c r="O41" s="76"/>
      <c r="P41" s="76"/>
      <c r="Q41" s="76"/>
      <c r="R41" s="76"/>
      <c r="S41" s="76"/>
      <c r="T41" s="76"/>
      <c r="U41" s="76"/>
      <c r="W41" s="76"/>
      <c r="X41" s="76"/>
      <c r="Y41" s="76"/>
      <c r="Z41" s="76"/>
      <c r="AA41" s="76"/>
      <c r="AB41" s="76"/>
      <c r="AC41" s="76"/>
      <c r="AD41" s="76"/>
      <c r="AE41" s="76"/>
      <c r="AF41" s="76"/>
      <c r="AG41" s="76"/>
      <c r="AH41" s="76"/>
      <c r="AI41" s="76"/>
      <c r="AJ41" s="76"/>
      <c r="AK41" s="76"/>
      <c r="AN41" s="76"/>
      <c r="AO41" s="76"/>
      <c r="AQ41" s="76"/>
      <c r="AR41" s="76"/>
      <c r="AS41" s="76"/>
      <c r="AT41" s="76"/>
      <c r="AU41" s="76"/>
      <c r="AV41" s="76"/>
      <c r="AX41" s="76"/>
      <c r="AY41" s="76"/>
      <c r="AZ41" s="76"/>
      <c r="BA41" s="76"/>
      <c r="BC41" s="76"/>
      <c r="BD41" s="76"/>
      <c r="BE41" s="76"/>
      <c r="BF41" s="76"/>
      <c r="BG41" s="76"/>
      <c r="BH41" s="76"/>
      <c r="BI41" s="76"/>
      <c r="BJ41" s="76"/>
      <c r="BK41" s="76"/>
      <c r="BL41" s="60"/>
      <c r="BM41" s="76"/>
      <c r="BN41" s="76"/>
      <c r="BO41" s="76"/>
      <c r="BP41" s="76"/>
      <c r="BQ41" s="76"/>
      <c r="BR41" s="76"/>
      <c r="BS41" s="76"/>
      <c r="BT41" s="76"/>
      <c r="BU41" s="76"/>
      <c r="BV41" s="76"/>
      <c r="BW41" s="76"/>
      <c r="BX41" s="76"/>
      <c r="BY41" s="76"/>
      <c r="BZ41" s="76"/>
      <c r="CA41" s="76"/>
      <c r="CB41" s="76"/>
      <c r="CC41" s="60"/>
      <c r="CD41" s="60"/>
    </row>
    <row r="42" spans="2:82" s="56" customFormat="1" ht="16.5" customHeight="1" x14ac:dyDescent="0.25">
      <c r="B42" s="83" t="s">
        <v>145</v>
      </c>
      <c r="C42" s="84">
        <f>+C38+C20+C29+C31-C36</f>
        <v>803253</v>
      </c>
      <c r="D42" s="84">
        <f>+D38+D20+D29+D31-D36</f>
        <v>740260.97639072989</v>
      </c>
      <c r="E42" s="84">
        <f>+E38+E20+E29+E31-E36</f>
        <v>458645</v>
      </c>
      <c r="F42" s="84">
        <f>+F38+F20+F29+F31-F36</f>
        <v>222458</v>
      </c>
      <c r="G42" s="58"/>
      <c r="H42" s="84">
        <f>+H38+H20+H29+H31-H36</f>
        <v>459893</v>
      </c>
      <c r="I42" s="84">
        <f t="shared" ref="I42:L42" si="104">+I38+I20+I29+I31-I36</f>
        <v>765822</v>
      </c>
      <c r="J42" s="84">
        <f t="shared" si="104"/>
        <v>679975</v>
      </c>
      <c r="K42" s="84">
        <f t="shared" si="104"/>
        <v>522044</v>
      </c>
      <c r="L42" s="84">
        <f t="shared" si="104"/>
        <v>516407</v>
      </c>
      <c r="N42" s="84">
        <f t="shared" ref="N42:U42" si="105">+N38+N20+N29+N31-N36</f>
        <v>764069</v>
      </c>
      <c r="O42" s="84">
        <f t="shared" si="105"/>
        <v>758829</v>
      </c>
      <c r="P42" s="84">
        <f t="shared" si="105"/>
        <v>889098</v>
      </c>
      <c r="Q42" s="84">
        <f t="shared" si="105"/>
        <v>880143</v>
      </c>
      <c r="R42" s="84">
        <f t="shared" si="105"/>
        <v>881311</v>
      </c>
      <c r="S42" s="84">
        <f t="shared" si="105"/>
        <v>938326</v>
      </c>
      <c r="T42" s="84">
        <f t="shared" si="105"/>
        <v>884211</v>
      </c>
      <c r="U42" s="84">
        <f t="shared" si="105"/>
        <v>861990</v>
      </c>
      <c r="W42" s="84">
        <f t="shared" ref="W42:AD42" si="106">+W38+W20+W29+W31-W36</f>
        <v>783944</v>
      </c>
      <c r="X42" s="84">
        <f t="shared" si="106"/>
        <v>783943</v>
      </c>
      <c r="Y42" s="84">
        <f t="shared" si="106"/>
        <v>875559</v>
      </c>
      <c r="Z42" s="84">
        <f t="shared" si="106"/>
        <v>875558</v>
      </c>
      <c r="AA42" s="84">
        <f t="shared" si="106"/>
        <v>1193364</v>
      </c>
      <c r="AB42" s="84">
        <f t="shared" si="106"/>
        <v>1193364</v>
      </c>
      <c r="AC42" s="84">
        <f t="shared" si="106"/>
        <v>972221</v>
      </c>
      <c r="AD42" s="84">
        <f t="shared" si="106"/>
        <v>972223</v>
      </c>
      <c r="AE42" s="85"/>
      <c r="AF42" s="84">
        <f t="shared" ref="AF42:AK42" si="107">+AF38+AF20+AF29+AF31-AF36</f>
        <v>941213</v>
      </c>
      <c r="AG42" s="84">
        <f t="shared" si="107"/>
        <v>938619</v>
      </c>
      <c r="AH42" s="84">
        <f t="shared" si="107"/>
        <v>891224</v>
      </c>
      <c r="AI42" s="84">
        <f t="shared" si="107"/>
        <v>886520</v>
      </c>
      <c r="AJ42" s="84">
        <f t="shared" si="107"/>
        <v>1022496</v>
      </c>
      <c r="AK42" s="84">
        <f t="shared" si="107"/>
        <v>1018676</v>
      </c>
      <c r="AN42" s="84">
        <f t="shared" ref="AN42:AO42" si="108">+AN38+AN20+AN29+AN31-AN36</f>
        <v>1111072</v>
      </c>
      <c r="AO42" s="84">
        <f t="shared" si="108"/>
        <v>1102852</v>
      </c>
      <c r="AQ42" s="84">
        <f t="shared" ref="AQ42:AV42" si="109">+AQ38+AQ20+AQ29+AQ31-AQ36</f>
        <v>998294</v>
      </c>
      <c r="AR42" s="84">
        <f t="shared" si="109"/>
        <v>991882</v>
      </c>
      <c r="AS42" s="84">
        <f t="shared" si="109"/>
        <v>1052952</v>
      </c>
      <c r="AT42" s="84">
        <f t="shared" si="109"/>
        <v>1044897</v>
      </c>
      <c r="AU42" s="84">
        <f t="shared" si="109"/>
        <v>1412539</v>
      </c>
      <c r="AV42" s="84">
        <f t="shared" si="109"/>
        <v>1338210</v>
      </c>
      <c r="AX42" s="84">
        <f t="shared" ref="AX42:BA42" si="110">+AX38+AX20+AX29+AX31-AX36</f>
        <v>818768</v>
      </c>
      <c r="AY42" s="84">
        <f t="shared" si="110"/>
        <v>890141</v>
      </c>
      <c r="AZ42" s="84">
        <f t="shared" si="110"/>
        <v>856871</v>
      </c>
      <c r="BA42" s="84">
        <f t="shared" si="110"/>
        <v>789035</v>
      </c>
      <c r="BC42" s="84">
        <f t="shared" ref="BC42:BF42" si="111">+BC38+BC20+BC29+BC31-BC36</f>
        <v>951549</v>
      </c>
      <c r="BD42" s="84">
        <f t="shared" si="111"/>
        <v>1302520</v>
      </c>
      <c r="BE42" s="84">
        <f t="shared" si="111"/>
        <v>1158829</v>
      </c>
      <c r="BF42" s="84">
        <f t="shared" si="111"/>
        <v>923207</v>
      </c>
      <c r="BG42" s="85"/>
      <c r="BH42" s="84">
        <f t="shared" ref="BH42:BJ42" si="112">+BH38+BH20+BH29+BH31-BH36</f>
        <v>1215809</v>
      </c>
      <c r="BI42" s="84">
        <f t="shared" si="112"/>
        <v>1391136</v>
      </c>
      <c r="BJ42" s="84">
        <f t="shared" si="112"/>
        <v>1269176</v>
      </c>
      <c r="BK42" s="84">
        <f t="shared" ref="BK42:BM42" si="113">+BK38+BK20+BK29+BK31-BK36</f>
        <v>1344056</v>
      </c>
      <c r="BL42" s="60"/>
      <c r="BM42" s="84">
        <f t="shared" si="113"/>
        <v>1557840</v>
      </c>
      <c r="BN42" s="84">
        <f t="shared" ref="BN42" si="114">+BN38+BN20+BN29+BN31-BN36</f>
        <v>1246072</v>
      </c>
      <c r="BO42" s="84">
        <f t="shared" ref="BO42:BQ42" si="115">+BO38+BO20+BO29+BO31-BO36</f>
        <v>1553262</v>
      </c>
      <c r="BP42" s="84">
        <f t="shared" ref="BP42" si="116">+BP38+BP20+BP29+BP31-BP36</f>
        <v>1138182</v>
      </c>
      <c r="BQ42" s="84">
        <f t="shared" si="115"/>
        <v>1282752</v>
      </c>
      <c r="BR42" s="84">
        <f t="shared" ref="BR42" si="117">+BR38+BR20+BR29+BR31-BR36</f>
        <v>850689</v>
      </c>
      <c r="BS42" s="84">
        <f t="shared" ref="BS42:BT42" si="118">+BS38+BS20+BS29+BS31-BS36</f>
        <v>1109371</v>
      </c>
      <c r="BT42" s="84">
        <f t="shared" si="118"/>
        <v>744686</v>
      </c>
      <c r="BU42" s="85"/>
      <c r="BV42" s="84">
        <f t="shared" ref="BV42:BY42" si="119">+BV38+BV20+BV29+BV31-BV36</f>
        <v>2369870</v>
      </c>
      <c r="BW42" s="84">
        <f t="shared" ref="BW42" si="120">+BW38+BW20+BW29+BW31-BW36</f>
        <v>549498</v>
      </c>
      <c r="BX42" s="84">
        <f t="shared" si="119"/>
        <v>993360</v>
      </c>
      <c r="BY42" s="84">
        <f t="shared" si="119"/>
        <v>1135733</v>
      </c>
      <c r="BZ42" s="84">
        <f t="shared" ref="BZ42" si="121">+BZ38+BZ20+BZ29+BZ31-BZ36</f>
        <v>613048</v>
      </c>
      <c r="CA42" s="85"/>
      <c r="CB42" s="84">
        <f t="shared" ref="CB42" si="122">+CB38+CB20+CB29+CB31-CB36</f>
        <v>808777</v>
      </c>
      <c r="CC42" s="60" t="e">
        <f>+CB42-#REF!</f>
        <v>#REF!</v>
      </c>
      <c r="CD42" s="60" t="e">
        <f>+BW42-#REF!</f>
        <v>#REF!</v>
      </c>
    </row>
    <row r="43" spans="2:82" s="56" customFormat="1" ht="16.5" hidden="1" customHeight="1" x14ac:dyDescent="0.25">
      <c r="B43" s="86" t="s">
        <v>35</v>
      </c>
      <c r="C43" s="87">
        <v>377.6</v>
      </c>
      <c r="D43" s="87">
        <v>399.12</v>
      </c>
      <c r="E43" s="87">
        <v>233.72</v>
      </c>
      <c r="F43" s="87">
        <v>105.58</v>
      </c>
      <c r="G43" s="58"/>
      <c r="H43" s="87">
        <v>260.04000000000002</v>
      </c>
      <c r="I43" s="87">
        <v>304.83</v>
      </c>
      <c r="J43" s="87">
        <v>232</v>
      </c>
      <c r="K43" s="87">
        <v>174.11</v>
      </c>
      <c r="L43" s="87" t="e">
        <f>+#REF!-J43-I43-H43</f>
        <v>#REF!</v>
      </c>
      <c r="N43" s="87">
        <v>260.04000000000002</v>
      </c>
      <c r="O43" s="87">
        <v>260.04000000000002</v>
      </c>
      <c r="P43" s="87">
        <v>260.04000000000002</v>
      </c>
      <c r="Q43" s="87">
        <v>260.04000000000002</v>
      </c>
      <c r="R43" s="87">
        <v>260.04000000000002</v>
      </c>
      <c r="S43" s="87">
        <v>260.04000000000002</v>
      </c>
      <c r="T43" s="87"/>
      <c r="U43" s="87"/>
      <c r="W43" s="87">
        <v>260.04000000000002</v>
      </c>
      <c r="X43" s="87">
        <v>260.04000000000002</v>
      </c>
      <c r="Y43" s="87">
        <v>260.04000000000002</v>
      </c>
      <c r="Z43" s="87">
        <v>260.04000000000002</v>
      </c>
      <c r="AA43" s="87">
        <v>260.04000000000002</v>
      </c>
      <c r="AB43" s="87">
        <v>260.04000000000002</v>
      </c>
      <c r="AC43" s="87">
        <v>260.04000000000002</v>
      </c>
      <c r="AD43" s="87">
        <v>260.04000000000002</v>
      </c>
      <c r="AE43" s="88"/>
      <c r="AF43" s="87">
        <v>260.04000000000002</v>
      </c>
      <c r="AG43" s="87">
        <v>260.04000000000002</v>
      </c>
      <c r="AH43" s="87">
        <v>260.04000000000002</v>
      </c>
      <c r="AI43" s="87">
        <v>260.04000000000002</v>
      </c>
      <c r="AJ43" s="87">
        <v>260.04000000000002</v>
      </c>
      <c r="AK43" s="87">
        <v>260.04000000000002</v>
      </c>
      <c r="AN43" s="87">
        <v>260.04000000000002</v>
      </c>
      <c r="AO43" s="87">
        <v>260.04000000000002</v>
      </c>
      <c r="AQ43" s="87">
        <v>260.04000000000002</v>
      </c>
      <c r="AR43" s="87">
        <v>260.04000000000002</v>
      </c>
      <c r="AS43" s="87">
        <v>260.04000000000002</v>
      </c>
      <c r="AT43" s="87">
        <v>260.04000000000002</v>
      </c>
      <c r="AU43" s="87">
        <v>260.04000000000002</v>
      </c>
      <c r="AV43" s="87">
        <v>260.04000000000002</v>
      </c>
      <c r="AX43" s="87">
        <v>260.04000000000002</v>
      </c>
      <c r="AY43" s="87">
        <v>260.04000000000002</v>
      </c>
      <c r="AZ43" s="87">
        <v>260.04000000000002</v>
      </c>
      <c r="BA43" s="87">
        <v>260.04000000000002</v>
      </c>
      <c r="BC43" s="87">
        <v>260.04000000000002</v>
      </c>
      <c r="BD43" s="87">
        <v>260.04000000000002</v>
      </c>
      <c r="BE43" s="87">
        <v>260.04000000000002</v>
      </c>
      <c r="BF43" s="87">
        <v>260.04000000000002</v>
      </c>
      <c r="BG43" s="88"/>
      <c r="BH43" s="87">
        <v>260.04000000000002</v>
      </c>
      <c r="BI43" s="87">
        <v>260.04000000000002</v>
      </c>
      <c r="BJ43" s="87">
        <v>260.04000000000002</v>
      </c>
      <c r="BK43" s="87">
        <v>260.04000000000002</v>
      </c>
      <c r="BL43" s="60"/>
      <c r="BM43" s="87">
        <v>260.04000000000002</v>
      </c>
      <c r="BN43" s="87">
        <v>260.04000000000002</v>
      </c>
      <c r="BO43" s="87">
        <v>260.04000000000002</v>
      </c>
      <c r="BP43" s="87">
        <v>260.04000000000002</v>
      </c>
      <c r="BQ43" s="87">
        <v>260.04000000000002</v>
      </c>
      <c r="BR43" s="87">
        <v>260.04000000000002</v>
      </c>
      <c r="BS43" s="87">
        <v>260.04000000000002</v>
      </c>
      <c r="BT43" s="87">
        <v>260.04000000000002</v>
      </c>
      <c r="BU43" s="88"/>
      <c r="BV43" s="87">
        <v>260.04000000000002</v>
      </c>
      <c r="BW43" s="87">
        <v>260.04000000000002</v>
      </c>
      <c r="BX43" s="87">
        <v>260.04000000000002</v>
      </c>
      <c r="BY43" s="87"/>
      <c r="BZ43" s="87"/>
      <c r="CA43" s="88"/>
      <c r="CB43" s="87">
        <v>260.04000000000002</v>
      </c>
      <c r="CC43" s="60" t="e">
        <f>+BM43+BO43+BQ43-#REF!</f>
        <v>#REF!</v>
      </c>
      <c r="CD43" s="60" t="e">
        <f>+BH43+BI43-#REF!</f>
        <v>#REF!</v>
      </c>
    </row>
    <row r="44" spans="2:82" s="56" customFormat="1" ht="16.5" customHeight="1" x14ac:dyDescent="0.25">
      <c r="B44" s="89" t="s">
        <v>146</v>
      </c>
      <c r="C44" s="90">
        <f>+C42/C$10</f>
        <v>0.35034096237092605</v>
      </c>
      <c r="D44" s="90">
        <f>+D42/D$10</f>
        <v>0.29085126764117125</v>
      </c>
      <c r="E44" s="90">
        <f>+E42/E$10</f>
        <v>0.20523379859169552</v>
      </c>
      <c r="F44" s="90">
        <f>+F42/F$10</f>
        <v>0.10004330781784813</v>
      </c>
      <c r="G44" s="91"/>
      <c r="H44" s="90">
        <f>+H42/H$10</f>
        <v>0.17419463582956771</v>
      </c>
      <c r="I44" s="90">
        <f t="shared" ref="I44:L44" si="123">+I42/I$10</f>
        <v>0.26872163687409006</v>
      </c>
      <c r="J44" s="90">
        <f t="shared" si="123"/>
        <v>0.21167255169124805</v>
      </c>
      <c r="K44" s="90">
        <f t="shared" si="123"/>
        <v>0.13464090788810582</v>
      </c>
      <c r="L44" s="90">
        <f t="shared" si="123"/>
        <v>0.12916853013007726</v>
      </c>
      <c r="N44" s="90">
        <f t="shared" ref="N44:U44" si="124">+N42/N$10</f>
        <v>0.18837375401644868</v>
      </c>
      <c r="O44" s="90">
        <f t="shared" si="124"/>
        <v>0.18770699730991622</v>
      </c>
      <c r="P44" s="90">
        <f t="shared" si="124"/>
        <v>0.26183517687387353</v>
      </c>
      <c r="Q44" s="90">
        <f t="shared" si="124"/>
        <v>0.26006048969707285</v>
      </c>
      <c r="R44" s="90">
        <f t="shared" si="124"/>
        <v>0.26212058348092859</v>
      </c>
      <c r="S44" s="90">
        <f t="shared" si="124"/>
        <v>0.2758223956405807</v>
      </c>
      <c r="T44" s="90">
        <f t="shared" si="124"/>
        <v>0.23649112727996327</v>
      </c>
      <c r="U44" s="90">
        <f t="shared" si="124"/>
        <v>0.23147133696387717</v>
      </c>
      <c r="W44" s="90">
        <f t="shared" ref="W44:AD44" si="125">+W42/W$10</f>
        <v>0.23351167671573345</v>
      </c>
      <c r="X44" s="90">
        <f t="shared" si="125"/>
        <v>0.23351137884793075</v>
      </c>
      <c r="Y44" s="90">
        <f t="shared" si="125"/>
        <v>0.24558943523285107</v>
      </c>
      <c r="Z44" s="90">
        <f t="shared" si="125"/>
        <v>0.24558915473840667</v>
      </c>
      <c r="AA44" s="90">
        <f t="shared" si="125"/>
        <v>0.29349524672888277</v>
      </c>
      <c r="AB44" s="90">
        <f t="shared" si="125"/>
        <v>0.29349531891095049</v>
      </c>
      <c r="AC44" s="90">
        <f t="shared" si="125"/>
        <v>0.27117554374096459</v>
      </c>
      <c r="AD44" s="90">
        <f t="shared" si="125"/>
        <v>0.27117595031366354</v>
      </c>
      <c r="AE44" s="80"/>
      <c r="AF44" s="90">
        <f t="shared" ref="AF44:AK44" si="126">+AF42/AF$10</f>
        <v>0.28430748281401313</v>
      </c>
      <c r="AG44" s="90">
        <f t="shared" si="126"/>
        <v>0.28374625750313187</v>
      </c>
      <c r="AH44" s="90">
        <f t="shared" si="126"/>
        <v>0.24639117969870974</v>
      </c>
      <c r="AI44" s="90">
        <f t="shared" si="126"/>
        <v>0.24540984595862148</v>
      </c>
      <c r="AJ44" s="90">
        <f t="shared" si="126"/>
        <v>0.28104122815359728</v>
      </c>
      <c r="AK44" s="90">
        <f t="shared" si="126"/>
        <v>0.28028555847394715</v>
      </c>
      <c r="AN44" s="90">
        <f t="shared" ref="AN44:AO44" si="127">+AN42/AN$10</f>
        <v>0.29643487459696405</v>
      </c>
      <c r="AO44" s="90">
        <f t="shared" si="127"/>
        <v>0.29488849285875673</v>
      </c>
      <c r="AQ44" s="90">
        <f t="shared" ref="AQ44:AV44" si="128">+AQ42/AQ$10</f>
        <v>0.26826370026087543</v>
      </c>
      <c r="AR44" s="90">
        <f t="shared" si="128"/>
        <v>0.26700070849744706</v>
      </c>
      <c r="AS44" s="90">
        <f t="shared" si="128"/>
        <v>0.27274549897605688</v>
      </c>
      <c r="AT44" s="90">
        <f t="shared" si="128"/>
        <v>0.26688262877462238</v>
      </c>
      <c r="AU44" s="90">
        <f t="shared" si="128"/>
        <v>0.2702034379640556</v>
      </c>
      <c r="AV44" s="90">
        <f t="shared" si="128"/>
        <v>0.33957791354251571</v>
      </c>
      <c r="AX44" s="90">
        <f t="shared" ref="AX44:BA44" si="129">+AX42/AX$10</f>
        <v>0.22644285523850718</v>
      </c>
      <c r="AY44" s="90">
        <f t="shared" si="129"/>
        <v>0.26604648799543307</v>
      </c>
      <c r="AZ44" s="90">
        <f t="shared" si="129"/>
        <v>0.24813954202240138</v>
      </c>
      <c r="BA44" s="90">
        <f t="shared" si="129"/>
        <v>0.22066285972533306</v>
      </c>
      <c r="BC44" s="90">
        <f t="shared" ref="BC44:BF44" si="130">+BC42/BC$10</f>
        <v>0.25490099956764156</v>
      </c>
      <c r="BD44" s="90">
        <f t="shared" si="130"/>
        <v>0.32347693750397355</v>
      </c>
      <c r="BE44" s="90">
        <f t="shared" si="130"/>
        <v>0.28158253784855231</v>
      </c>
      <c r="BF44" s="90">
        <f t="shared" si="130"/>
        <v>0.20820777137733176</v>
      </c>
      <c r="BG44" s="80"/>
      <c r="BH44" s="90">
        <f t="shared" ref="BH44:BJ44" si="131">+BH42/BH$10</f>
        <v>0.26352106884984244</v>
      </c>
      <c r="BI44" s="90">
        <f t="shared" si="131"/>
        <v>0.23586215806509533</v>
      </c>
      <c r="BJ44" s="90">
        <f t="shared" si="131"/>
        <v>0.2494397718915447</v>
      </c>
      <c r="BK44" s="90">
        <f t="shared" ref="BK44:BM44" si="132">+BK42/BK$10</f>
        <v>0.2341640934080676</v>
      </c>
      <c r="BL44" s="60"/>
      <c r="BM44" s="90">
        <f t="shared" si="132"/>
        <v>0.27116906934721091</v>
      </c>
      <c r="BN44" s="90">
        <f t="shared" ref="BN44" si="133">+BN42/BN$10</f>
        <v>0.33098742506396905</v>
      </c>
      <c r="BO44" s="90">
        <f t="shared" ref="BO44:BQ44" si="134">+BO42/BO$10</f>
        <v>0.24298592311645323</v>
      </c>
      <c r="BP44" s="90">
        <f t="shared" ref="BP44" si="135">+BP42/BP$10</f>
        <v>0.2574671052408346</v>
      </c>
      <c r="BQ44" s="90">
        <f t="shared" si="134"/>
        <v>0.26479402040195782</v>
      </c>
      <c r="BR44" s="90">
        <f t="shared" ref="BR44" si="136">+BR42/BR$10</f>
        <v>0.27671441057637164</v>
      </c>
      <c r="BS44" s="90">
        <f t="shared" ref="BS44:BT44" si="137">+BS42/BS$10</f>
        <v>0.19769724977296477</v>
      </c>
      <c r="BT44" s="90">
        <f t="shared" si="137"/>
        <v>0.18931242985177832</v>
      </c>
      <c r="BU44" s="80"/>
      <c r="BV44" s="90">
        <f t="shared" ref="BV44:BY44" si="138">+BV42/BV$10</f>
        <v>0.52218435749512271</v>
      </c>
      <c r="BW44" s="90">
        <f t="shared" ref="BW44" si="139">+BW42/BW$10</f>
        <v>0.20216953163458801</v>
      </c>
      <c r="BX44" s="90">
        <f t="shared" si="138"/>
        <v>0.26959573666595382</v>
      </c>
      <c r="BY44" s="90">
        <f t="shared" si="138"/>
        <v>0.34309925905159694</v>
      </c>
      <c r="BZ44" s="90">
        <f t="shared" ref="BZ44" si="140">+BZ42/BZ$10</f>
        <v>0.16920355525967953</v>
      </c>
      <c r="CA44" s="80"/>
      <c r="CB44" s="90">
        <f t="shared" ref="CB44" si="141">+CB42/CB$10</f>
        <v>0.27858803380766062</v>
      </c>
      <c r="CC44" s="60"/>
      <c r="CD44" s="60"/>
    </row>
    <row r="45" spans="2:82" ht="4.5" customHeight="1" x14ac:dyDescent="0.25">
      <c r="C45" s="55"/>
      <c r="D45" s="66"/>
      <c r="E45" s="66"/>
      <c r="F45" s="66"/>
      <c r="G45" s="55"/>
      <c r="H45" s="66"/>
      <c r="I45" s="66"/>
      <c r="J45" s="66"/>
      <c r="K45" s="66"/>
      <c r="L45" s="66"/>
      <c r="N45" s="66"/>
      <c r="O45" s="66"/>
      <c r="P45" s="66"/>
      <c r="Q45" s="66"/>
      <c r="R45" s="66"/>
      <c r="S45" s="66"/>
      <c r="T45" s="66"/>
      <c r="U45" s="66"/>
      <c r="W45" s="66"/>
      <c r="X45" s="66"/>
      <c r="Y45" s="66"/>
      <c r="Z45" s="66"/>
      <c r="AA45" s="66"/>
      <c r="AB45" s="66"/>
      <c r="AC45" s="66"/>
      <c r="AD45" s="66"/>
      <c r="AE45" s="66"/>
      <c r="AF45" s="66"/>
      <c r="AG45" s="66"/>
      <c r="AH45" s="66"/>
      <c r="AI45" s="66"/>
      <c r="AJ45" s="66"/>
      <c r="AK45" s="66"/>
      <c r="AN45" s="66"/>
      <c r="AO45" s="66"/>
      <c r="AQ45" s="66"/>
      <c r="AR45" s="66"/>
      <c r="AS45" s="66"/>
      <c r="AT45" s="66"/>
      <c r="AU45" s="66"/>
      <c r="AV45" s="66"/>
      <c r="AX45" s="66"/>
      <c r="AY45" s="66"/>
      <c r="AZ45" s="66"/>
      <c r="BA45" s="66"/>
      <c r="BC45" s="66"/>
      <c r="BD45" s="66"/>
      <c r="BE45" s="66"/>
      <c r="BF45" s="66"/>
      <c r="BG45" s="66"/>
      <c r="BH45" s="66"/>
      <c r="BI45" s="66"/>
      <c r="BJ45" s="66"/>
      <c r="BK45" s="66"/>
      <c r="BL45" s="60"/>
      <c r="BM45" s="66"/>
      <c r="BN45" s="66"/>
      <c r="BO45" s="66"/>
      <c r="BP45" s="66"/>
      <c r="BQ45" s="66"/>
      <c r="BR45" s="66"/>
      <c r="BS45" s="66"/>
      <c r="BT45" s="66"/>
      <c r="BU45" s="66"/>
      <c r="BV45" s="66"/>
      <c r="BW45" s="66"/>
      <c r="BX45" s="66"/>
      <c r="BY45" s="66"/>
      <c r="BZ45" s="66"/>
      <c r="CA45" s="66"/>
      <c r="CB45" s="66"/>
      <c r="CC45" s="60"/>
      <c r="CD45" s="60"/>
    </row>
    <row r="46" spans="2:82" ht="16.5" customHeight="1" x14ac:dyDescent="0.25">
      <c r="B46" s="56" t="s">
        <v>147</v>
      </c>
      <c r="C46" s="67">
        <f>SUM(C47:C49)</f>
        <v>-274858</v>
      </c>
      <c r="D46" s="59">
        <f>SUM(D47:D49)</f>
        <v>110083.87971088001</v>
      </c>
      <c r="E46" s="59">
        <f>SUM(E47:E49)</f>
        <v>-91925</v>
      </c>
      <c r="F46" s="59">
        <f>SUM(F47:F49)</f>
        <v>-104873</v>
      </c>
      <c r="G46" s="55"/>
      <c r="H46" s="59">
        <f>SUM(H47:H49)</f>
        <v>-157390</v>
      </c>
      <c r="I46" s="59">
        <f t="shared" ref="I46:L46" si="142">SUM(I47:I49)</f>
        <v>-150581</v>
      </c>
      <c r="J46" s="59">
        <f t="shared" si="142"/>
        <v>-194136</v>
      </c>
      <c r="K46" s="59">
        <f t="shared" si="142"/>
        <v>-211928</v>
      </c>
      <c r="L46" s="59">
        <f t="shared" si="142"/>
        <v>-213297</v>
      </c>
      <c r="N46" s="59">
        <f t="shared" ref="N46:U46" si="143">SUM(N47:N49)</f>
        <v>-203291</v>
      </c>
      <c r="O46" s="59">
        <f t="shared" si="143"/>
        <v>-203290</v>
      </c>
      <c r="P46" s="59">
        <f t="shared" si="143"/>
        <v>-268582</v>
      </c>
      <c r="Q46" s="59">
        <f t="shared" si="143"/>
        <v>-268582</v>
      </c>
      <c r="R46" s="59">
        <f t="shared" si="143"/>
        <v>-243502</v>
      </c>
      <c r="S46" s="59">
        <f t="shared" si="143"/>
        <v>-243502</v>
      </c>
      <c r="T46" s="59">
        <f t="shared" si="143"/>
        <v>-256227</v>
      </c>
      <c r="U46" s="59">
        <f t="shared" si="143"/>
        <v>-256228</v>
      </c>
      <c r="W46" s="59">
        <f t="shared" ref="W46:AD46" si="144">SUM(W47:W49)</f>
        <v>-271918</v>
      </c>
      <c r="X46" s="59">
        <f t="shared" si="144"/>
        <v>-271918</v>
      </c>
      <c r="Y46" s="59">
        <f t="shared" si="144"/>
        <v>-253126</v>
      </c>
      <c r="Z46" s="59">
        <f t="shared" si="144"/>
        <v>-253126</v>
      </c>
      <c r="AA46" s="59">
        <f t="shared" si="144"/>
        <v>-277134</v>
      </c>
      <c r="AB46" s="59">
        <f t="shared" si="144"/>
        <v>-277133</v>
      </c>
      <c r="AC46" s="59">
        <f t="shared" si="144"/>
        <v>-276908</v>
      </c>
      <c r="AD46" s="59">
        <f t="shared" si="144"/>
        <v>-276908</v>
      </c>
      <c r="AE46" s="59"/>
      <c r="AF46" s="59">
        <f t="shared" ref="AF46:AK46" si="145">SUM(AF47:AF49)</f>
        <v>-268932</v>
      </c>
      <c r="AG46" s="59">
        <f t="shared" si="145"/>
        <v>-266338</v>
      </c>
      <c r="AH46" s="59">
        <f t="shared" si="145"/>
        <v>-242510</v>
      </c>
      <c r="AI46" s="59">
        <f t="shared" si="145"/>
        <v>-237807</v>
      </c>
      <c r="AJ46" s="59">
        <f t="shared" si="145"/>
        <v>-286113</v>
      </c>
      <c r="AK46" s="59">
        <f t="shared" si="145"/>
        <v>-282292</v>
      </c>
      <c r="AN46" s="59">
        <f t="shared" ref="AN46:AO46" si="146">SUM(AN47:AN49)</f>
        <v>-284469</v>
      </c>
      <c r="AO46" s="59">
        <f t="shared" si="146"/>
        <v>-276249</v>
      </c>
      <c r="AQ46" s="59">
        <f t="shared" ref="AQ46:AV46" si="147">SUM(AQ47:AQ49)</f>
        <v>-300140</v>
      </c>
      <c r="AR46" s="59">
        <f t="shared" si="147"/>
        <v>-293728</v>
      </c>
      <c r="AS46" s="59">
        <f t="shared" si="147"/>
        <v>-309171</v>
      </c>
      <c r="AT46" s="59">
        <f t="shared" si="147"/>
        <v>-301117</v>
      </c>
      <c r="AU46" s="59">
        <f t="shared" si="147"/>
        <v>-339835</v>
      </c>
      <c r="AV46" s="59">
        <f t="shared" si="147"/>
        <v>-278361</v>
      </c>
      <c r="AX46" s="59">
        <f t="shared" ref="AX46:BA46" si="148">SUM(AX47:AX49)</f>
        <v>-282338</v>
      </c>
      <c r="AY46" s="59">
        <f t="shared" si="148"/>
        <v>-352017</v>
      </c>
      <c r="AZ46" s="59">
        <f t="shared" si="148"/>
        <v>-280422</v>
      </c>
      <c r="BA46" s="59">
        <f t="shared" si="148"/>
        <v>-317308</v>
      </c>
      <c r="BC46" s="59">
        <f t="shared" ref="BC46:BF46" si="149">SUM(BC47:BC49)</f>
        <v>-242377</v>
      </c>
      <c r="BD46" s="59">
        <f t="shared" si="149"/>
        <v>-284409</v>
      </c>
      <c r="BE46" s="59">
        <f t="shared" si="149"/>
        <v>-255519</v>
      </c>
      <c r="BF46" s="59">
        <f t="shared" si="149"/>
        <v>-178529</v>
      </c>
      <c r="BG46" s="59"/>
      <c r="BH46" s="59">
        <f t="shared" ref="BH46:BJ46" si="150">SUM(BH47:BH49)</f>
        <v>-296131</v>
      </c>
      <c r="BI46" s="59">
        <f t="shared" si="150"/>
        <v>-342836</v>
      </c>
      <c r="BJ46" s="59">
        <f t="shared" si="150"/>
        <v>-326635</v>
      </c>
      <c r="BK46" s="59">
        <f t="shared" ref="BK46:BM46" si="151">SUM(BK47:BK49)</f>
        <v>-373386</v>
      </c>
      <c r="BL46" s="60"/>
      <c r="BM46" s="59">
        <f t="shared" si="151"/>
        <v>-468201</v>
      </c>
      <c r="BN46" s="59">
        <f t="shared" ref="BN46" si="152">SUM(BN47:BN49)</f>
        <v>-424584</v>
      </c>
      <c r="BO46" s="59">
        <f t="shared" ref="BO46:BQ46" si="153">SUM(BO47:BO49)</f>
        <v>-563578</v>
      </c>
      <c r="BP46" s="59">
        <f t="shared" ref="BP46" si="154">SUM(BP47:BP49)</f>
        <v>-515971</v>
      </c>
      <c r="BQ46" s="59">
        <f t="shared" si="153"/>
        <v>-467293</v>
      </c>
      <c r="BR46" s="59">
        <f t="shared" ref="BR46" si="155">SUM(BR47:BR49)</f>
        <v>-434570</v>
      </c>
      <c r="BS46" s="59">
        <f t="shared" ref="BS46:BT46" si="156">SUM(BS47:BS49)</f>
        <v>-416472</v>
      </c>
      <c r="BT46" s="59">
        <f t="shared" si="156"/>
        <v>-402165</v>
      </c>
      <c r="BU46" s="59"/>
      <c r="BV46" s="59">
        <f t="shared" ref="BV46:BY46" si="157">SUM(BV47:BV49)</f>
        <v>-323009</v>
      </c>
      <c r="BW46" s="59">
        <f t="shared" ref="BW46" si="158">SUM(BW47:BW49)</f>
        <v>-323009</v>
      </c>
      <c r="BX46" s="59">
        <f t="shared" si="157"/>
        <v>-367872</v>
      </c>
      <c r="BY46" s="59">
        <f t="shared" si="157"/>
        <v>-286726</v>
      </c>
      <c r="BZ46" s="59">
        <f t="shared" ref="BZ46" si="159">SUM(BZ47:BZ49)</f>
        <v>-339559</v>
      </c>
      <c r="CA46" s="59"/>
      <c r="CB46" s="59">
        <f t="shared" ref="CB46" si="160">SUM(CB47:CB49)</f>
        <v>-219325</v>
      </c>
      <c r="CC46" s="60" t="e">
        <f>+CB46-#REF!</f>
        <v>#REF!</v>
      </c>
      <c r="CD46" s="60" t="e">
        <f>+BW46-#REF!</f>
        <v>#REF!</v>
      </c>
    </row>
    <row r="47" spans="2:82" ht="16.5" customHeight="1" x14ac:dyDescent="0.25">
      <c r="B47" s="92" t="s">
        <v>148</v>
      </c>
      <c r="C47" s="68">
        <v>-271498</v>
      </c>
      <c r="D47" s="22">
        <f>91817</f>
        <v>91817</v>
      </c>
      <c r="E47" s="22">
        <v>-86348</v>
      </c>
      <c r="F47" s="22">
        <v>-137095</v>
      </c>
      <c r="G47" s="55"/>
      <c r="H47" s="22">
        <f>-161839</f>
        <v>-161839</v>
      </c>
      <c r="I47" s="22">
        <f>-143935+2</f>
        <v>-143933</v>
      </c>
      <c r="J47" s="22">
        <v>-172868</v>
      </c>
      <c r="K47" s="22">
        <f>-201914</f>
        <v>-201914</v>
      </c>
      <c r="L47" s="22">
        <v>-202390</v>
      </c>
      <c r="N47" s="22">
        <v>-213835</v>
      </c>
      <c r="O47" s="22">
        <v>-213834</v>
      </c>
      <c r="P47" s="22">
        <f>-264231</f>
        <v>-264231</v>
      </c>
      <c r="Q47" s="22">
        <f>-264232</f>
        <v>-264232</v>
      </c>
      <c r="R47" s="22">
        <v>-256109</v>
      </c>
      <c r="S47" s="22">
        <v>-256109</v>
      </c>
      <c r="T47" s="22">
        <f>-277702+1</f>
        <v>-277701</v>
      </c>
      <c r="U47" s="22">
        <v>-277702</v>
      </c>
      <c r="W47" s="22">
        <v>-262567</v>
      </c>
      <c r="X47" s="22">
        <v>-262567</v>
      </c>
      <c r="Y47" s="22">
        <v>-277709</v>
      </c>
      <c r="Z47" s="22">
        <v>-277709</v>
      </c>
      <c r="AA47" s="22">
        <f>-274299</f>
        <v>-274299</v>
      </c>
      <c r="AB47" s="22">
        <f>-274299</f>
        <v>-274299</v>
      </c>
      <c r="AC47" s="22">
        <v>-287705</v>
      </c>
      <c r="AD47" s="22">
        <v>-287705</v>
      </c>
      <c r="AE47" s="22"/>
      <c r="AF47" s="22">
        <v>-270568</v>
      </c>
      <c r="AG47" s="22">
        <v>-270568</v>
      </c>
      <c r="AH47" s="22">
        <v>-268875</v>
      </c>
      <c r="AI47" s="22">
        <v>-268875</v>
      </c>
      <c r="AJ47" s="22">
        <f>-276287+1</f>
        <v>-276286</v>
      </c>
      <c r="AK47" s="22">
        <f>-276287+1</f>
        <v>-276286</v>
      </c>
      <c r="AN47" s="22">
        <v>-291890</v>
      </c>
      <c r="AO47" s="22">
        <v>-291890</v>
      </c>
      <c r="AQ47" s="22">
        <v>-297421</v>
      </c>
      <c r="AR47" s="22">
        <v>-297421</v>
      </c>
      <c r="AS47" s="22">
        <v>-331832</v>
      </c>
      <c r="AT47" s="22">
        <v>-331832</v>
      </c>
      <c r="AU47" s="22">
        <f>-325321+1</f>
        <v>-325320</v>
      </c>
      <c r="AV47" s="22">
        <f>-319735-1</f>
        <v>-319736</v>
      </c>
      <c r="AX47" s="22">
        <v>-299549</v>
      </c>
      <c r="AY47" s="22">
        <v>-344902</v>
      </c>
      <c r="AZ47" s="22">
        <v>-265637</v>
      </c>
      <c r="BA47" s="22">
        <f>-328343-2</f>
        <v>-328345</v>
      </c>
      <c r="BC47" s="22">
        <v>-217003</v>
      </c>
      <c r="BD47" s="22">
        <v>-274276</v>
      </c>
      <c r="BE47" s="22">
        <f>-256699+1</f>
        <v>-256698</v>
      </c>
      <c r="BF47" s="22">
        <f>-240671-1</f>
        <v>-240672</v>
      </c>
      <c r="BG47" s="22"/>
      <c r="BH47" s="22">
        <v>-276686</v>
      </c>
      <c r="BI47" s="22">
        <f>-346002+1</f>
        <v>-346001</v>
      </c>
      <c r="BJ47" s="22">
        <f>-369257-1</f>
        <v>-369258</v>
      </c>
      <c r="BK47" s="22">
        <v>-449396</v>
      </c>
      <c r="BL47" s="60"/>
      <c r="BM47" s="22">
        <v>-439101</v>
      </c>
      <c r="BN47" s="22">
        <v>-395484</v>
      </c>
      <c r="BO47" s="22">
        <f>-492123+1</f>
        <v>-492122</v>
      </c>
      <c r="BP47" s="22">
        <f>-444515-1</f>
        <v>-444516</v>
      </c>
      <c r="BQ47" s="22">
        <f>-454072-1</f>
        <v>-454073</v>
      </c>
      <c r="BR47" s="22">
        <f>-421350+1</f>
        <v>-421349</v>
      </c>
      <c r="BS47" s="22">
        <f>-389698+1</f>
        <v>-389697</v>
      </c>
      <c r="BT47" s="22">
        <v>-375396</v>
      </c>
      <c r="BU47" s="22"/>
      <c r="BV47" s="22">
        <v>-316348</v>
      </c>
      <c r="BW47" s="22">
        <v>-316348</v>
      </c>
      <c r="BX47" s="22">
        <v>-391686</v>
      </c>
      <c r="BY47" s="22">
        <v>-311390</v>
      </c>
      <c r="BZ47" s="22">
        <f>-328021+1</f>
        <v>-328020</v>
      </c>
      <c r="CA47" s="22"/>
      <c r="CB47" s="22">
        <v>-255595</v>
      </c>
      <c r="CC47" s="60" t="e">
        <f>+CB47-#REF!</f>
        <v>#REF!</v>
      </c>
      <c r="CD47" s="60" t="e">
        <f>+BW47-#REF!</f>
        <v>#REF!</v>
      </c>
    </row>
    <row r="48" spans="2:82" ht="16.5" customHeight="1" x14ac:dyDescent="0.25">
      <c r="B48" s="92" t="s">
        <v>149</v>
      </c>
      <c r="C48" s="68">
        <v>-3360</v>
      </c>
      <c r="D48" s="22">
        <v>18266.879710880003</v>
      </c>
      <c r="E48" s="22">
        <v>-5577</v>
      </c>
      <c r="F48" s="22">
        <v>32222</v>
      </c>
      <c r="G48" s="55"/>
      <c r="H48" s="22">
        <v>4449</v>
      </c>
      <c r="I48" s="22">
        <v>-6648</v>
      </c>
      <c r="J48" s="22">
        <v>-21268</v>
      </c>
      <c r="K48" s="22">
        <f>-10013-1</f>
        <v>-10014</v>
      </c>
      <c r="L48" s="22">
        <v>-10907</v>
      </c>
      <c r="N48" s="22">
        <v>10544</v>
      </c>
      <c r="O48" s="22">
        <v>10544</v>
      </c>
      <c r="P48" s="22">
        <v>-4351</v>
      </c>
      <c r="Q48" s="22">
        <f>-4350</f>
        <v>-4350</v>
      </c>
      <c r="R48" s="22">
        <v>12607</v>
      </c>
      <c r="S48" s="22">
        <v>12607</v>
      </c>
      <c r="T48" s="22">
        <v>21474</v>
      </c>
      <c r="U48" s="22">
        <v>21474</v>
      </c>
      <c r="W48" s="22">
        <v>-9351</v>
      </c>
      <c r="X48" s="22">
        <v>-9351</v>
      </c>
      <c r="Y48" s="22">
        <v>24583</v>
      </c>
      <c r="Z48" s="22">
        <v>24583</v>
      </c>
      <c r="AA48" s="22">
        <f>-2834-1</f>
        <v>-2835</v>
      </c>
      <c r="AB48" s="22">
        <f>-2834</f>
        <v>-2834</v>
      </c>
      <c r="AC48" s="22">
        <v>10797</v>
      </c>
      <c r="AD48" s="22">
        <v>10797</v>
      </c>
      <c r="AE48" s="22"/>
      <c r="AF48" s="22">
        <v>1636</v>
      </c>
      <c r="AG48" s="22">
        <v>4230</v>
      </c>
      <c r="AH48" s="22">
        <v>26365</v>
      </c>
      <c r="AI48" s="22">
        <v>31068</v>
      </c>
      <c r="AJ48" s="22">
        <v>-9827</v>
      </c>
      <c r="AK48" s="22">
        <v>-6006</v>
      </c>
      <c r="AN48" s="22">
        <v>7421</v>
      </c>
      <c r="AO48" s="22">
        <f>15640+1</f>
        <v>15641</v>
      </c>
      <c r="AQ48" s="22">
        <v>-2719</v>
      </c>
      <c r="AR48" s="22">
        <f>3694-1</f>
        <v>3693</v>
      </c>
      <c r="AS48" s="22">
        <v>22661</v>
      </c>
      <c r="AT48" s="22">
        <f>30715</f>
        <v>30715</v>
      </c>
      <c r="AU48" s="22">
        <v>-14515</v>
      </c>
      <c r="AV48" s="22">
        <v>41375</v>
      </c>
      <c r="AX48" s="22">
        <v>17211</v>
      </c>
      <c r="AY48" s="22">
        <v>-7115</v>
      </c>
      <c r="AZ48" s="22">
        <v>-14785</v>
      </c>
      <c r="BA48" s="22">
        <f>11036+1</f>
        <v>11037</v>
      </c>
      <c r="BC48" s="22">
        <v>-25374</v>
      </c>
      <c r="BD48" s="22">
        <v>-10133</v>
      </c>
      <c r="BE48" s="22">
        <v>1179</v>
      </c>
      <c r="BF48" s="22">
        <v>62143</v>
      </c>
      <c r="BG48" s="22"/>
      <c r="BH48" s="22">
        <v>-19445</v>
      </c>
      <c r="BI48" s="22">
        <f>3166-1</f>
        <v>3165</v>
      </c>
      <c r="BJ48" s="22">
        <f>42623</f>
        <v>42623</v>
      </c>
      <c r="BK48" s="22">
        <v>76010</v>
      </c>
      <c r="BL48" s="60"/>
      <c r="BM48" s="22">
        <v>-29100</v>
      </c>
      <c r="BN48" s="22">
        <v>-29100</v>
      </c>
      <c r="BO48" s="22">
        <v>-71456</v>
      </c>
      <c r="BP48" s="22">
        <f>-71456+1</f>
        <v>-71455</v>
      </c>
      <c r="BQ48" s="22">
        <v>-13220</v>
      </c>
      <c r="BR48" s="22">
        <f>-13220-1</f>
        <v>-13221</v>
      </c>
      <c r="BS48" s="22">
        <v>-26775</v>
      </c>
      <c r="BT48" s="22">
        <f>-26770+1</f>
        <v>-26769</v>
      </c>
      <c r="BU48" s="22"/>
      <c r="BV48" s="22">
        <v>-6661</v>
      </c>
      <c r="BW48" s="22">
        <v>-6661</v>
      </c>
      <c r="BX48" s="22">
        <f>23813+1</f>
        <v>23814</v>
      </c>
      <c r="BY48" s="22">
        <v>24664</v>
      </c>
      <c r="BZ48" s="22">
        <f>-11538-1</f>
        <v>-11539</v>
      </c>
      <c r="CA48" s="22"/>
      <c r="CB48" s="22">
        <v>36270</v>
      </c>
      <c r="CC48" s="60" t="e">
        <f>+CB48-#REF!</f>
        <v>#REF!</v>
      </c>
      <c r="CD48" s="60" t="e">
        <f>+BW48-#REF!</f>
        <v>#REF!</v>
      </c>
    </row>
    <row r="49" spans="2:82" ht="16.5" customHeight="1" x14ac:dyDescent="0.25">
      <c r="B49" s="92"/>
      <c r="C49" s="68"/>
      <c r="D49" s="68"/>
      <c r="E49" s="68"/>
      <c r="F49" s="68"/>
      <c r="G49" s="55"/>
      <c r="H49" s="68"/>
      <c r="I49" s="22"/>
      <c r="J49" s="93"/>
      <c r="K49" s="22"/>
      <c r="L49" s="22"/>
      <c r="N49" s="68"/>
      <c r="O49" s="68"/>
      <c r="P49" s="68"/>
      <c r="Q49" s="68"/>
      <c r="R49" s="68"/>
      <c r="S49" s="68"/>
      <c r="T49" s="68"/>
      <c r="U49" s="68"/>
      <c r="W49" s="68"/>
      <c r="X49" s="68"/>
      <c r="Y49" s="68"/>
      <c r="Z49" s="68"/>
      <c r="AA49" s="68"/>
      <c r="AB49" s="68"/>
      <c r="AC49" s="68"/>
      <c r="AD49" s="68"/>
      <c r="AE49" s="68"/>
      <c r="AF49" s="68"/>
      <c r="AG49" s="68"/>
      <c r="AH49" s="68"/>
      <c r="AI49" s="68"/>
      <c r="AJ49" s="68"/>
      <c r="AK49" s="68"/>
      <c r="AN49" s="68"/>
      <c r="AO49" s="68"/>
      <c r="AQ49" s="68"/>
      <c r="AR49" s="68"/>
      <c r="AS49" s="68"/>
      <c r="AT49" s="68"/>
      <c r="AU49" s="68"/>
      <c r="AV49" s="68"/>
      <c r="AX49" s="68"/>
      <c r="AY49" s="68"/>
      <c r="AZ49" s="68"/>
      <c r="BA49" s="68"/>
      <c r="BC49" s="68"/>
      <c r="BD49" s="68"/>
      <c r="BE49" s="68"/>
      <c r="BF49" s="68"/>
      <c r="BG49" s="68"/>
      <c r="BH49" s="68"/>
      <c r="BI49" s="68"/>
      <c r="BJ49" s="68"/>
      <c r="BK49" s="68"/>
      <c r="BL49" s="60"/>
      <c r="BM49" s="68"/>
      <c r="BN49" s="68"/>
      <c r="BO49" s="68"/>
      <c r="BP49" s="68"/>
      <c r="BQ49" s="68"/>
      <c r="BR49" s="68"/>
      <c r="BS49" s="68"/>
      <c r="BT49" s="68"/>
      <c r="BU49" s="68"/>
      <c r="BV49" s="68"/>
      <c r="BW49" s="68"/>
      <c r="BX49" s="68"/>
      <c r="BY49" s="68"/>
      <c r="BZ49" s="68"/>
      <c r="CA49" s="68"/>
      <c r="CB49" s="68"/>
      <c r="CC49" s="60"/>
      <c r="CD49" s="60"/>
    </row>
    <row r="50" spans="2:82" ht="4.5" customHeight="1" x14ac:dyDescent="0.25">
      <c r="C50" s="55"/>
      <c r="D50" s="66"/>
      <c r="E50" s="66"/>
      <c r="F50" s="66"/>
      <c r="G50" s="55"/>
      <c r="H50" s="66"/>
      <c r="I50" s="66"/>
      <c r="J50" s="66"/>
      <c r="K50" s="66"/>
      <c r="L50" s="66"/>
      <c r="N50" s="66"/>
      <c r="O50" s="66"/>
      <c r="P50" s="66"/>
      <c r="Q50" s="66"/>
      <c r="R50" s="66"/>
      <c r="S50" s="66"/>
      <c r="T50" s="66"/>
      <c r="U50" s="66"/>
      <c r="W50" s="66"/>
      <c r="X50" s="66"/>
      <c r="Y50" s="66"/>
      <c r="Z50" s="66"/>
      <c r="AA50" s="66"/>
      <c r="AB50" s="66"/>
      <c r="AC50" s="66"/>
      <c r="AD50" s="66"/>
      <c r="AE50" s="66"/>
      <c r="AF50" s="66"/>
      <c r="AG50" s="66"/>
      <c r="AH50" s="66"/>
      <c r="AI50" s="66"/>
      <c r="AJ50" s="66"/>
      <c r="AK50" s="66"/>
      <c r="AN50" s="66"/>
      <c r="AO50" s="66"/>
      <c r="AQ50" s="66"/>
      <c r="AR50" s="66"/>
      <c r="AS50" s="66"/>
      <c r="AT50" s="66"/>
      <c r="AU50" s="66"/>
      <c r="AV50" s="66"/>
      <c r="AX50" s="66"/>
      <c r="AY50" s="66"/>
      <c r="AZ50" s="66"/>
      <c r="BA50" s="66"/>
      <c r="BC50" s="66"/>
      <c r="BD50" s="66"/>
      <c r="BE50" s="66"/>
      <c r="BF50" s="66"/>
      <c r="BG50" s="66"/>
      <c r="BH50" s="66"/>
      <c r="BI50" s="66"/>
      <c r="BJ50" s="66"/>
      <c r="BK50" s="66"/>
      <c r="BL50" s="60"/>
      <c r="BM50" s="66"/>
      <c r="BN50" s="66"/>
      <c r="BO50" s="66"/>
      <c r="BP50" s="66"/>
      <c r="BQ50" s="66"/>
      <c r="BR50" s="66"/>
      <c r="BS50" s="66"/>
      <c r="BT50" s="66"/>
      <c r="BU50" s="66"/>
      <c r="BV50" s="66"/>
      <c r="BW50" s="66"/>
      <c r="BX50" s="66"/>
      <c r="BY50" s="66"/>
      <c r="BZ50" s="66"/>
      <c r="CA50" s="66"/>
      <c r="CB50" s="66"/>
      <c r="CC50" s="60"/>
      <c r="CD50" s="60"/>
    </row>
    <row r="51" spans="2:82" ht="16.5" customHeight="1" x14ac:dyDescent="0.25">
      <c r="B51" s="56" t="s">
        <v>150</v>
      </c>
      <c r="C51" s="69">
        <f>+C38+C46</f>
        <v>382606</v>
      </c>
      <c r="D51" s="70">
        <f>+D38+D46</f>
        <v>682565.79061002983</v>
      </c>
      <c r="E51" s="70">
        <f>+E38+E46</f>
        <v>230223</v>
      </c>
      <c r="F51" s="70">
        <f>+F38+F46</f>
        <v>6204</v>
      </c>
      <c r="G51" s="55"/>
      <c r="H51" s="70">
        <f>+H38+H46</f>
        <v>186365</v>
      </c>
      <c r="I51" s="70">
        <f t="shared" ref="I51:L51" si="161">+I38+I46</f>
        <v>411932</v>
      </c>
      <c r="J51" s="70">
        <f t="shared" si="161"/>
        <v>260325</v>
      </c>
      <c r="K51" s="70">
        <f t="shared" si="161"/>
        <v>58354</v>
      </c>
      <c r="L51" s="70">
        <f t="shared" si="161"/>
        <v>51207</v>
      </c>
      <c r="N51" s="70">
        <f t="shared" ref="N51:U51" si="162">+N38+N46</f>
        <v>399847</v>
      </c>
      <c r="O51" s="70">
        <f t="shared" si="162"/>
        <v>396019</v>
      </c>
      <c r="P51" s="70">
        <f t="shared" si="162"/>
        <v>374179</v>
      </c>
      <c r="Q51" s="70">
        <f t="shared" si="162"/>
        <v>381667</v>
      </c>
      <c r="R51" s="70">
        <f t="shared" si="162"/>
        <v>378816</v>
      </c>
      <c r="S51" s="70">
        <f t="shared" si="162"/>
        <v>420642</v>
      </c>
      <c r="T51" s="70">
        <f t="shared" si="162"/>
        <v>311594</v>
      </c>
      <c r="U51" s="70">
        <f t="shared" si="162"/>
        <v>286707</v>
      </c>
      <c r="W51" s="70">
        <f t="shared" ref="W51:AD51" si="163">+W38+W46</f>
        <v>223396</v>
      </c>
      <c r="X51" s="70">
        <f t="shared" si="163"/>
        <v>223395</v>
      </c>
      <c r="Y51" s="70">
        <f t="shared" si="163"/>
        <v>303826</v>
      </c>
      <c r="Z51" s="70">
        <f t="shared" si="163"/>
        <v>303825</v>
      </c>
      <c r="AA51" s="70">
        <f t="shared" si="163"/>
        <v>551467</v>
      </c>
      <c r="AB51" s="70">
        <f t="shared" si="163"/>
        <v>551469</v>
      </c>
      <c r="AC51" s="70">
        <f t="shared" si="163"/>
        <v>362757</v>
      </c>
      <c r="AD51" s="70">
        <f t="shared" si="163"/>
        <v>362759</v>
      </c>
      <c r="AE51" s="70"/>
      <c r="AF51" s="70">
        <f t="shared" ref="AF51:AK51" si="164">+AF38+AF46</f>
        <v>338205</v>
      </c>
      <c r="AG51" s="70">
        <f t="shared" si="164"/>
        <v>338204</v>
      </c>
      <c r="AH51" s="70">
        <f t="shared" si="164"/>
        <v>302952</v>
      </c>
      <c r="AI51" s="70">
        <f t="shared" si="164"/>
        <v>302952</v>
      </c>
      <c r="AJ51" s="70">
        <f t="shared" si="164"/>
        <v>391199</v>
      </c>
      <c r="AK51" s="70">
        <f t="shared" si="164"/>
        <v>391200</v>
      </c>
      <c r="AN51" s="70">
        <f t="shared" ref="AN51:AO51" si="165">+AN38+AN46</f>
        <v>504669</v>
      </c>
      <c r="AO51" s="70">
        <f t="shared" si="165"/>
        <v>504669</v>
      </c>
      <c r="AQ51" s="70">
        <f t="shared" ref="AQ51:AV51" si="166">+AQ38+AQ46</f>
        <v>309364</v>
      </c>
      <c r="AR51" s="70">
        <f t="shared" si="166"/>
        <v>309364</v>
      </c>
      <c r="AS51" s="70">
        <f t="shared" si="166"/>
        <v>301170</v>
      </c>
      <c r="AT51" s="70">
        <f t="shared" si="166"/>
        <v>301169</v>
      </c>
      <c r="AU51" s="70">
        <f t="shared" si="166"/>
        <v>639500</v>
      </c>
      <c r="AV51" s="70">
        <f t="shared" si="166"/>
        <v>613399</v>
      </c>
      <c r="AX51" s="70">
        <f t="shared" ref="AX51:BA51" si="167">+AX38+AX46</f>
        <v>114291</v>
      </c>
      <c r="AY51" s="70">
        <f t="shared" si="167"/>
        <v>96956</v>
      </c>
      <c r="AZ51" s="70">
        <f t="shared" si="167"/>
        <v>146089</v>
      </c>
      <c r="BA51" s="70">
        <f t="shared" si="167"/>
        <v>48706</v>
      </c>
      <c r="BC51" s="70">
        <f t="shared" ref="BC51:BF51" si="168">+BC38+BC46</f>
        <v>282181</v>
      </c>
      <c r="BD51" s="70">
        <f t="shared" si="168"/>
        <v>588831</v>
      </c>
      <c r="BE51" s="70">
        <f t="shared" si="168"/>
        <v>474267</v>
      </c>
      <c r="BF51" s="70">
        <f t="shared" si="168"/>
        <v>311341</v>
      </c>
      <c r="BG51" s="70"/>
      <c r="BH51" s="70">
        <f t="shared" ref="BH51:BJ51" si="169">+BH38+BH46</f>
        <v>498447</v>
      </c>
      <c r="BI51" s="70">
        <f t="shared" si="169"/>
        <v>638931</v>
      </c>
      <c r="BJ51" s="70">
        <f t="shared" si="169"/>
        <v>515079</v>
      </c>
      <c r="BK51" s="70">
        <f t="shared" ref="BK51:BM51" si="170">+BK38+BK46</f>
        <v>601820</v>
      </c>
      <c r="BL51" s="60"/>
      <c r="BM51" s="70">
        <f t="shared" si="170"/>
        <v>733865</v>
      </c>
      <c r="BN51" s="70">
        <f t="shared" ref="BN51" si="171">+BN38+BN46</f>
        <v>613185</v>
      </c>
      <c r="BO51" s="70">
        <f t="shared" ref="BO51:BQ51" si="172">+BO38+BO46</f>
        <v>648680</v>
      </c>
      <c r="BP51" s="70">
        <f t="shared" ref="BP51" si="173">+BP38+BP46</f>
        <v>405196</v>
      </c>
      <c r="BQ51" s="70">
        <f t="shared" si="172"/>
        <v>495640</v>
      </c>
      <c r="BR51" s="70">
        <f t="shared" ref="BR51" si="174">+BR38+BR46</f>
        <v>206246</v>
      </c>
      <c r="BS51" s="70">
        <f t="shared" ref="BS51:BT51" si="175">+BS38+BS46</f>
        <v>352508</v>
      </c>
      <c r="BT51" s="70">
        <f t="shared" si="175"/>
        <v>118814</v>
      </c>
      <c r="BU51" s="70"/>
      <c r="BV51" s="70">
        <f t="shared" ref="BV51:BY51" si="176">+BV38+BV46</f>
        <v>1843885</v>
      </c>
      <c r="BW51" s="70">
        <f t="shared" ref="BW51" si="177">+BW38+BW46</f>
        <v>23514</v>
      </c>
      <c r="BX51" s="70">
        <f t="shared" si="176"/>
        <v>410133</v>
      </c>
      <c r="BY51" s="70">
        <f t="shared" si="176"/>
        <v>617704</v>
      </c>
      <c r="BZ51" s="70">
        <f t="shared" ref="BZ51" si="178">+BZ38+BZ46</f>
        <v>33720</v>
      </c>
      <c r="CA51" s="70"/>
      <c r="CB51" s="70">
        <f t="shared" ref="CB51" si="179">+CB38+CB46</f>
        <v>374223</v>
      </c>
      <c r="CC51" s="60" t="e">
        <f>+CB51-#REF!</f>
        <v>#REF!</v>
      </c>
      <c r="CD51" s="60" t="e">
        <f>+BW51-#REF!</f>
        <v>#REF!</v>
      </c>
    </row>
    <row r="52" spans="2:82" s="95" customFormat="1" ht="5.25" hidden="1" customHeight="1" x14ac:dyDescent="0.25">
      <c r="B52" s="51"/>
      <c r="C52" s="55"/>
      <c r="D52" s="94"/>
      <c r="E52" s="94"/>
      <c r="F52" s="94"/>
      <c r="G52" s="55"/>
      <c r="H52" s="94"/>
      <c r="I52" s="94"/>
      <c r="J52" s="94"/>
      <c r="K52" s="94"/>
      <c r="L52" s="94" t="e">
        <f>+#REF!-J52-I52-H52</f>
        <v>#REF!</v>
      </c>
      <c r="N52" s="94"/>
      <c r="O52" s="94"/>
      <c r="P52" s="94"/>
      <c r="Q52" s="94"/>
      <c r="R52" s="94"/>
      <c r="S52" s="94"/>
      <c r="T52" s="94"/>
      <c r="U52" s="94"/>
      <c r="W52" s="94"/>
      <c r="X52" s="94"/>
      <c r="Y52" s="94"/>
      <c r="Z52" s="94"/>
      <c r="AA52" s="94"/>
      <c r="AB52" s="94"/>
      <c r="AC52" s="94"/>
      <c r="AD52" s="94"/>
      <c r="AE52" s="94"/>
      <c r="AF52" s="94"/>
      <c r="AG52" s="94"/>
      <c r="AH52" s="94"/>
      <c r="AI52" s="94"/>
      <c r="AJ52" s="94"/>
      <c r="AK52" s="94"/>
      <c r="AN52" s="94"/>
      <c r="AO52" s="94"/>
      <c r="AQ52" s="94"/>
      <c r="AR52" s="94"/>
      <c r="AS52" s="94"/>
      <c r="AT52" s="94"/>
      <c r="AU52" s="94"/>
      <c r="AV52" s="94"/>
      <c r="AX52" s="94"/>
      <c r="AY52" s="94"/>
      <c r="AZ52" s="94"/>
      <c r="BA52" s="94"/>
      <c r="BC52" s="94"/>
      <c r="BD52" s="94"/>
      <c r="BE52" s="94"/>
      <c r="BF52" s="94"/>
      <c r="BG52" s="94"/>
      <c r="BH52" s="94"/>
      <c r="BI52" s="94"/>
      <c r="BJ52" s="94"/>
      <c r="BK52" s="94"/>
      <c r="BL52" s="60"/>
      <c r="BM52" s="94"/>
      <c r="BN52" s="94"/>
      <c r="BO52" s="94"/>
      <c r="BP52" s="94"/>
      <c r="BQ52" s="94"/>
      <c r="BR52" s="94"/>
      <c r="BS52" s="94"/>
      <c r="BT52" s="94"/>
      <c r="BU52" s="94"/>
      <c r="BV52" s="94"/>
      <c r="BW52" s="94"/>
      <c r="BX52" s="94"/>
      <c r="BY52" s="94"/>
      <c r="BZ52" s="94"/>
      <c r="CA52" s="94"/>
      <c r="CB52" s="94"/>
      <c r="CC52" s="60" t="e">
        <f>+BM52+BO52+BQ52-#REF!</f>
        <v>#REF!</v>
      </c>
      <c r="CD52" s="60" t="e">
        <f>+BH52+BI52-#REF!</f>
        <v>#REF!</v>
      </c>
    </row>
    <row r="53" spans="2:82" s="95" customFormat="1" ht="5.25" customHeight="1" x14ac:dyDescent="0.25">
      <c r="B53" s="51"/>
      <c r="C53" s="55"/>
      <c r="D53" s="94"/>
      <c r="E53" s="94"/>
      <c r="F53" s="94"/>
      <c r="G53" s="55"/>
      <c r="H53" s="94"/>
      <c r="I53" s="94"/>
      <c r="J53" s="94"/>
      <c r="K53" s="94"/>
      <c r="L53" s="94"/>
      <c r="N53" s="94"/>
      <c r="O53" s="94"/>
      <c r="P53" s="94"/>
      <c r="Q53" s="94"/>
      <c r="R53" s="94"/>
      <c r="S53" s="94"/>
      <c r="T53" s="94"/>
      <c r="U53" s="94"/>
      <c r="W53" s="94"/>
      <c r="X53" s="94"/>
      <c r="Y53" s="94"/>
      <c r="Z53" s="94"/>
      <c r="AA53" s="94"/>
      <c r="AB53" s="94"/>
      <c r="AC53" s="94"/>
      <c r="AD53" s="94"/>
      <c r="AE53" s="94"/>
      <c r="AF53" s="94"/>
      <c r="AG53" s="94"/>
      <c r="AH53" s="94"/>
      <c r="AI53" s="94"/>
      <c r="AJ53" s="94"/>
      <c r="AK53" s="94"/>
      <c r="AN53" s="94"/>
      <c r="AO53" s="94"/>
      <c r="AQ53" s="94"/>
      <c r="AR53" s="94"/>
      <c r="AS53" s="94"/>
      <c r="AT53" s="94"/>
      <c r="AU53" s="94"/>
      <c r="AV53" s="94"/>
      <c r="AX53" s="94"/>
      <c r="AY53" s="94"/>
      <c r="AZ53" s="94"/>
      <c r="BA53" s="94"/>
      <c r="BC53" s="94"/>
      <c r="BD53" s="94"/>
      <c r="BE53" s="94"/>
      <c r="BF53" s="94"/>
      <c r="BG53" s="94"/>
      <c r="BH53" s="94"/>
      <c r="BI53" s="94"/>
      <c r="BJ53" s="94"/>
      <c r="BK53" s="94"/>
      <c r="BL53" s="60"/>
      <c r="BM53" s="94"/>
      <c r="BN53" s="94"/>
      <c r="BO53" s="94"/>
      <c r="BP53" s="94"/>
      <c r="BQ53" s="94"/>
      <c r="BR53" s="94"/>
      <c r="BS53" s="94"/>
      <c r="BT53" s="94"/>
      <c r="BU53" s="94"/>
      <c r="BV53" s="94"/>
      <c r="BW53" s="94"/>
      <c r="BX53" s="94"/>
      <c r="BY53" s="94"/>
      <c r="BZ53" s="94"/>
      <c r="CA53" s="94"/>
      <c r="CB53" s="94"/>
      <c r="CC53" s="60"/>
      <c r="CD53" s="60"/>
    </row>
    <row r="54" spans="2:82" ht="15.75" customHeight="1" x14ac:dyDescent="0.2">
      <c r="B54" s="96" t="s">
        <v>151</v>
      </c>
      <c r="C54" s="68">
        <v>88640</v>
      </c>
      <c r="D54" s="22">
        <v>114703</v>
      </c>
      <c r="E54" s="22">
        <v>47094</v>
      </c>
      <c r="F54" s="22">
        <v>121109</v>
      </c>
      <c r="G54" s="55"/>
      <c r="H54" s="22">
        <v>94599</v>
      </c>
      <c r="I54" s="22">
        <v>53882</v>
      </c>
      <c r="J54" s="22">
        <v>75127</v>
      </c>
      <c r="K54" s="22">
        <v>36898</v>
      </c>
      <c r="L54" s="22">
        <v>24587</v>
      </c>
      <c r="N54" s="22">
        <v>171898</v>
      </c>
      <c r="O54" s="22">
        <f>168106-1+12377</f>
        <v>180482</v>
      </c>
      <c r="P54" s="22">
        <v>13142</v>
      </c>
      <c r="Q54" s="22">
        <f>10409-1+2546</f>
        <v>12954</v>
      </c>
      <c r="R54" s="22">
        <v>88218</v>
      </c>
      <c r="S54" s="22">
        <f>107394-18569+3646</f>
        <v>92471</v>
      </c>
      <c r="T54" s="22">
        <v>59176</v>
      </c>
      <c r="U54" s="22">
        <f>67124+2</f>
        <v>67126</v>
      </c>
      <c r="V54" s="22"/>
      <c r="W54" s="22">
        <f>69785+8804</f>
        <v>78589</v>
      </c>
      <c r="X54" s="22">
        <v>78588</v>
      </c>
      <c r="Y54" s="22">
        <f>85468+2910</f>
        <v>88378</v>
      </c>
      <c r="Z54" s="22">
        <f>85468+2910+1</f>
        <v>88379</v>
      </c>
      <c r="AA54" s="22">
        <f>111567-15302+3588</f>
        <v>99853</v>
      </c>
      <c r="AB54" s="22">
        <f>111567-15302+3588</f>
        <v>99853</v>
      </c>
      <c r="AC54" s="22">
        <f>268044+1</f>
        <v>268045</v>
      </c>
      <c r="AD54" s="22">
        <f>268044+1</f>
        <v>268045</v>
      </c>
      <c r="AE54" s="22"/>
      <c r="AF54" s="22">
        <v>117143</v>
      </c>
      <c r="AG54" s="22">
        <v>117143</v>
      </c>
      <c r="AH54" s="22">
        <f>70202-1</f>
        <v>70201</v>
      </c>
      <c r="AI54" s="22">
        <f>70202-1</f>
        <v>70201</v>
      </c>
      <c r="AJ54" s="22">
        <v>-18841</v>
      </c>
      <c r="AK54" s="22">
        <v>-18841</v>
      </c>
      <c r="AN54" s="22">
        <v>174404</v>
      </c>
      <c r="AO54" s="22">
        <v>174404</v>
      </c>
      <c r="AQ54" s="22">
        <v>86082</v>
      </c>
      <c r="AR54" s="22">
        <v>86082</v>
      </c>
      <c r="AS54" s="22">
        <v>81685</v>
      </c>
      <c r="AT54" s="22">
        <v>81685</v>
      </c>
      <c r="AU54" s="22">
        <v>122933</v>
      </c>
      <c r="AV54" s="22">
        <v>316595</v>
      </c>
      <c r="AX54" s="22">
        <v>87916</v>
      </c>
      <c r="AY54" s="22">
        <f>35122-1</f>
        <v>35121</v>
      </c>
      <c r="AZ54" s="22">
        <v>68259</v>
      </c>
      <c r="BA54" s="22">
        <v>60801</v>
      </c>
      <c r="BC54" s="22">
        <v>91593</v>
      </c>
      <c r="BD54" s="22">
        <v>196413</v>
      </c>
      <c r="BE54" s="22">
        <v>99600</v>
      </c>
      <c r="BF54" s="22">
        <v>62981</v>
      </c>
      <c r="BG54" s="22"/>
      <c r="BH54" s="22">
        <v>183520</v>
      </c>
      <c r="BI54" s="22">
        <v>227812</v>
      </c>
      <c r="BJ54" s="22">
        <f>188949</f>
        <v>188949</v>
      </c>
      <c r="BK54" s="22">
        <f>213654+1</f>
        <v>213655</v>
      </c>
      <c r="BL54" s="60"/>
      <c r="BM54" s="22">
        <f>163714+1</f>
        <v>163715</v>
      </c>
      <c r="BN54" s="22">
        <f>143724+1</f>
        <v>143725</v>
      </c>
      <c r="BO54" s="22">
        <v>190328</v>
      </c>
      <c r="BP54" s="22">
        <f>141504-1</f>
        <v>141503</v>
      </c>
      <c r="BQ54" s="22">
        <f>128273-1</f>
        <v>128272</v>
      </c>
      <c r="BR54" s="22">
        <v>64965</v>
      </c>
      <c r="BS54" s="22">
        <v>288380</v>
      </c>
      <c r="BT54" s="22">
        <v>231049</v>
      </c>
      <c r="BU54" s="22"/>
      <c r="BV54" s="22">
        <v>670381</v>
      </c>
      <c r="BW54" s="22">
        <v>153332</v>
      </c>
      <c r="BX54" s="22">
        <v>73471</v>
      </c>
      <c r="BY54" s="22">
        <v>83697</v>
      </c>
      <c r="BZ54" s="22">
        <f>-79933+1</f>
        <v>-79932</v>
      </c>
      <c r="CA54" s="22"/>
      <c r="CB54" s="22">
        <f>128584+1</f>
        <v>128585</v>
      </c>
      <c r="CC54" s="60" t="e">
        <f>+CB54-#REF!</f>
        <v>#REF!</v>
      </c>
      <c r="CD54" s="60" t="e">
        <f>+BW54-#REF!</f>
        <v>#REF!</v>
      </c>
    </row>
    <row r="55" spans="2:82" ht="8.25" customHeight="1" x14ac:dyDescent="0.25">
      <c r="C55" s="55"/>
      <c r="D55" s="66"/>
      <c r="E55" s="66"/>
      <c r="F55" s="66"/>
      <c r="G55" s="55"/>
      <c r="H55" s="66"/>
      <c r="I55" s="66"/>
      <c r="J55" s="66"/>
      <c r="K55" s="66"/>
      <c r="L55" s="66"/>
      <c r="N55" s="66"/>
      <c r="O55" s="66"/>
      <c r="P55" s="66"/>
      <c r="Q55" s="66"/>
      <c r="R55" s="66"/>
      <c r="S55" s="66"/>
      <c r="T55" s="66"/>
      <c r="U55" s="66"/>
      <c r="W55" s="66"/>
      <c r="X55" s="66"/>
      <c r="Y55" s="66"/>
      <c r="Z55" s="66"/>
      <c r="AA55" s="66"/>
      <c r="AB55" s="66"/>
      <c r="AC55" s="66"/>
      <c r="AD55" s="66"/>
      <c r="AE55" s="66"/>
      <c r="AF55" s="66"/>
      <c r="AG55" s="66"/>
      <c r="AH55" s="66"/>
      <c r="AI55" s="66"/>
      <c r="AJ55" s="66"/>
      <c r="AK55" s="66"/>
      <c r="AN55" s="66"/>
      <c r="AO55" s="66"/>
      <c r="AQ55" s="66"/>
      <c r="AR55" s="66"/>
      <c r="AS55" s="66"/>
      <c r="AT55" s="66"/>
      <c r="AU55" s="66"/>
      <c r="AV55" s="66"/>
      <c r="AX55" s="66"/>
      <c r="AY55" s="66"/>
      <c r="AZ55" s="66"/>
      <c r="BA55" s="66"/>
      <c r="BC55" s="66"/>
      <c r="BD55" s="66"/>
      <c r="BE55" s="66"/>
      <c r="BF55" s="66"/>
      <c r="BG55" s="66"/>
      <c r="BH55" s="66"/>
      <c r="BI55" s="66"/>
      <c r="BJ55" s="66"/>
      <c r="BK55" s="66"/>
      <c r="BL55" s="60"/>
      <c r="BM55" s="66"/>
      <c r="BN55" s="66"/>
      <c r="BO55" s="66"/>
      <c r="BP55" s="66"/>
      <c r="BQ55" s="66"/>
      <c r="BR55" s="66"/>
      <c r="BS55" s="66"/>
      <c r="BT55" s="66"/>
      <c r="BU55" s="66"/>
      <c r="BV55" s="66"/>
      <c r="BW55" s="66"/>
      <c r="BX55" s="66"/>
      <c r="BY55" s="66"/>
      <c r="BZ55" s="66"/>
      <c r="CA55" s="66"/>
      <c r="CB55" s="66"/>
      <c r="CC55" s="60"/>
      <c r="CD55" s="60"/>
    </row>
    <row r="56" spans="2:82" s="56" customFormat="1" x14ac:dyDescent="0.25">
      <c r="B56" s="56" t="s">
        <v>152</v>
      </c>
      <c r="C56" s="67">
        <f>+C51-C54</f>
        <v>293966</v>
      </c>
      <c r="D56" s="67">
        <f>+D51-D54</f>
        <v>567862.79061002983</v>
      </c>
      <c r="E56" s="67">
        <f>+E51-E54</f>
        <v>183129</v>
      </c>
      <c r="F56" s="67">
        <f>+F51-F54</f>
        <v>-114905</v>
      </c>
      <c r="G56" s="55"/>
      <c r="H56" s="67">
        <f>+H51-H54</f>
        <v>91766</v>
      </c>
      <c r="I56" s="67">
        <f t="shared" ref="I56:L56" si="180">+I51-I54</f>
        <v>358050</v>
      </c>
      <c r="J56" s="67">
        <f t="shared" si="180"/>
        <v>185198</v>
      </c>
      <c r="K56" s="67">
        <f t="shared" si="180"/>
        <v>21456</v>
      </c>
      <c r="L56" s="67">
        <f t="shared" si="180"/>
        <v>26620</v>
      </c>
      <c r="N56" s="67">
        <f t="shared" ref="N56:U56" si="181">+N51-N54</f>
        <v>227949</v>
      </c>
      <c r="O56" s="67">
        <f t="shared" si="181"/>
        <v>215537</v>
      </c>
      <c r="P56" s="67">
        <f t="shared" si="181"/>
        <v>361037</v>
      </c>
      <c r="Q56" s="67">
        <f t="shared" si="181"/>
        <v>368713</v>
      </c>
      <c r="R56" s="67">
        <f t="shared" si="181"/>
        <v>290598</v>
      </c>
      <c r="S56" s="67">
        <f t="shared" si="181"/>
        <v>328171</v>
      </c>
      <c r="T56" s="67">
        <f t="shared" si="181"/>
        <v>252418</v>
      </c>
      <c r="U56" s="67">
        <f t="shared" si="181"/>
        <v>219581</v>
      </c>
      <c r="W56" s="67">
        <f t="shared" ref="W56:AD56" si="182">+W51-W54</f>
        <v>144807</v>
      </c>
      <c r="X56" s="67">
        <f t="shared" si="182"/>
        <v>144807</v>
      </c>
      <c r="Y56" s="67">
        <f t="shared" si="182"/>
        <v>215448</v>
      </c>
      <c r="Z56" s="67">
        <f t="shared" si="182"/>
        <v>215446</v>
      </c>
      <c r="AA56" s="67">
        <f t="shared" si="182"/>
        <v>451614</v>
      </c>
      <c r="AB56" s="67">
        <f t="shared" si="182"/>
        <v>451616</v>
      </c>
      <c r="AC56" s="67">
        <f t="shared" si="182"/>
        <v>94712</v>
      </c>
      <c r="AD56" s="67">
        <f t="shared" si="182"/>
        <v>94714</v>
      </c>
      <c r="AE56" s="67"/>
      <c r="AF56" s="67">
        <f t="shared" ref="AF56:AK56" si="183">+AF51-AF54</f>
        <v>221062</v>
      </c>
      <c r="AG56" s="67">
        <f t="shared" si="183"/>
        <v>221061</v>
      </c>
      <c r="AH56" s="67">
        <f t="shared" si="183"/>
        <v>232751</v>
      </c>
      <c r="AI56" s="67">
        <f t="shared" si="183"/>
        <v>232751</v>
      </c>
      <c r="AJ56" s="67">
        <f t="shared" si="183"/>
        <v>410040</v>
      </c>
      <c r="AK56" s="67">
        <f t="shared" si="183"/>
        <v>410041</v>
      </c>
      <c r="AN56" s="67">
        <f t="shared" ref="AN56:AO56" si="184">+AN51-AN54</f>
        <v>330265</v>
      </c>
      <c r="AO56" s="67">
        <f t="shared" si="184"/>
        <v>330265</v>
      </c>
      <c r="AQ56" s="67">
        <f t="shared" ref="AQ56:AV56" si="185">+AQ51-AQ54</f>
        <v>223282</v>
      </c>
      <c r="AR56" s="67">
        <f t="shared" si="185"/>
        <v>223282</v>
      </c>
      <c r="AS56" s="67">
        <f t="shared" si="185"/>
        <v>219485</v>
      </c>
      <c r="AT56" s="67">
        <f t="shared" si="185"/>
        <v>219484</v>
      </c>
      <c r="AU56" s="67">
        <f t="shared" si="185"/>
        <v>516567</v>
      </c>
      <c r="AV56" s="67">
        <f t="shared" si="185"/>
        <v>296804</v>
      </c>
      <c r="AX56" s="67">
        <f t="shared" ref="AX56:BA56" si="186">+AX51-AX54</f>
        <v>26375</v>
      </c>
      <c r="AY56" s="67">
        <f t="shared" si="186"/>
        <v>61835</v>
      </c>
      <c r="AZ56" s="67">
        <f t="shared" si="186"/>
        <v>77830</v>
      </c>
      <c r="BA56" s="67">
        <f t="shared" si="186"/>
        <v>-12095</v>
      </c>
      <c r="BC56" s="67">
        <f t="shared" ref="BC56:BF56" si="187">+BC51-BC54</f>
        <v>190588</v>
      </c>
      <c r="BD56" s="67">
        <f t="shared" si="187"/>
        <v>392418</v>
      </c>
      <c r="BE56" s="67">
        <f t="shared" si="187"/>
        <v>374667</v>
      </c>
      <c r="BF56" s="67">
        <f t="shared" si="187"/>
        <v>248360</v>
      </c>
      <c r="BG56" s="67"/>
      <c r="BH56" s="67">
        <f t="shared" ref="BH56:BJ56" si="188">+BH51-BH54</f>
        <v>314927</v>
      </c>
      <c r="BI56" s="67">
        <f t="shared" si="188"/>
        <v>411119</v>
      </c>
      <c r="BJ56" s="67">
        <f t="shared" si="188"/>
        <v>326130</v>
      </c>
      <c r="BK56" s="67">
        <f t="shared" ref="BK56:BM56" si="189">+BK51-BK54</f>
        <v>388165</v>
      </c>
      <c r="BL56" s="60"/>
      <c r="BM56" s="67">
        <f t="shared" si="189"/>
        <v>570150</v>
      </c>
      <c r="BN56" s="67">
        <f t="shared" ref="BN56" si="190">+BN51-BN54</f>
        <v>469460</v>
      </c>
      <c r="BO56" s="67">
        <f t="shared" ref="BO56:BQ56" si="191">+BO51-BO54</f>
        <v>458352</v>
      </c>
      <c r="BP56" s="67">
        <f t="shared" ref="BP56" si="192">+BP51-BP54</f>
        <v>263693</v>
      </c>
      <c r="BQ56" s="67">
        <f t="shared" si="191"/>
        <v>367368</v>
      </c>
      <c r="BR56" s="67">
        <f t="shared" ref="BR56" si="193">+BR51-BR54</f>
        <v>141281</v>
      </c>
      <c r="BS56" s="67">
        <f t="shared" ref="BS56:BT56" si="194">+BS51-BS54</f>
        <v>64128</v>
      </c>
      <c r="BT56" s="67">
        <f t="shared" si="194"/>
        <v>-112235</v>
      </c>
      <c r="BU56" s="67"/>
      <c r="BV56" s="67">
        <f t="shared" ref="BV56:BY56" si="195">+BV51-BV54</f>
        <v>1173504</v>
      </c>
      <c r="BW56" s="67">
        <f t="shared" ref="BW56" si="196">+BW51-BW54</f>
        <v>-129818</v>
      </c>
      <c r="BX56" s="67">
        <f t="shared" si="195"/>
        <v>336662</v>
      </c>
      <c r="BY56" s="67">
        <f t="shared" si="195"/>
        <v>534007</v>
      </c>
      <c r="BZ56" s="67">
        <f t="shared" ref="BZ56" si="197">+BZ51-BZ54</f>
        <v>113652</v>
      </c>
      <c r="CA56" s="67"/>
      <c r="CB56" s="67">
        <f t="shared" ref="CB56" si="198">+CB51-CB54</f>
        <v>245638</v>
      </c>
      <c r="CC56" s="60" t="e">
        <f>+CB56-#REF!</f>
        <v>#REF!</v>
      </c>
      <c r="CD56" s="60" t="e">
        <f>+BW56-#REF!</f>
        <v>#REF!</v>
      </c>
    </row>
    <row r="57" spans="2:82" s="56" customFormat="1" ht="16.5" customHeight="1" x14ac:dyDescent="0.25">
      <c r="B57" s="97" t="s">
        <v>360</v>
      </c>
      <c r="C57" s="68">
        <v>-869</v>
      </c>
      <c r="D57" s="22">
        <f>330+1</f>
        <v>331</v>
      </c>
      <c r="E57" s="22">
        <f>-5125+1</f>
        <v>-5124</v>
      </c>
      <c r="F57" s="22">
        <f>6047-1</f>
        <v>6046</v>
      </c>
      <c r="G57" s="55"/>
      <c r="H57" s="22"/>
      <c r="I57" s="22">
        <v>-3566</v>
      </c>
      <c r="J57" s="93">
        <v>3566</v>
      </c>
      <c r="K57" s="22">
        <v>-13315</v>
      </c>
      <c r="L57" s="22">
        <v>-13315</v>
      </c>
      <c r="N57" s="22">
        <v>0</v>
      </c>
      <c r="O57" s="22">
        <v>0</v>
      </c>
      <c r="P57" s="22">
        <v>0</v>
      </c>
      <c r="Q57" s="22">
        <v>0</v>
      </c>
      <c r="R57" s="22">
        <v>0</v>
      </c>
      <c r="S57" s="22">
        <v>0</v>
      </c>
      <c r="T57" s="22">
        <v>0</v>
      </c>
      <c r="U57" s="22">
        <v>0</v>
      </c>
      <c r="W57" s="22">
        <v>0</v>
      </c>
      <c r="X57" s="22">
        <v>0</v>
      </c>
      <c r="Y57" s="22">
        <v>0</v>
      </c>
      <c r="Z57" s="22">
        <v>0</v>
      </c>
      <c r="AA57" s="22">
        <v>0</v>
      </c>
      <c r="AB57" s="22">
        <v>0</v>
      </c>
      <c r="AC57" s="22">
        <v>0</v>
      </c>
      <c r="AD57" s="22">
        <v>0</v>
      </c>
      <c r="AE57" s="22"/>
      <c r="AF57" s="22">
        <v>0</v>
      </c>
      <c r="AG57" s="22">
        <v>0</v>
      </c>
      <c r="AH57" s="22">
        <v>0</v>
      </c>
      <c r="AI57" s="22">
        <v>0</v>
      </c>
      <c r="AJ57" s="22">
        <v>0</v>
      </c>
      <c r="AK57" s="22">
        <v>0</v>
      </c>
      <c r="AN57" s="22">
        <v>0</v>
      </c>
      <c r="AO57" s="22">
        <v>0</v>
      </c>
      <c r="AQ57" s="22">
        <v>0</v>
      </c>
      <c r="AR57" s="22">
        <v>0</v>
      </c>
      <c r="AS57" s="22">
        <v>0</v>
      </c>
      <c r="AT57" s="22">
        <v>0</v>
      </c>
      <c r="AU57" s="22">
        <v>0</v>
      </c>
      <c r="AV57" s="22">
        <v>0</v>
      </c>
      <c r="AX57" s="22">
        <v>0</v>
      </c>
      <c r="AY57" s="22">
        <v>0</v>
      </c>
      <c r="AZ57" s="22">
        <v>0</v>
      </c>
      <c r="BA57" s="22">
        <v>0</v>
      </c>
      <c r="BC57" s="22">
        <v>0</v>
      </c>
      <c r="BD57" s="22">
        <v>0</v>
      </c>
      <c r="BE57" s="22">
        <v>0</v>
      </c>
      <c r="BF57" s="22">
        <v>0</v>
      </c>
      <c r="BG57" s="22"/>
      <c r="BH57" s="22">
        <v>0</v>
      </c>
      <c r="BI57" s="22">
        <v>0</v>
      </c>
      <c r="BJ57" s="22">
        <v>0</v>
      </c>
      <c r="BK57" s="22">
        <v>0</v>
      </c>
      <c r="BL57" s="60"/>
      <c r="BM57" s="22">
        <v>0</v>
      </c>
      <c r="BN57" s="22">
        <v>100690</v>
      </c>
      <c r="BO57" s="22">
        <v>0</v>
      </c>
      <c r="BP57" s="22">
        <v>194660</v>
      </c>
      <c r="BQ57" s="22">
        <v>0</v>
      </c>
      <c r="BR57" s="22">
        <v>226086</v>
      </c>
      <c r="BS57" s="22">
        <v>0</v>
      </c>
      <c r="BT57" s="22">
        <v>176363</v>
      </c>
      <c r="BU57" s="22"/>
      <c r="BV57" s="22">
        <v>5335895</v>
      </c>
      <c r="BW57" s="22">
        <f>6639217+1</f>
        <v>6639218</v>
      </c>
      <c r="BX57" s="22">
        <v>0</v>
      </c>
      <c r="BY57" s="22">
        <v>-40449</v>
      </c>
      <c r="BZ57" s="22">
        <f>193529-1</f>
        <v>193528</v>
      </c>
      <c r="CA57" s="22"/>
      <c r="CB57" s="22">
        <v>1988009</v>
      </c>
      <c r="CC57" s="60" t="e">
        <f>+CB57-#REF!</f>
        <v>#REF!</v>
      </c>
      <c r="CD57" s="60" t="e">
        <f>+BW57-#REF!</f>
        <v>#REF!</v>
      </c>
    </row>
    <row r="58" spans="2:82" s="56" customFormat="1" ht="16.5" customHeight="1" x14ac:dyDescent="0.25">
      <c r="B58" s="56" t="s">
        <v>153</v>
      </c>
      <c r="C58" s="67">
        <f>+C56+C57</f>
        <v>293097</v>
      </c>
      <c r="D58" s="67">
        <f>+D56+D57</f>
        <v>568193.79061002983</v>
      </c>
      <c r="E58" s="67">
        <f>+E56+E57</f>
        <v>178005</v>
      </c>
      <c r="F58" s="67">
        <f>+F56+F57</f>
        <v>-108859</v>
      </c>
      <c r="G58" s="55"/>
      <c r="H58" s="67">
        <f>+H56+H57</f>
        <v>91766</v>
      </c>
      <c r="I58" s="67">
        <f t="shared" ref="I58:L58" si="199">+I56+I57</f>
        <v>354484</v>
      </c>
      <c r="J58" s="67">
        <f t="shared" si="199"/>
        <v>188764</v>
      </c>
      <c r="K58" s="67">
        <f t="shared" si="199"/>
        <v>8141</v>
      </c>
      <c r="L58" s="67">
        <f t="shared" si="199"/>
        <v>13305</v>
      </c>
      <c r="N58" s="67">
        <f t="shared" ref="N58:U58" si="200">+N56+N57</f>
        <v>227949</v>
      </c>
      <c r="O58" s="67">
        <f t="shared" si="200"/>
        <v>215537</v>
      </c>
      <c r="P58" s="67">
        <f t="shared" si="200"/>
        <v>361037</v>
      </c>
      <c r="Q58" s="67">
        <f t="shared" si="200"/>
        <v>368713</v>
      </c>
      <c r="R58" s="67">
        <f t="shared" si="200"/>
        <v>290598</v>
      </c>
      <c r="S58" s="67">
        <f t="shared" si="200"/>
        <v>328171</v>
      </c>
      <c r="T58" s="67">
        <f t="shared" si="200"/>
        <v>252418</v>
      </c>
      <c r="U58" s="67">
        <f t="shared" si="200"/>
        <v>219581</v>
      </c>
      <c r="W58" s="67">
        <f t="shared" ref="W58:AD58" si="201">+W56+W57</f>
        <v>144807</v>
      </c>
      <c r="X58" s="67">
        <f t="shared" si="201"/>
        <v>144807</v>
      </c>
      <c r="Y58" s="67">
        <f t="shared" si="201"/>
        <v>215448</v>
      </c>
      <c r="Z58" s="67">
        <f t="shared" si="201"/>
        <v>215446</v>
      </c>
      <c r="AA58" s="67">
        <f t="shared" si="201"/>
        <v>451614</v>
      </c>
      <c r="AB58" s="67">
        <f t="shared" si="201"/>
        <v>451616</v>
      </c>
      <c r="AC58" s="67">
        <f t="shared" si="201"/>
        <v>94712</v>
      </c>
      <c r="AD58" s="67">
        <f t="shared" si="201"/>
        <v>94714</v>
      </c>
      <c r="AE58" s="67"/>
      <c r="AF58" s="67">
        <f t="shared" ref="AF58:AK58" si="202">+AF56+AF57</f>
        <v>221062</v>
      </c>
      <c r="AG58" s="67">
        <f t="shared" si="202"/>
        <v>221061</v>
      </c>
      <c r="AH58" s="67">
        <f t="shared" si="202"/>
        <v>232751</v>
      </c>
      <c r="AI58" s="67">
        <f t="shared" si="202"/>
        <v>232751</v>
      </c>
      <c r="AJ58" s="67">
        <f t="shared" si="202"/>
        <v>410040</v>
      </c>
      <c r="AK58" s="67">
        <f t="shared" si="202"/>
        <v>410041</v>
      </c>
      <c r="AN58" s="67">
        <f t="shared" ref="AN58:AO58" si="203">+AN56+AN57</f>
        <v>330265</v>
      </c>
      <c r="AO58" s="67">
        <f t="shared" si="203"/>
        <v>330265</v>
      </c>
      <c r="AQ58" s="67">
        <f t="shared" ref="AQ58:AV58" si="204">+AQ56+AQ57</f>
        <v>223282</v>
      </c>
      <c r="AR58" s="67">
        <f t="shared" si="204"/>
        <v>223282</v>
      </c>
      <c r="AS58" s="67">
        <f t="shared" si="204"/>
        <v>219485</v>
      </c>
      <c r="AT58" s="67">
        <f t="shared" si="204"/>
        <v>219484</v>
      </c>
      <c r="AU58" s="67">
        <f t="shared" si="204"/>
        <v>516567</v>
      </c>
      <c r="AV58" s="67">
        <f t="shared" si="204"/>
        <v>296804</v>
      </c>
      <c r="AX58" s="67">
        <f t="shared" ref="AX58:BA58" si="205">+AX56+AX57</f>
        <v>26375</v>
      </c>
      <c r="AY58" s="67">
        <f t="shared" si="205"/>
        <v>61835</v>
      </c>
      <c r="AZ58" s="67">
        <f t="shared" si="205"/>
        <v>77830</v>
      </c>
      <c r="BA58" s="67">
        <f t="shared" si="205"/>
        <v>-12095</v>
      </c>
      <c r="BC58" s="67">
        <f t="shared" ref="BC58:BF58" si="206">+BC56+BC57</f>
        <v>190588</v>
      </c>
      <c r="BD58" s="67">
        <f t="shared" si="206"/>
        <v>392418</v>
      </c>
      <c r="BE58" s="67">
        <f t="shared" si="206"/>
        <v>374667</v>
      </c>
      <c r="BF58" s="67">
        <f t="shared" si="206"/>
        <v>248360</v>
      </c>
      <c r="BG58" s="67"/>
      <c r="BH58" s="67">
        <f t="shared" ref="BH58:BJ58" si="207">+BH56+BH57</f>
        <v>314927</v>
      </c>
      <c r="BI58" s="67">
        <f t="shared" si="207"/>
        <v>411119</v>
      </c>
      <c r="BJ58" s="67">
        <f t="shared" si="207"/>
        <v>326130</v>
      </c>
      <c r="BK58" s="67">
        <f t="shared" ref="BK58:BM58" si="208">+BK56+BK57</f>
        <v>388165</v>
      </c>
      <c r="BL58" s="60"/>
      <c r="BM58" s="67">
        <f t="shared" si="208"/>
        <v>570150</v>
      </c>
      <c r="BN58" s="67">
        <f t="shared" ref="BN58" si="209">+BN56+BN57</f>
        <v>570150</v>
      </c>
      <c r="BO58" s="67">
        <f t="shared" ref="BO58:BQ58" si="210">+BO56+BO57</f>
        <v>458352</v>
      </c>
      <c r="BP58" s="67">
        <f t="shared" ref="BP58" si="211">+BP56+BP57</f>
        <v>458353</v>
      </c>
      <c r="BQ58" s="67">
        <f t="shared" si="210"/>
        <v>367368</v>
      </c>
      <c r="BR58" s="67">
        <f t="shared" ref="BR58" si="212">+BR56+BR57</f>
        <v>367367</v>
      </c>
      <c r="BS58" s="67">
        <f t="shared" ref="BS58:BT58" si="213">+BS56+BS57</f>
        <v>64128</v>
      </c>
      <c r="BT58" s="67">
        <f t="shared" si="213"/>
        <v>64128</v>
      </c>
      <c r="BU58" s="67"/>
      <c r="BV58" s="67">
        <f t="shared" ref="BV58:BY58" si="214">+BV56+BV57</f>
        <v>6509399</v>
      </c>
      <c r="BW58" s="67">
        <f t="shared" ref="BW58" si="215">+BW56+BW57</f>
        <v>6509400</v>
      </c>
      <c r="BX58" s="67">
        <f t="shared" si="214"/>
        <v>336662</v>
      </c>
      <c r="BY58" s="67">
        <f t="shared" si="214"/>
        <v>493558</v>
      </c>
      <c r="BZ58" s="67">
        <f t="shared" ref="BZ58" si="216">+BZ56+BZ57</f>
        <v>307180</v>
      </c>
      <c r="CA58" s="67"/>
      <c r="CB58" s="67">
        <f t="shared" ref="CB58" si="217">+CB56+CB57</f>
        <v>2233647</v>
      </c>
      <c r="CC58" s="60" t="e">
        <f>+CB58-#REF!</f>
        <v>#REF!</v>
      </c>
      <c r="CD58" s="60" t="e">
        <f>+BW58-#REF!</f>
        <v>#REF!</v>
      </c>
    </row>
    <row r="59" spans="2:82" s="56" customFormat="1" ht="16.5" hidden="1" customHeight="1" x14ac:dyDescent="0.25">
      <c r="B59" s="77" t="s">
        <v>35</v>
      </c>
      <c r="C59" s="63">
        <v>145.26</v>
      </c>
      <c r="D59" s="63">
        <v>302.36</v>
      </c>
      <c r="E59" s="63">
        <v>90.97</v>
      </c>
      <c r="F59" s="63">
        <v>-44.45</v>
      </c>
      <c r="G59" s="55"/>
      <c r="H59" s="63">
        <v>32.159999999999997</v>
      </c>
      <c r="I59" s="63">
        <v>140.63999999999999</v>
      </c>
      <c r="J59" s="63">
        <v>63.76</v>
      </c>
      <c r="K59" s="63">
        <v>5.73</v>
      </c>
      <c r="L59" s="63" t="e">
        <f>+#REF!-J59-I59-H59</f>
        <v>#REF!</v>
      </c>
      <c r="N59" s="63">
        <v>32.159999999999997</v>
      </c>
      <c r="O59" s="63">
        <v>32.159999999999997</v>
      </c>
      <c r="P59" s="63">
        <v>32.159999999999997</v>
      </c>
      <c r="Q59" s="63">
        <v>32.159999999999997</v>
      </c>
      <c r="R59" s="63">
        <v>32.159999999999997</v>
      </c>
      <c r="S59" s="63">
        <v>32.159999999999997</v>
      </c>
      <c r="T59" s="63"/>
      <c r="U59" s="63"/>
      <c r="W59" s="63">
        <v>32.159999999999997</v>
      </c>
      <c r="X59" s="63">
        <v>32.159999999999997</v>
      </c>
      <c r="Y59" s="63">
        <v>32.159999999999997</v>
      </c>
      <c r="Z59" s="63">
        <v>32.159999999999997</v>
      </c>
      <c r="AA59" s="63">
        <v>32.159999999999997</v>
      </c>
      <c r="AB59" s="63">
        <v>32.159999999999997</v>
      </c>
      <c r="AC59" s="63">
        <v>32.159999999999997</v>
      </c>
      <c r="AD59" s="63">
        <v>32.159999999999997</v>
      </c>
      <c r="AE59" s="63"/>
      <c r="AF59" s="63">
        <v>32.159999999999997</v>
      </c>
      <c r="AG59" s="63">
        <v>32.159999999999997</v>
      </c>
      <c r="AH59" s="63">
        <v>32.159999999999997</v>
      </c>
      <c r="AI59" s="63">
        <v>32.159999999999997</v>
      </c>
      <c r="AJ59" s="63">
        <v>32.159999999999997</v>
      </c>
      <c r="AK59" s="63">
        <v>32.159999999999997</v>
      </c>
      <c r="AN59" s="63">
        <v>32.159999999999997</v>
      </c>
      <c r="AO59" s="63">
        <v>32.159999999999997</v>
      </c>
      <c r="AQ59" s="63">
        <v>32.159999999999997</v>
      </c>
      <c r="AR59" s="63">
        <v>32.159999999999997</v>
      </c>
      <c r="AS59" s="63">
        <v>32.159999999999997</v>
      </c>
      <c r="AT59" s="63">
        <v>32.159999999999997</v>
      </c>
      <c r="AU59" s="63">
        <v>32.159999999999997</v>
      </c>
      <c r="AV59" s="63">
        <v>32.159999999999997</v>
      </c>
      <c r="AX59" s="63">
        <v>32.159999999999997</v>
      </c>
      <c r="AY59" s="63">
        <v>32.159999999999997</v>
      </c>
      <c r="AZ59" s="63">
        <v>32.159999999999997</v>
      </c>
      <c r="BA59" s="63">
        <v>32.159999999999997</v>
      </c>
      <c r="BC59" s="63">
        <v>32.159999999999997</v>
      </c>
      <c r="BD59" s="63">
        <v>32.159999999999997</v>
      </c>
      <c r="BE59" s="63">
        <v>32.159999999999997</v>
      </c>
      <c r="BF59" s="63">
        <v>32.159999999999997</v>
      </c>
      <c r="BG59" s="63"/>
      <c r="BH59" s="63">
        <v>32.159999999999997</v>
      </c>
      <c r="BI59" s="63">
        <v>32.159999999999997</v>
      </c>
      <c r="BJ59" s="63">
        <v>32.159999999999997</v>
      </c>
      <c r="BK59" s="63">
        <v>32.159999999999997</v>
      </c>
      <c r="BL59" s="60"/>
      <c r="BM59" s="63">
        <v>32.159999999999997</v>
      </c>
      <c r="BN59" s="63">
        <v>32.159999999999997</v>
      </c>
      <c r="BO59" s="63">
        <v>32.159999999999997</v>
      </c>
      <c r="BP59" s="63">
        <v>32.159999999999997</v>
      </c>
      <c r="BQ59" s="63">
        <v>32.159999999999997</v>
      </c>
      <c r="BR59" s="63">
        <v>32.159999999999997</v>
      </c>
      <c r="BS59" s="63">
        <v>32.159999999999997</v>
      </c>
      <c r="BT59" s="63">
        <v>32.159999999999997</v>
      </c>
      <c r="BU59" s="63"/>
      <c r="BV59" s="63">
        <v>32.159999999999997</v>
      </c>
      <c r="BW59" s="63">
        <v>32.159999999999997</v>
      </c>
      <c r="BX59" s="63">
        <v>32.159999999999997</v>
      </c>
      <c r="BY59" s="63"/>
      <c r="BZ59" s="63"/>
      <c r="CA59" s="63"/>
      <c r="CB59" s="63">
        <v>32.159999999999997</v>
      </c>
      <c r="CC59" s="60" t="e">
        <f>+BM59+BO59+BQ59-#REF!</f>
        <v>#REF!</v>
      </c>
      <c r="CD59" s="60" t="e">
        <f>+BH59+BI59-#REF!</f>
        <v>#REF!</v>
      </c>
    </row>
    <row r="60" spans="2:82" s="99" customFormat="1" ht="16.5" customHeight="1" x14ac:dyDescent="0.25">
      <c r="B60" s="79" t="s">
        <v>154</v>
      </c>
      <c r="C60" s="80">
        <f t="shared" ref="C60:U60" si="218">+C58/C10</f>
        <v>0.1278350470499722</v>
      </c>
      <c r="D60" s="80">
        <f t="shared" si="218"/>
        <v>0.22324543577931458</v>
      </c>
      <c r="E60" s="80">
        <f t="shared" si="218"/>
        <v>7.965341891509721E-2</v>
      </c>
      <c r="F60" s="80">
        <f t="shared" si="218"/>
        <v>-4.8955822877770769E-2</v>
      </c>
      <c r="G60" s="80" t="e">
        <f t="shared" si="218"/>
        <v>#DIV/0!</v>
      </c>
      <c r="H60" s="80">
        <f t="shared" si="218"/>
        <v>3.4758400218172725E-2</v>
      </c>
      <c r="I60" s="80">
        <f t="shared" si="218"/>
        <v>0.12438598097948995</v>
      </c>
      <c r="J60" s="80">
        <f t="shared" si="218"/>
        <v>5.8761215555640643E-2</v>
      </c>
      <c r="K60" s="80">
        <f t="shared" si="218"/>
        <v>2.0996537286456112E-3</v>
      </c>
      <c r="L60" s="80">
        <f t="shared" si="218"/>
        <v>3.3279705607799233E-3</v>
      </c>
      <c r="M60" s="80" t="e">
        <f t="shared" si="218"/>
        <v>#DIV/0!</v>
      </c>
      <c r="N60" s="80">
        <f t="shared" si="218"/>
        <v>5.6198600982758702E-2</v>
      </c>
      <c r="O60" s="80">
        <f t="shared" si="218"/>
        <v>5.331610030611298E-2</v>
      </c>
      <c r="P60" s="80">
        <f t="shared" si="218"/>
        <v>0.10632369744731479</v>
      </c>
      <c r="Q60" s="80">
        <f t="shared" si="218"/>
        <v>0.10894557286449681</v>
      </c>
      <c r="R60" s="80">
        <f t="shared" si="218"/>
        <v>8.6430008610344014E-2</v>
      </c>
      <c r="S60" s="80">
        <f t="shared" si="218"/>
        <v>9.646637884889156E-2</v>
      </c>
      <c r="T60" s="80">
        <f t="shared" si="218"/>
        <v>6.7511733472840507E-2</v>
      </c>
      <c r="U60" s="80">
        <f t="shared" si="218"/>
        <v>5.8964382001954911E-2</v>
      </c>
      <c r="W60" s="80">
        <f t="shared" ref="W60:AD60" si="219">+W58/W10</f>
        <v>4.3133342904818725E-2</v>
      </c>
      <c r="X60" s="80">
        <f t="shared" si="219"/>
        <v>4.3133342904818725E-2</v>
      </c>
      <c r="Y60" s="80">
        <f t="shared" si="219"/>
        <v>6.0431967054244543E-2</v>
      </c>
      <c r="Z60" s="80">
        <f t="shared" si="219"/>
        <v>6.0431406065355769E-2</v>
      </c>
      <c r="AA60" s="80">
        <f t="shared" si="219"/>
        <v>0.11106968398260519</v>
      </c>
      <c r="AB60" s="80">
        <f t="shared" si="219"/>
        <v>0.11107020317798075</v>
      </c>
      <c r="AC60" s="80">
        <f t="shared" si="219"/>
        <v>2.6417427826383344E-2</v>
      </c>
      <c r="AD60" s="80">
        <f t="shared" si="219"/>
        <v>2.6417970936717532E-2</v>
      </c>
      <c r="AE60" s="80"/>
      <c r="AF60" s="80">
        <f t="shared" ref="AF60:AK60" si="220">+AF58/AF10</f>
        <v>6.6775087855598436E-2</v>
      </c>
      <c r="AG60" s="80">
        <f t="shared" si="220"/>
        <v>6.6827148640609055E-2</v>
      </c>
      <c r="AH60" s="80">
        <f t="shared" si="220"/>
        <v>6.4347227482714098E-2</v>
      </c>
      <c r="AI60" s="80">
        <f t="shared" si="220"/>
        <v>6.4431019104718573E-2</v>
      </c>
      <c r="AJ60" s="80">
        <f t="shared" si="220"/>
        <v>0.11270278337724648</v>
      </c>
      <c r="AK60" s="80">
        <f t="shared" si="220"/>
        <v>0.11282151604849409</v>
      </c>
      <c r="AN60" s="80">
        <f>+AN58/AN10</f>
        <v>8.8114959119450706E-2</v>
      </c>
      <c r="AO60" s="80">
        <f>+AO58/AO10</f>
        <v>8.8308628985573123E-2</v>
      </c>
      <c r="AQ60" s="80">
        <f t="shared" ref="AQ60:AV60" si="221">+AQ58/AQ10</f>
        <v>6.0000816915306308E-2</v>
      </c>
      <c r="AR60" s="80">
        <f t="shared" si="221"/>
        <v>6.0104379547896797E-2</v>
      </c>
      <c r="AS60" s="80">
        <f t="shared" si="221"/>
        <v>5.6853062478403424E-2</v>
      </c>
      <c r="AT60" s="80">
        <f t="shared" si="221"/>
        <v>5.6059560793043917E-2</v>
      </c>
      <c r="AU60" s="80">
        <f t="shared" si="221"/>
        <v>9.8813681844379747E-2</v>
      </c>
      <c r="AV60" s="80">
        <f t="shared" si="221"/>
        <v>7.5315595497771518E-2</v>
      </c>
      <c r="AX60" s="80">
        <f>+AX58/AX10</f>
        <v>7.2944110015482127E-3</v>
      </c>
      <c r="AY60" s="80">
        <f>+AY58/AY10</f>
        <v>1.8481324402760468E-2</v>
      </c>
      <c r="AZ60" s="80">
        <f>+AZ58/AZ10</f>
        <v>2.2538632484473742E-2</v>
      </c>
      <c r="BA60" s="80">
        <f>+BA58/BA10</f>
        <v>-3.3825081122864048E-3</v>
      </c>
      <c r="BC60" s="80">
        <f>+BC58/BC10</f>
        <v>5.1054724145154558E-2</v>
      </c>
      <c r="BD60" s="80">
        <f>+BD58/BD10</f>
        <v>9.7455833969101666E-2</v>
      </c>
      <c r="BE60" s="80">
        <f>+BE58/BE10</f>
        <v>9.1039907275450957E-2</v>
      </c>
      <c r="BF60" s="80">
        <f>+BF58/BF10</f>
        <v>5.6011795945301673E-2</v>
      </c>
      <c r="BG60" s="80"/>
      <c r="BH60" s="80">
        <f>+BH58/BH10</f>
        <v>6.825899434012607E-2</v>
      </c>
      <c r="BI60" s="80">
        <f>+BI58/BI10</f>
        <v>6.970376337149202E-2</v>
      </c>
      <c r="BJ60" s="80">
        <f>+BJ58/BJ10</f>
        <v>6.4096542013865276E-2</v>
      </c>
      <c r="BK60" s="80">
        <f>+BK58/BK10</f>
        <v>6.7626873670250762E-2</v>
      </c>
      <c r="BL60" s="60"/>
      <c r="BM60" s="80">
        <f t="shared" ref="BM60:BS60" si="222">+BM58/BM10</f>
        <v>9.9244495511934663E-2</v>
      </c>
      <c r="BN60" s="80">
        <f t="shared" si="222"/>
        <v>0.15144588787824617</v>
      </c>
      <c r="BO60" s="80">
        <f t="shared" si="222"/>
        <v>7.1702702977522514E-2</v>
      </c>
      <c r="BP60" s="80">
        <f t="shared" si="222"/>
        <v>0.1036836113103636</v>
      </c>
      <c r="BQ60" s="80">
        <f t="shared" si="222"/>
        <v>7.5834494654482276E-2</v>
      </c>
      <c r="BR60" s="80">
        <f t="shared" ref="BR60" si="223">+BR58/BR10</f>
        <v>0.11949812783544859</v>
      </c>
      <c r="BS60" s="80">
        <f t="shared" si="222"/>
        <v>1.1428033753758378E-2</v>
      </c>
      <c r="BT60" s="80">
        <f t="shared" ref="BT60" si="224">+BT58/BT10</f>
        <v>1.6302478496352611E-2</v>
      </c>
      <c r="BU60" s="80"/>
      <c r="BV60" s="80">
        <f>+BV58/BV10</f>
        <v>1.4343007567902013</v>
      </c>
      <c r="BW60" s="80">
        <f>+BW58/BW10</f>
        <v>2.3949174505133541</v>
      </c>
      <c r="BX60" s="80">
        <f>+BX58/BX10</f>
        <v>9.136933226366406E-2</v>
      </c>
      <c r="BY60" s="80">
        <f>+BY58/BY10</f>
        <v>0.14910140332189703</v>
      </c>
      <c r="BZ60" s="80">
        <f>+BZ58/BZ10</f>
        <v>8.4782836098753048E-2</v>
      </c>
      <c r="CA60" s="80"/>
      <c r="CB60" s="80">
        <f>+CB58/CB10</f>
        <v>0.76939295498064331</v>
      </c>
      <c r="CC60" s="60"/>
      <c r="CD60" s="60"/>
    </row>
    <row r="61" spans="2:82" ht="6" customHeight="1" x14ac:dyDescent="0.25">
      <c r="B61" s="100"/>
      <c r="C61" s="101"/>
      <c r="D61" s="102"/>
      <c r="E61" s="102"/>
      <c r="F61" s="102"/>
      <c r="G61" s="55"/>
      <c r="H61" s="102"/>
      <c r="I61" s="102"/>
      <c r="J61" s="102"/>
      <c r="K61" s="102"/>
      <c r="L61" s="102"/>
      <c r="N61" s="102"/>
      <c r="O61" s="102"/>
      <c r="P61" s="102"/>
      <c r="Q61" s="102"/>
      <c r="R61" s="102"/>
      <c r="S61" s="102"/>
      <c r="T61" s="102"/>
      <c r="U61" s="102"/>
      <c r="W61" s="102"/>
      <c r="X61" s="102"/>
      <c r="Y61" s="102"/>
      <c r="Z61" s="102"/>
      <c r="AA61" s="102"/>
      <c r="AB61" s="102"/>
      <c r="AC61" s="102"/>
      <c r="AD61" s="102"/>
      <c r="AE61" s="102"/>
      <c r="AF61" s="102"/>
      <c r="AG61" s="102"/>
      <c r="AH61" s="102"/>
      <c r="AI61" s="102"/>
      <c r="AJ61" s="102"/>
      <c r="AK61" s="102"/>
      <c r="AN61" s="102"/>
      <c r="AO61" s="102"/>
      <c r="AQ61" s="102"/>
      <c r="AR61" s="102"/>
      <c r="AS61" s="102"/>
      <c r="AT61" s="102"/>
      <c r="AU61" s="102"/>
      <c r="AV61" s="102"/>
      <c r="AX61" s="102"/>
      <c r="AY61" s="102"/>
      <c r="AZ61" s="102"/>
      <c r="BA61" s="102"/>
      <c r="BC61" s="102"/>
      <c r="BD61" s="102"/>
      <c r="BE61" s="102"/>
      <c r="BF61" s="102"/>
      <c r="BG61" s="102"/>
      <c r="BH61" s="102"/>
      <c r="BI61" s="102"/>
      <c r="BJ61" s="102"/>
      <c r="BK61" s="102"/>
      <c r="BL61" s="60"/>
      <c r="BM61" s="102"/>
      <c r="BN61" s="102"/>
      <c r="BO61" s="102"/>
      <c r="BP61" s="102"/>
      <c r="BQ61" s="102"/>
      <c r="BR61" s="102"/>
      <c r="BS61" s="102"/>
      <c r="BT61" s="102"/>
      <c r="BU61" s="102"/>
      <c r="BV61" s="102"/>
      <c r="BW61" s="102"/>
      <c r="BX61" s="102"/>
      <c r="BY61" s="102"/>
      <c r="BZ61" s="102"/>
      <c r="CA61" s="102"/>
      <c r="CB61" s="102"/>
      <c r="CC61" s="60"/>
      <c r="CD61" s="60"/>
    </row>
    <row r="62" spans="2:82" ht="16.5" customHeight="1" x14ac:dyDescent="0.25">
      <c r="B62" s="56" t="s">
        <v>155</v>
      </c>
      <c r="C62" s="69"/>
      <c r="D62" s="103"/>
      <c r="E62" s="103"/>
      <c r="F62" s="103"/>
      <c r="G62" s="55"/>
      <c r="H62" s="103"/>
      <c r="I62" s="103"/>
      <c r="J62" s="103"/>
      <c r="K62" s="103"/>
      <c r="L62" s="103"/>
      <c r="N62" s="103"/>
      <c r="O62" s="103"/>
      <c r="P62" s="103"/>
      <c r="Q62" s="103"/>
      <c r="R62" s="103"/>
      <c r="S62" s="103"/>
      <c r="T62" s="103"/>
      <c r="U62" s="103"/>
      <c r="W62" s="103"/>
      <c r="X62" s="103"/>
      <c r="Y62" s="103"/>
      <c r="Z62" s="103"/>
      <c r="AA62" s="103"/>
      <c r="AB62" s="103"/>
      <c r="AC62" s="103"/>
      <c r="AD62" s="103"/>
      <c r="AE62" s="103"/>
      <c r="AF62" s="103"/>
      <c r="AG62" s="103"/>
      <c r="AH62" s="103"/>
      <c r="AI62" s="103"/>
      <c r="AJ62" s="103"/>
      <c r="AK62" s="103"/>
      <c r="AN62" s="103"/>
      <c r="AO62" s="103"/>
      <c r="AQ62" s="103"/>
      <c r="AR62" s="103"/>
      <c r="AS62" s="103"/>
      <c r="AT62" s="103"/>
      <c r="AU62" s="103"/>
      <c r="AV62" s="103"/>
      <c r="AX62" s="103"/>
      <c r="AY62" s="103"/>
      <c r="AZ62" s="103"/>
      <c r="BA62" s="103"/>
      <c r="BC62" s="103"/>
      <c r="BD62" s="103"/>
      <c r="BE62" s="103"/>
      <c r="BF62" s="103"/>
      <c r="BG62" s="103"/>
      <c r="BH62" s="103"/>
      <c r="BI62" s="103"/>
      <c r="BJ62" s="103"/>
      <c r="BK62" s="103"/>
      <c r="BL62" s="60"/>
      <c r="BM62" s="103"/>
      <c r="BN62" s="103"/>
      <c r="BO62" s="103"/>
      <c r="BP62" s="103"/>
      <c r="BQ62" s="103"/>
      <c r="BR62" s="103"/>
      <c r="BS62" s="103"/>
      <c r="BT62" s="103"/>
      <c r="BU62" s="103"/>
      <c r="BV62" s="103"/>
      <c r="BW62" s="103"/>
      <c r="BX62" s="103"/>
      <c r="BY62" s="103"/>
      <c r="BZ62" s="103"/>
      <c r="CA62" s="103"/>
      <c r="CB62" s="103"/>
      <c r="CC62" s="60"/>
      <c r="CD62" s="60"/>
    </row>
    <row r="63" spans="2:82" ht="16.5" customHeight="1" x14ac:dyDescent="0.25">
      <c r="B63" s="92" t="s">
        <v>65</v>
      </c>
      <c r="C63" s="68">
        <v>134785</v>
      </c>
      <c r="D63" s="22">
        <v>153256</v>
      </c>
      <c r="E63" s="22">
        <f>72638-1</f>
        <v>72637</v>
      </c>
      <c r="F63" s="22">
        <v>48626</v>
      </c>
      <c r="G63" s="55"/>
      <c r="H63" s="22">
        <v>40116</v>
      </c>
      <c r="I63" s="22">
        <f>112642+1</f>
        <v>112643</v>
      </c>
      <c r="J63" s="22">
        <v>105978</v>
      </c>
      <c r="K63" s="22">
        <v>83418</v>
      </c>
      <c r="L63" s="22">
        <v>62752</v>
      </c>
      <c r="N63" s="22">
        <v>116044</v>
      </c>
      <c r="O63" s="22">
        <v>109607</v>
      </c>
      <c r="P63" s="22">
        <v>220642</v>
      </c>
      <c r="Q63" s="22">
        <f>222491</f>
        <v>222491</v>
      </c>
      <c r="R63" s="22">
        <v>153839</v>
      </c>
      <c r="S63" s="22">
        <v>170606</v>
      </c>
      <c r="T63" s="22">
        <v>52011</v>
      </c>
      <c r="U63" s="22">
        <v>39832</v>
      </c>
      <c r="W63" s="22">
        <v>24127</v>
      </c>
      <c r="X63" s="22">
        <v>24127</v>
      </c>
      <c r="Y63" s="22">
        <v>109632</v>
      </c>
      <c r="Z63" s="22">
        <v>109632</v>
      </c>
      <c r="AA63" s="22">
        <f>111719-1</f>
        <v>111718</v>
      </c>
      <c r="AB63" s="22">
        <f>111719-1</f>
        <v>111718</v>
      </c>
      <c r="AC63" s="22">
        <v>50447</v>
      </c>
      <c r="AD63" s="22">
        <v>50447</v>
      </c>
      <c r="AE63" s="22"/>
      <c r="AF63" s="22">
        <v>111597</v>
      </c>
      <c r="AG63" s="22">
        <v>111597</v>
      </c>
      <c r="AH63" s="22">
        <v>113642</v>
      </c>
      <c r="AI63" s="22">
        <v>113642</v>
      </c>
      <c r="AJ63" s="22">
        <v>144321</v>
      </c>
      <c r="AK63" s="22">
        <v>144321</v>
      </c>
      <c r="AN63" s="22">
        <f>153229+1+1</f>
        <v>153231</v>
      </c>
      <c r="AO63" s="22">
        <f>153229+1+1</f>
        <v>153231</v>
      </c>
      <c r="AQ63" s="22">
        <f>79049-1</f>
        <v>79048</v>
      </c>
      <c r="AR63" s="22">
        <f>79049</f>
        <v>79049</v>
      </c>
      <c r="AS63" s="22">
        <f>98904-1</f>
        <v>98903</v>
      </c>
      <c r="AT63" s="22">
        <f>98904-1-1</f>
        <v>98902</v>
      </c>
      <c r="AU63" s="22">
        <f>215165+1</f>
        <v>215166</v>
      </c>
      <c r="AV63" s="22">
        <v>173455</v>
      </c>
      <c r="AX63" s="22">
        <v>58564</v>
      </c>
      <c r="AY63" s="22">
        <f>52227+1</f>
        <v>52228</v>
      </c>
      <c r="AZ63" s="22">
        <f>70975-1</f>
        <v>70974</v>
      </c>
      <c r="BA63" s="22">
        <v>72192</v>
      </c>
      <c r="BC63" s="22">
        <v>116699</v>
      </c>
      <c r="BD63" s="22">
        <f>180927-1</f>
        <v>180926</v>
      </c>
      <c r="BE63" s="22">
        <f>163287+1</f>
        <v>163288</v>
      </c>
      <c r="BF63" s="22">
        <v>155321</v>
      </c>
      <c r="BG63" s="22"/>
      <c r="BH63" s="22">
        <v>153519</v>
      </c>
      <c r="BI63" s="22">
        <v>181686</v>
      </c>
      <c r="BJ63" s="22">
        <v>134154</v>
      </c>
      <c r="BK63" s="22">
        <f>89557+1</f>
        <v>89558</v>
      </c>
      <c r="BL63" s="60"/>
      <c r="BM63" s="22">
        <v>164192</v>
      </c>
      <c r="BN63" s="22">
        <v>164192</v>
      </c>
      <c r="BO63" s="22">
        <f>145813-1</f>
        <v>145812</v>
      </c>
      <c r="BP63" s="22">
        <f>145813</f>
        <v>145813</v>
      </c>
      <c r="BQ63" s="22">
        <f>177595+1</f>
        <v>177596</v>
      </c>
      <c r="BR63" s="22">
        <f>177595</f>
        <v>177595</v>
      </c>
      <c r="BS63" s="22">
        <v>56895</v>
      </c>
      <c r="BT63" s="22">
        <v>56895</v>
      </c>
      <c r="BU63" s="22"/>
      <c r="BV63" s="22">
        <v>2718674</v>
      </c>
      <c r="BW63" s="22">
        <v>2718674</v>
      </c>
      <c r="BX63" s="22">
        <f>147708-1</f>
        <v>147707</v>
      </c>
      <c r="BY63" s="22">
        <f>161937+1</f>
        <v>161938</v>
      </c>
      <c r="BZ63" s="22">
        <f>74062-1</f>
        <v>74061</v>
      </c>
      <c r="CA63" s="22"/>
      <c r="CB63" s="22">
        <v>1047849</v>
      </c>
      <c r="CC63" s="60" t="e">
        <f>+CB63-#REF!</f>
        <v>#REF!</v>
      </c>
      <c r="CD63" s="60" t="e">
        <f>+BW63-#REF!</f>
        <v>#REF!</v>
      </c>
    </row>
    <row r="64" spans="2:82" ht="17.25" customHeight="1" x14ac:dyDescent="0.25">
      <c r="B64" s="104" t="s">
        <v>156</v>
      </c>
      <c r="C64" s="105">
        <f>+C58-C63</f>
        <v>158312</v>
      </c>
      <c r="D64" s="105">
        <f>+D58-D63</f>
        <v>414937.79061002983</v>
      </c>
      <c r="E64" s="105">
        <f>+E58-E63</f>
        <v>105368</v>
      </c>
      <c r="F64" s="105">
        <f>+F58-F63</f>
        <v>-157485</v>
      </c>
      <c r="G64" s="58"/>
      <c r="H64" s="105">
        <f>+H58-H63</f>
        <v>51650</v>
      </c>
      <c r="I64" s="105">
        <f t="shared" ref="I64:L64" si="225">+I58-I63</f>
        <v>241841</v>
      </c>
      <c r="J64" s="105">
        <f t="shared" si="225"/>
        <v>82786</v>
      </c>
      <c r="K64" s="105">
        <f t="shared" si="225"/>
        <v>-75277</v>
      </c>
      <c r="L64" s="105">
        <f t="shared" si="225"/>
        <v>-49447</v>
      </c>
      <c r="N64" s="105">
        <f t="shared" ref="N64:U64" si="226">+N58-N63</f>
        <v>111905</v>
      </c>
      <c r="O64" s="105">
        <f t="shared" si="226"/>
        <v>105930</v>
      </c>
      <c r="P64" s="105">
        <f t="shared" si="226"/>
        <v>140395</v>
      </c>
      <c r="Q64" s="105">
        <f t="shared" si="226"/>
        <v>146222</v>
      </c>
      <c r="R64" s="105">
        <f t="shared" si="226"/>
        <v>136759</v>
      </c>
      <c r="S64" s="105">
        <f t="shared" si="226"/>
        <v>157565</v>
      </c>
      <c r="T64" s="105">
        <f t="shared" si="226"/>
        <v>200407</v>
      </c>
      <c r="U64" s="105">
        <f t="shared" si="226"/>
        <v>179749</v>
      </c>
      <c r="W64" s="105">
        <f t="shared" ref="W64:AD64" si="227">+W58-W63</f>
        <v>120680</v>
      </c>
      <c r="X64" s="105">
        <f t="shared" si="227"/>
        <v>120680</v>
      </c>
      <c r="Y64" s="105">
        <f t="shared" si="227"/>
        <v>105816</v>
      </c>
      <c r="Z64" s="105">
        <f t="shared" si="227"/>
        <v>105814</v>
      </c>
      <c r="AA64" s="105">
        <f t="shared" si="227"/>
        <v>339896</v>
      </c>
      <c r="AB64" s="105">
        <f t="shared" si="227"/>
        <v>339898</v>
      </c>
      <c r="AC64" s="105">
        <f t="shared" si="227"/>
        <v>44265</v>
      </c>
      <c r="AD64" s="105">
        <f t="shared" si="227"/>
        <v>44267</v>
      </c>
      <c r="AE64" s="106"/>
      <c r="AF64" s="105">
        <f t="shared" ref="AF64:AK64" si="228">+AF58-AF63</f>
        <v>109465</v>
      </c>
      <c r="AG64" s="105">
        <f t="shared" si="228"/>
        <v>109464</v>
      </c>
      <c r="AH64" s="105">
        <f t="shared" si="228"/>
        <v>119109</v>
      </c>
      <c r="AI64" s="105">
        <f t="shared" si="228"/>
        <v>119109</v>
      </c>
      <c r="AJ64" s="105">
        <f t="shared" si="228"/>
        <v>265719</v>
      </c>
      <c r="AK64" s="105">
        <f t="shared" si="228"/>
        <v>265720</v>
      </c>
      <c r="AN64" s="105">
        <f t="shared" ref="AN64:AO64" si="229">+AN58-AN63</f>
        <v>177034</v>
      </c>
      <c r="AO64" s="105">
        <f t="shared" si="229"/>
        <v>177034</v>
      </c>
      <c r="AQ64" s="105">
        <f t="shared" ref="AQ64:AV64" si="230">+AQ58-AQ63</f>
        <v>144234</v>
      </c>
      <c r="AR64" s="105">
        <f t="shared" si="230"/>
        <v>144233</v>
      </c>
      <c r="AS64" s="105">
        <f t="shared" si="230"/>
        <v>120582</v>
      </c>
      <c r="AT64" s="105">
        <f t="shared" si="230"/>
        <v>120582</v>
      </c>
      <c r="AU64" s="105">
        <f t="shared" si="230"/>
        <v>301401</v>
      </c>
      <c r="AV64" s="105">
        <f t="shared" si="230"/>
        <v>123349</v>
      </c>
      <c r="AX64" s="105">
        <f t="shared" ref="AX64:BA64" si="231">+AX58-AX63</f>
        <v>-32189</v>
      </c>
      <c r="AY64" s="105">
        <f t="shared" si="231"/>
        <v>9607</v>
      </c>
      <c r="AZ64" s="105">
        <f t="shared" si="231"/>
        <v>6856</v>
      </c>
      <c r="BA64" s="105">
        <f t="shared" si="231"/>
        <v>-84287</v>
      </c>
      <c r="BC64" s="105">
        <f t="shared" ref="BC64:BF64" si="232">+BC58-BC63</f>
        <v>73889</v>
      </c>
      <c r="BD64" s="105">
        <f t="shared" si="232"/>
        <v>211492</v>
      </c>
      <c r="BE64" s="105">
        <f t="shared" si="232"/>
        <v>211379</v>
      </c>
      <c r="BF64" s="105">
        <f t="shared" si="232"/>
        <v>93039</v>
      </c>
      <c r="BG64" s="106"/>
      <c r="BH64" s="105">
        <f t="shared" ref="BH64:BJ64" si="233">+BH58-BH63</f>
        <v>161408</v>
      </c>
      <c r="BI64" s="105">
        <f t="shared" si="233"/>
        <v>229433</v>
      </c>
      <c r="BJ64" s="105">
        <f t="shared" si="233"/>
        <v>191976</v>
      </c>
      <c r="BK64" s="105">
        <f t="shared" ref="BK64:BM64" si="234">+BK58-BK63</f>
        <v>298607</v>
      </c>
      <c r="BL64" s="60"/>
      <c r="BM64" s="105">
        <f t="shared" si="234"/>
        <v>405958</v>
      </c>
      <c r="BN64" s="105">
        <f t="shared" ref="BN64" si="235">+BN58-BN63</f>
        <v>405958</v>
      </c>
      <c r="BO64" s="105">
        <f t="shared" ref="BO64:BQ64" si="236">+BO58-BO63</f>
        <v>312540</v>
      </c>
      <c r="BP64" s="105">
        <f t="shared" ref="BP64" si="237">+BP58-BP63</f>
        <v>312540</v>
      </c>
      <c r="BQ64" s="105">
        <f t="shared" si="236"/>
        <v>189772</v>
      </c>
      <c r="BR64" s="105">
        <f t="shared" ref="BR64" si="238">+BR58-BR63</f>
        <v>189772</v>
      </c>
      <c r="BS64" s="105">
        <f t="shared" ref="BS64:BT64" si="239">+BS58-BS63</f>
        <v>7233</v>
      </c>
      <c r="BT64" s="105">
        <f t="shared" si="239"/>
        <v>7233</v>
      </c>
      <c r="BU64" s="106"/>
      <c r="BV64" s="105">
        <f t="shared" ref="BV64:BY64" si="240">+BV58-BV63</f>
        <v>3790725</v>
      </c>
      <c r="BW64" s="105">
        <f t="shared" ref="BW64" si="241">+BW58-BW63</f>
        <v>3790726</v>
      </c>
      <c r="BX64" s="105">
        <f t="shared" si="240"/>
        <v>188955</v>
      </c>
      <c r="BY64" s="105">
        <f t="shared" si="240"/>
        <v>331620</v>
      </c>
      <c r="BZ64" s="105">
        <f t="shared" ref="BZ64" si="242">+BZ58-BZ63</f>
        <v>233119</v>
      </c>
      <c r="CA64" s="106"/>
      <c r="CB64" s="105">
        <f t="shared" ref="CB64" si="243">+CB58-CB63</f>
        <v>1185798</v>
      </c>
      <c r="CC64" s="60" t="e">
        <f>+CB64-#REF!</f>
        <v>#REF!</v>
      </c>
      <c r="CD64" s="60" t="e">
        <f>+BW64-#REF!</f>
        <v>#REF!</v>
      </c>
    </row>
    <row r="65" spans="2:80" ht="17.25" hidden="1" customHeight="1" x14ac:dyDescent="0.25">
      <c r="B65" s="107" t="s">
        <v>35</v>
      </c>
      <c r="C65" s="62">
        <v>78.400000000000006</v>
      </c>
      <c r="D65" s="62">
        <v>221.01</v>
      </c>
      <c r="E65" s="62">
        <v>53.6</v>
      </c>
      <c r="F65" s="62">
        <v>-41.9</v>
      </c>
      <c r="G65" s="58"/>
      <c r="H65" s="62">
        <v>17.36</v>
      </c>
      <c r="I65" s="62">
        <v>95.76</v>
      </c>
      <c r="J65" s="62">
        <v>27.22</v>
      </c>
      <c r="K65" s="62">
        <v>-22.77</v>
      </c>
      <c r="L65" s="62" t="e">
        <f>+#REF!-J65-I65-H65</f>
        <v>#REF!</v>
      </c>
      <c r="M65" s="60"/>
      <c r="N65" s="62">
        <v>17.36</v>
      </c>
      <c r="O65" s="62">
        <v>17.36</v>
      </c>
      <c r="P65" s="62">
        <v>17.36</v>
      </c>
      <c r="Q65" s="62">
        <v>17.36</v>
      </c>
      <c r="R65" s="62">
        <v>17.36</v>
      </c>
      <c r="S65" s="62">
        <v>17.36</v>
      </c>
      <c r="T65" s="62"/>
      <c r="U65" s="62"/>
      <c r="W65" s="62">
        <v>17.36</v>
      </c>
      <c r="X65" s="62">
        <v>17.36</v>
      </c>
      <c r="Y65" s="62">
        <v>17.36</v>
      </c>
      <c r="Z65" s="62">
        <v>17.36</v>
      </c>
      <c r="AA65" s="62">
        <v>17.36</v>
      </c>
      <c r="AB65" s="62">
        <v>17.36</v>
      </c>
      <c r="AC65" s="62">
        <v>17.36</v>
      </c>
      <c r="AD65" s="62">
        <v>17.36</v>
      </c>
      <c r="AE65" s="63"/>
      <c r="AF65" s="62">
        <v>17.36</v>
      </c>
      <c r="AG65" s="62">
        <v>17.36</v>
      </c>
      <c r="AH65" s="62">
        <v>17.36</v>
      </c>
      <c r="AI65" s="62">
        <v>17.36</v>
      </c>
      <c r="AJ65" s="62">
        <v>17.36</v>
      </c>
      <c r="AK65" s="62">
        <v>17.36</v>
      </c>
      <c r="AN65" s="62">
        <v>17.36</v>
      </c>
      <c r="AO65" s="62">
        <v>17.36</v>
      </c>
      <c r="AQ65" s="62">
        <v>17.36</v>
      </c>
      <c r="AR65" s="62">
        <v>17.36</v>
      </c>
      <c r="AS65" s="62">
        <v>17.36</v>
      </c>
      <c r="AT65" s="62">
        <v>17.36</v>
      </c>
      <c r="AU65" s="62">
        <v>17.36</v>
      </c>
      <c r="AV65" s="62">
        <v>17.36</v>
      </c>
      <c r="AX65" s="62">
        <v>17.36</v>
      </c>
      <c r="AY65" s="62">
        <v>17.36</v>
      </c>
      <c r="AZ65" s="62">
        <v>17.36</v>
      </c>
      <c r="BA65" s="62">
        <v>17.36</v>
      </c>
      <c r="BC65" s="62">
        <v>17.36</v>
      </c>
      <c r="BD65" s="62">
        <v>17.36</v>
      </c>
      <c r="BE65" s="62">
        <v>17.36</v>
      </c>
      <c r="BF65" s="62">
        <v>17.36</v>
      </c>
      <c r="BG65" s="63"/>
      <c r="BH65" s="62">
        <v>17.36</v>
      </c>
      <c r="BI65" s="62"/>
      <c r="BJ65" s="62"/>
      <c r="BK65" s="62"/>
      <c r="BM65" s="62"/>
      <c r="BN65" s="62"/>
      <c r="BO65" s="62"/>
      <c r="BP65" s="62"/>
      <c r="BQ65" s="62"/>
      <c r="BR65" s="62"/>
      <c r="BS65" s="62"/>
      <c r="BT65" s="62"/>
      <c r="BU65" s="63"/>
      <c r="BV65" s="62"/>
      <c r="BW65" s="62"/>
      <c r="BX65" s="62"/>
      <c r="BY65" s="62"/>
      <c r="BZ65" s="62"/>
      <c r="CA65" s="63"/>
      <c r="CB65" s="62"/>
    </row>
    <row r="66" spans="2:80" s="99" customFormat="1" ht="16.5" customHeight="1" x14ac:dyDescent="0.25">
      <c r="B66" s="108" t="s">
        <v>157</v>
      </c>
      <c r="C66" s="90">
        <f>+C64/C$10</f>
        <v>6.9048205776842467E-2</v>
      </c>
      <c r="D66" s="90">
        <f>+D64/D$10</f>
        <v>0.1630305881846906</v>
      </c>
      <c r="E66" s="90">
        <f>+E64/E$10</f>
        <v>4.7149919632852803E-2</v>
      </c>
      <c r="F66" s="90">
        <f>+F64/F$10</f>
        <v>-7.0823797443534564E-2</v>
      </c>
      <c r="G66" s="91"/>
      <c r="H66" s="90">
        <f>+H64/H$10</f>
        <v>1.9563578790277678E-2</v>
      </c>
      <c r="I66" s="90">
        <f>+I64/I$10</f>
        <v>8.4860332274688921E-2</v>
      </c>
      <c r="J66" s="90">
        <f>+J64/J$10</f>
        <v>2.5770835492939681E-2</v>
      </c>
      <c r="K66" s="90">
        <f>+K64/K$10</f>
        <v>-1.9414768914292554E-2</v>
      </c>
      <c r="L66" s="90">
        <f>+L64/L$10</f>
        <v>-1.2368144330618929E-2</v>
      </c>
      <c r="N66" s="90">
        <f t="shared" ref="N66:U66" si="244">+N64/N$10</f>
        <v>2.7589085466378938E-2</v>
      </c>
      <c r="O66" s="90">
        <f t="shared" si="244"/>
        <v>2.6203271389258216E-2</v>
      </c>
      <c r="P66" s="90">
        <f t="shared" si="244"/>
        <v>4.1345666796244594E-2</v>
      </c>
      <c r="Q66" s="90">
        <f t="shared" si="244"/>
        <v>4.3204984785978395E-2</v>
      </c>
      <c r="R66" s="90">
        <f t="shared" si="244"/>
        <v>4.0675027176863006E-2</v>
      </c>
      <c r="S66" s="90">
        <f t="shared" si="244"/>
        <v>4.6316478248613062E-2</v>
      </c>
      <c r="T66" s="90">
        <f t="shared" si="244"/>
        <v>5.3600868282339398E-2</v>
      </c>
      <c r="U66" s="90">
        <f t="shared" si="244"/>
        <v>4.8268241334493388E-2</v>
      </c>
      <c r="W66" s="90">
        <f t="shared" ref="W66:AD66" si="245">+W64/W$10</f>
        <v>3.5946686429202485E-2</v>
      </c>
      <c r="X66" s="90">
        <f t="shared" si="245"/>
        <v>3.5946686429202485E-2</v>
      </c>
      <c r="Y66" s="90">
        <f t="shared" si="245"/>
        <v>2.9680800127232281E-2</v>
      </c>
      <c r="Z66" s="90">
        <f t="shared" si="245"/>
        <v>2.9680239138343507E-2</v>
      </c>
      <c r="AA66" s="90">
        <f t="shared" si="245"/>
        <v>8.3593824166105515E-2</v>
      </c>
      <c r="AB66" s="90">
        <f t="shared" si="245"/>
        <v>8.3594336604082442E-2</v>
      </c>
      <c r="AC66" s="90">
        <f t="shared" si="245"/>
        <v>1.234656054918974E-2</v>
      </c>
      <c r="AD66" s="90">
        <f t="shared" si="245"/>
        <v>1.2347111508918164E-2</v>
      </c>
      <c r="AE66" s="80"/>
      <c r="AF66" s="90">
        <f t="shared" ref="AF66:AK66" si="246">+AF64/AF$10</f>
        <v>3.30655426627511E-2</v>
      </c>
      <c r="AG66" s="90">
        <f t="shared" si="246"/>
        <v>3.3091169400281506E-2</v>
      </c>
      <c r="AH66" s="90">
        <f t="shared" si="246"/>
        <v>3.2929327557082867E-2</v>
      </c>
      <c r="AI66" s="90">
        <f t="shared" si="246"/>
        <v>3.2972207442906472E-2</v>
      </c>
      <c r="AJ66" s="90">
        <f t="shared" si="246"/>
        <v>7.303499877138464E-2</v>
      </c>
      <c r="AK66" s="90">
        <f t="shared" si="246"/>
        <v>7.3112038172782362E-2</v>
      </c>
      <c r="AN66" s="90">
        <f t="shared" ref="AN66:AO66" si="247">+AN64/AN$10</f>
        <v>4.7232809025336733E-2</v>
      </c>
      <c r="AO66" s="90">
        <f t="shared" si="247"/>
        <v>4.7336623087011802E-2</v>
      </c>
      <c r="AQ66" s="90">
        <f t="shared" ref="AQ66:AV66" si="248">+AQ64/AQ$10</f>
        <v>3.8758869174238361E-2</v>
      </c>
      <c r="AR66" s="90">
        <f t="shared" si="248"/>
        <v>3.8825498586235338E-2</v>
      </c>
      <c r="AS66" s="90">
        <f t="shared" si="248"/>
        <v>3.1234280154775234E-2</v>
      </c>
      <c r="AT66" s="90">
        <f t="shared" si="248"/>
        <v>3.0798481709586219E-2</v>
      </c>
      <c r="AU66" s="90">
        <f t="shared" si="248"/>
        <v>5.7654752474660398E-2</v>
      </c>
      <c r="AV66" s="90">
        <f t="shared" si="248"/>
        <v>3.1300465590270408E-2</v>
      </c>
      <c r="AX66" s="90">
        <f t="shared" ref="AX66:BA66" si="249">+AX64/AX$10</f>
        <v>-8.9023619233681676E-3</v>
      </c>
      <c r="AY66" s="90">
        <f t="shared" si="249"/>
        <v>2.8713525274896064E-3</v>
      </c>
      <c r="AZ66" s="90">
        <f t="shared" si="249"/>
        <v>1.985415190974585E-3</v>
      </c>
      <c r="BA66" s="90">
        <f t="shared" si="249"/>
        <v>-2.3571844668068144E-2</v>
      </c>
      <c r="BC66" s="90">
        <f t="shared" ref="BC66:BF66" si="250">+BC64/BC$10</f>
        <v>1.9793389470277905E-2</v>
      </c>
      <c r="BD66" s="90">
        <f t="shared" si="250"/>
        <v>5.2523404221501688E-2</v>
      </c>
      <c r="BE66" s="90">
        <f t="shared" si="250"/>
        <v>5.1362742275080399E-2</v>
      </c>
      <c r="BF66" s="90">
        <f t="shared" si="250"/>
        <v>2.0982772922189249E-2</v>
      </c>
      <c r="BG66" s="80"/>
      <c r="BH66" s="90">
        <f t="shared" ref="BH66:BJ66" si="251">+BH64/BH$10</f>
        <v>3.4984449597687935E-2</v>
      </c>
      <c r="BI66" s="90">
        <f t="shared" si="251"/>
        <v>3.8899548650418808E-2</v>
      </c>
      <c r="BJ66" s="90">
        <f t="shared" si="251"/>
        <v>3.7730346026596147E-2</v>
      </c>
      <c r="BK66" s="90">
        <f t="shared" ref="BK66:BM66" si="252">+BK64/BK$10</f>
        <v>5.2023901861457292E-2</v>
      </c>
      <c r="BM66" s="90">
        <f t="shared" si="252"/>
        <v>7.0664030358737126E-2</v>
      </c>
      <c r="BN66" s="90">
        <f t="shared" ref="BN66" si="253">+BN64/BN$10</f>
        <v>0.10783244716526713</v>
      </c>
      <c r="BO66" s="90">
        <f t="shared" ref="BO66:BQ66" si="254">+BO64/BO$10</f>
        <v>4.8892473008942658E-2</v>
      </c>
      <c r="BP66" s="90">
        <f t="shared" ref="BP66" si="255">+BP64/BP$10</f>
        <v>7.0699386453107194E-2</v>
      </c>
      <c r="BQ66" s="90">
        <f t="shared" si="254"/>
        <v>3.9173971928884416E-2</v>
      </c>
      <c r="BR66" s="90">
        <f t="shared" ref="BR66" si="256">+BR64/BR$10</f>
        <v>6.1729547606586194E-2</v>
      </c>
      <c r="BS66" s="90">
        <f t="shared" ref="BS66:BT66" si="257">+BS64/BS$10</f>
        <v>1.2889684403214563E-3</v>
      </c>
      <c r="BT66" s="90">
        <f t="shared" si="257"/>
        <v>1.8387572817508487E-3</v>
      </c>
      <c r="BU66" s="80"/>
      <c r="BV66" s="90">
        <f t="shared" ref="BV66:BY66" si="258">+BV64/BV$10</f>
        <v>0.83525986596973634</v>
      </c>
      <c r="BW66" s="90">
        <f t="shared" ref="BW66" si="259">+BW64/BW$10</f>
        <v>1.3946716821081337</v>
      </c>
      <c r="BX66" s="90">
        <f t="shared" si="258"/>
        <v>5.1281974733948722E-2</v>
      </c>
      <c r="BY66" s="90">
        <f t="shared" si="258"/>
        <v>0.10018074343766586</v>
      </c>
      <c r="BZ66" s="90">
        <f t="shared" ref="BZ66" si="260">+BZ64/BZ$10</f>
        <v>6.4341721363712509E-2</v>
      </c>
      <c r="CA66" s="80"/>
      <c r="CB66" s="90">
        <f t="shared" ref="CB66" si="261">+CB64/CB$10</f>
        <v>0.40845515304349206</v>
      </c>
    </row>
    <row r="67" spans="2:80" ht="16.5" customHeight="1" x14ac:dyDescent="0.25">
      <c r="B67" s="56"/>
      <c r="C67" s="71"/>
      <c r="D67" s="69"/>
      <c r="E67" s="69"/>
      <c r="F67" s="69"/>
      <c r="G67" s="109"/>
    </row>
    <row r="68" spans="2:80" ht="16.5" hidden="1" customHeight="1" x14ac:dyDescent="0.25">
      <c r="C68" s="110" t="e">
        <f>+#REF!</f>
        <v>#REF!</v>
      </c>
      <c r="D68" s="111">
        <v>18436</v>
      </c>
      <c r="E68" s="111"/>
      <c r="F68" s="111"/>
      <c r="G68" s="110"/>
    </row>
    <row r="69" spans="2:80" ht="16.5" hidden="1" customHeight="1" x14ac:dyDescent="0.25">
      <c r="B69" s="51" t="s">
        <v>158</v>
      </c>
      <c r="C69" s="110" t="e">
        <f>+C64-C68</f>
        <v>#REF!</v>
      </c>
      <c r="D69" s="111">
        <f>+D64-D68</f>
        <v>396501.79061002983</v>
      </c>
      <c r="E69" s="111"/>
      <c r="F69" s="111"/>
      <c r="G69" s="110"/>
    </row>
    <row r="70" spans="2:80" ht="16.5" hidden="1" customHeight="1" x14ac:dyDescent="0.25">
      <c r="C70" s="110"/>
      <c r="D70" s="112"/>
      <c r="E70" s="112"/>
      <c r="F70" s="112"/>
      <c r="G70" s="110"/>
    </row>
    <row r="71" spans="2:80" ht="16.5" hidden="1" customHeight="1" x14ac:dyDescent="0.25"/>
    <row r="72" spans="2:80" ht="16.5" hidden="1" customHeight="1" x14ac:dyDescent="0.25"/>
    <row r="73" spans="2:80" ht="16.5" hidden="1" customHeight="1" x14ac:dyDescent="0.25">
      <c r="B73" s="113" t="s">
        <v>159</v>
      </c>
      <c r="C73" s="98">
        <f>+C77+C81</f>
        <v>307948</v>
      </c>
    </row>
    <row r="74" spans="2:80" ht="16.5" hidden="1" customHeight="1" x14ac:dyDescent="0.25">
      <c r="B74" s="51" t="s">
        <v>160</v>
      </c>
      <c r="C74" s="114">
        <v>129201</v>
      </c>
      <c r="D74" s="55" t="s">
        <v>161</v>
      </c>
    </row>
    <row r="75" spans="2:80" ht="16.5" hidden="1" customHeight="1" x14ac:dyDescent="0.25">
      <c r="B75" s="51" t="s">
        <v>162</v>
      </c>
      <c r="C75" s="114">
        <v>102521</v>
      </c>
      <c r="D75" s="55" t="s">
        <v>161</v>
      </c>
    </row>
    <row r="76" spans="2:80" ht="16.5" hidden="1" customHeight="1" x14ac:dyDescent="0.25">
      <c r="B76" s="51" t="s">
        <v>163</v>
      </c>
      <c r="C76" s="114">
        <v>43795</v>
      </c>
      <c r="D76" s="55" t="s">
        <v>161</v>
      </c>
    </row>
    <row r="77" spans="2:80" ht="16.5" hidden="1" customHeight="1" x14ac:dyDescent="0.25">
      <c r="B77" s="51" t="s">
        <v>164</v>
      </c>
      <c r="C77" s="98">
        <f>SUM(C74:C76)</f>
        <v>275517</v>
      </c>
    </row>
    <row r="78" spans="2:80" ht="16.5" hidden="1" customHeight="1" x14ac:dyDescent="0.25"/>
    <row r="79" spans="2:80" ht="16.5" hidden="1" customHeight="1" x14ac:dyDescent="0.25">
      <c r="B79" s="51" t="s">
        <v>165</v>
      </c>
      <c r="C79" s="114">
        <v>19597</v>
      </c>
      <c r="D79" s="55" t="s">
        <v>166</v>
      </c>
    </row>
    <row r="80" spans="2:80" ht="16.5" hidden="1" customHeight="1" x14ac:dyDescent="0.25">
      <c r="B80" s="51" t="s">
        <v>160</v>
      </c>
      <c r="C80" s="114">
        <v>12834</v>
      </c>
      <c r="D80" s="55" t="s">
        <v>166</v>
      </c>
    </row>
    <row r="81" spans="2:75" ht="16.5" hidden="1" customHeight="1" x14ac:dyDescent="0.25">
      <c r="B81" s="51" t="s">
        <v>167</v>
      </c>
      <c r="C81" s="115">
        <f>+C79+C80</f>
        <v>32431</v>
      </c>
    </row>
    <row r="82" spans="2:75" ht="16.5" hidden="1" customHeight="1" x14ac:dyDescent="0.25"/>
    <row r="83" spans="2:75" ht="16.5" hidden="1" customHeight="1" x14ac:dyDescent="0.25"/>
    <row r="84" spans="2:75" ht="16.5" hidden="1" customHeight="1" x14ac:dyDescent="0.25">
      <c r="B84" s="56" t="s">
        <v>168</v>
      </c>
      <c r="C84" s="116" t="s">
        <v>169</v>
      </c>
      <c r="D84" s="117"/>
      <c r="E84" s="117"/>
      <c r="F84" s="117"/>
      <c r="G84" s="117"/>
    </row>
    <row r="85" spans="2:75" ht="16.5" hidden="1" customHeight="1" x14ac:dyDescent="0.25">
      <c r="B85" s="51" t="s">
        <v>170</v>
      </c>
      <c r="C85" s="114">
        <v>275456</v>
      </c>
      <c r="D85" s="118"/>
      <c r="E85" s="118"/>
      <c r="F85" s="118"/>
    </row>
    <row r="86" spans="2:75" ht="16.5" hidden="1" customHeight="1" x14ac:dyDescent="0.25">
      <c r="B86" s="51" t="s">
        <v>171</v>
      </c>
      <c r="C86" s="114">
        <v>14612</v>
      </c>
    </row>
    <row r="87" spans="2:75" ht="16.5" hidden="1" customHeight="1" x14ac:dyDescent="0.25">
      <c r="B87" s="51" t="s">
        <v>172</v>
      </c>
      <c r="C87" s="114">
        <f>+C86-C85</f>
        <v>-260844</v>
      </c>
    </row>
    <row r="88" spans="2:75" ht="16.5" hidden="1" customHeight="1" x14ac:dyDescent="0.25">
      <c r="B88" s="51" t="s">
        <v>173</v>
      </c>
      <c r="C88" s="114">
        <f>32431-2168</f>
        <v>30263</v>
      </c>
    </row>
    <row r="89" spans="2:75" ht="16.5" hidden="1" customHeight="1" x14ac:dyDescent="0.25">
      <c r="B89" s="51" t="s">
        <v>174</v>
      </c>
      <c r="C89" s="114">
        <f>27059-5379</f>
        <v>21680</v>
      </c>
    </row>
    <row r="90" spans="2:75" ht="16.5" hidden="1" customHeight="1" x14ac:dyDescent="0.25">
      <c r="B90" s="56" t="s">
        <v>175</v>
      </c>
      <c r="C90" s="115">
        <f>+C87-C88-C89</f>
        <v>-312787</v>
      </c>
    </row>
    <row r="91" spans="2:75" ht="16.5" hidden="1" customHeight="1" x14ac:dyDescent="0.25">
      <c r="C91" s="119">
        <f>+C90-C47</f>
        <v>-41289</v>
      </c>
    </row>
    <row r="92" spans="2:75" ht="16.5" hidden="1" customHeight="1" x14ac:dyDescent="0.25"/>
    <row r="93" spans="2:75" ht="16.5" customHeight="1" x14ac:dyDescent="0.25">
      <c r="C93" s="120"/>
      <c r="D93" s="121"/>
      <c r="E93" s="121"/>
      <c r="F93" s="121"/>
      <c r="G93" s="120"/>
      <c r="H93" s="120"/>
      <c r="I93" s="120"/>
      <c r="J93" s="121"/>
      <c r="K93" s="122"/>
      <c r="L93" s="122"/>
      <c r="M93" s="122"/>
      <c r="N93" s="120"/>
      <c r="O93" s="120"/>
      <c r="P93" s="122"/>
      <c r="Q93" s="122"/>
      <c r="R93" s="122"/>
      <c r="S93" s="122"/>
      <c r="T93" s="122"/>
      <c r="U93" s="122"/>
      <c r="V93" s="122"/>
      <c r="W93" s="122"/>
      <c r="X93" s="122"/>
      <c r="Y93" s="122"/>
      <c r="Z93" s="122"/>
      <c r="AA93" s="122"/>
      <c r="AB93" s="122"/>
      <c r="AC93" s="122"/>
      <c r="AD93" s="122"/>
      <c r="AE93" s="123"/>
      <c r="AF93" s="122"/>
      <c r="AG93" s="122"/>
      <c r="AH93" s="122"/>
      <c r="AI93" s="122"/>
      <c r="AJ93" s="122"/>
      <c r="AK93" s="122"/>
      <c r="AL93" s="122"/>
      <c r="AM93" s="122"/>
      <c r="AN93" s="122"/>
      <c r="AO93" s="122"/>
      <c r="AP93" s="122"/>
      <c r="AQ93" s="122"/>
      <c r="AR93" s="122"/>
      <c r="AS93" s="122"/>
      <c r="AT93" s="122"/>
      <c r="AU93" s="122"/>
      <c r="AV93" s="122"/>
      <c r="AW93" s="122"/>
      <c r="AX93" s="122"/>
      <c r="AY93" s="122"/>
      <c r="AZ93" s="122"/>
      <c r="BA93" s="122"/>
      <c r="BW93" s="251" t="s">
        <v>357</v>
      </c>
    </row>
    <row r="94" spans="2:75" ht="16.5" customHeight="1" x14ac:dyDescent="0.25">
      <c r="D94" s="118"/>
      <c r="E94" s="118"/>
      <c r="F94" s="118"/>
    </row>
    <row r="95" spans="2:75" ht="16.5" customHeight="1" x14ac:dyDescent="0.25">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60"/>
      <c r="BA95" s="60"/>
    </row>
    <row r="96" spans="2:75" ht="144" customHeight="1" x14ac:dyDescent="0.25">
      <c r="O96" s="353" t="s">
        <v>176</v>
      </c>
      <c r="P96" s="353"/>
      <c r="Q96" s="353"/>
      <c r="R96" s="353"/>
      <c r="S96" s="353"/>
      <c r="T96" s="353"/>
      <c r="U96" s="353"/>
      <c r="V96" s="125"/>
      <c r="W96" s="353" t="s">
        <v>177</v>
      </c>
      <c r="X96" s="353"/>
      <c r="Y96" s="353"/>
      <c r="Z96" s="353"/>
      <c r="AA96" s="353"/>
      <c r="AB96" s="353"/>
      <c r="AC96" s="353"/>
      <c r="AD96" s="124"/>
      <c r="AF96" s="354" t="s">
        <v>178</v>
      </c>
      <c r="AG96" s="354"/>
      <c r="AH96" s="354"/>
      <c r="AI96" s="354"/>
      <c r="AJ96" s="354"/>
      <c r="AK96" s="354"/>
      <c r="AL96" s="354"/>
      <c r="AM96" s="354"/>
      <c r="AN96" s="354"/>
      <c r="AO96" s="354"/>
      <c r="AT96" s="51" t="s">
        <v>179</v>
      </c>
    </row>
    <row r="97" spans="4:46" ht="16.5" customHeight="1" x14ac:dyDescent="0.25">
      <c r="D97" s="126"/>
      <c r="E97" s="126"/>
      <c r="F97" s="126"/>
    </row>
    <row r="98" spans="4:46" ht="84.75" customHeight="1" x14ac:dyDescent="0.25">
      <c r="D98" s="126"/>
      <c r="E98" s="126"/>
      <c r="F98" s="126"/>
      <c r="AF98" s="354" t="s">
        <v>180</v>
      </c>
      <c r="AG98" s="354"/>
      <c r="AH98" s="354"/>
      <c r="AI98" s="354"/>
      <c r="AJ98" s="354"/>
      <c r="AK98" s="354"/>
      <c r="AL98" s="354"/>
      <c r="AM98" s="354"/>
      <c r="AN98" s="354"/>
      <c r="AO98" s="354"/>
      <c r="AP98" s="127"/>
      <c r="AQ98" s="127"/>
      <c r="AR98" s="127"/>
      <c r="AS98" s="127"/>
      <c r="AT98" s="127"/>
    </row>
    <row r="99" spans="4:46" ht="16.5" customHeight="1" x14ac:dyDescent="0.25">
      <c r="W99" s="60"/>
      <c r="X99" s="60"/>
      <c r="Y99" s="60"/>
      <c r="Z99" s="60"/>
      <c r="AA99" s="60"/>
    </row>
    <row r="103" spans="4:46" ht="16.5" customHeight="1" x14ac:dyDescent="0.25">
      <c r="AG103" s="122"/>
    </row>
    <row r="105" spans="4:46" ht="16.5" customHeight="1" x14ac:dyDescent="0.25">
      <c r="AH105" s="128"/>
    </row>
  </sheetData>
  <mergeCells count="18">
    <mergeCell ref="B1:I1"/>
    <mergeCell ref="B2:I2"/>
    <mergeCell ref="B3:I3"/>
    <mergeCell ref="C6:F6"/>
    <mergeCell ref="H6:K6"/>
    <mergeCell ref="BV6:BZ6"/>
    <mergeCell ref="O96:U96"/>
    <mergeCell ref="W96:AC96"/>
    <mergeCell ref="AF96:AO96"/>
    <mergeCell ref="AF98:AO98"/>
    <mergeCell ref="W6:AC6"/>
    <mergeCell ref="AF6:AN6"/>
    <mergeCell ref="N6:U6"/>
    <mergeCell ref="BH6:BK6"/>
    <mergeCell ref="AQ6:AV6"/>
    <mergeCell ref="AX6:BA6"/>
    <mergeCell ref="BC6:BF6"/>
    <mergeCell ref="BM6:BS6"/>
  </mergeCells>
  <pageMargins left="0.7" right="0.7" top="0.75" bottom="0.75" header="0.3" footer="0.3"/>
  <pageSetup paperSize="9" orientation="portrait" verticalDpi="597" r:id="rId1"/>
  <customProperties>
    <customPr name="FPMExcelClientCellBasedFunctionStatus" r:id="rId2"/>
    <customPr name="FPMExcelClientRefreshTime" r:id="rId3"/>
  </customProperties>
  <ignoredErrors>
    <ignoredError sqref="BM6 BV6" numberStoredAsText="1"/>
  </ignoredErrors>
  <drawing r:id="rId4"/>
  <legacyDrawing r:id="rId5"/>
  <controls>
    <mc:AlternateContent xmlns:mc="http://schemas.openxmlformats.org/markup-compatibility/2006">
      <mc:Choice Requires="x14">
        <control shapeId="28673" r:id="rId6" name="FPMExcelClientSheetOptionstb1">
          <controlPr defaultSize="0" autoLine="0" autoPict="0" r:id="rId7">
            <anchor moveWithCells="1" sizeWithCells="1">
              <from>
                <xdr:col>0</xdr:col>
                <xdr:colOff>0</xdr:colOff>
                <xdr:row>0</xdr:row>
                <xdr:rowOff>0</xdr:rowOff>
              </from>
              <to>
                <xdr:col>1</xdr:col>
                <xdr:colOff>752475</xdr:colOff>
                <xdr:row>0</xdr:row>
                <xdr:rowOff>0</xdr:rowOff>
              </to>
            </anchor>
          </controlPr>
        </control>
      </mc:Choice>
      <mc:Fallback>
        <control shapeId="28673" r:id="rId6" name="FPMExcelClientSheetOptionstb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BE2C2-411B-4D4D-BE6B-21089790EA22}">
  <sheetPr>
    <tabColor theme="0"/>
  </sheetPr>
  <dimension ref="A1:BO111"/>
  <sheetViews>
    <sheetView showGridLines="0" zoomScale="90" zoomScaleNormal="90" workbookViewId="0">
      <pane xSplit="2" ySplit="9" topLeftCell="C85" activePane="bottomRight" state="frozen"/>
      <selection pane="topRight" activeCell="C1" sqref="C1"/>
      <selection pane="bottomLeft" activeCell="A10" sqref="A10"/>
      <selection pane="bottomRight" activeCell="BI97" sqref="BI97"/>
    </sheetView>
  </sheetViews>
  <sheetFormatPr baseColWidth="10" defaultColWidth="13" defaultRowHeight="12.75" x14ac:dyDescent="0.25"/>
  <cols>
    <col min="1" max="1" width="13" style="2"/>
    <col min="2" max="2" width="43.28515625" style="2" customWidth="1"/>
    <col min="3" max="3" width="10.28515625" style="2" bestFit="1" customWidth="1"/>
    <col min="4" max="4" width="1.5703125" style="2" customWidth="1"/>
    <col min="5" max="8" width="11.28515625" style="10" customWidth="1"/>
    <col min="9" max="9" width="2" style="2" customWidth="1"/>
    <col min="10" max="13" width="11.28515625" style="2" customWidth="1"/>
    <col min="14" max="14" width="15.5703125" style="2" customWidth="1"/>
    <col min="15" max="15" width="2" style="2" customWidth="1"/>
    <col min="16" max="18" width="13" style="2"/>
    <col min="19" max="19" width="14.140625" style="2" bestFit="1" customWidth="1"/>
    <col min="20" max="21" width="13" style="2"/>
    <col min="22" max="22" width="1.42578125" style="2" customWidth="1"/>
    <col min="23" max="26" width="13" style="2"/>
    <col min="27" max="27" width="4.5703125" style="129" customWidth="1"/>
    <col min="28" max="31" width="11.28515625" style="2" bestFit="1" customWidth="1"/>
    <col min="32" max="32" width="5" style="2" customWidth="1"/>
    <col min="33" max="36" width="11.28515625" style="2" bestFit="1" customWidth="1"/>
    <col min="37" max="37" width="5" style="2" customWidth="1"/>
    <col min="38" max="41" width="11.28515625" style="2" bestFit="1" customWidth="1"/>
    <col min="42" max="42" width="5" style="2" customWidth="1"/>
    <col min="43" max="46" width="11.28515625" style="2" bestFit="1" customWidth="1"/>
    <col min="47" max="47" width="5" style="2" customWidth="1"/>
    <col min="48" max="49" width="11.28515625" style="2" bestFit="1" customWidth="1"/>
    <col min="50" max="51" width="11.28515625" style="2" customWidth="1"/>
    <col min="52" max="52" width="5" style="2" customWidth="1"/>
    <col min="53" max="56" width="11.28515625" style="2" customWidth="1"/>
    <col min="57" max="57" width="1.42578125" style="2" customWidth="1"/>
    <col min="58" max="61" width="11.28515625" style="2" customWidth="1"/>
    <col min="62" max="62" width="1.42578125" style="2" customWidth="1"/>
    <col min="63" max="63" width="11.28515625" style="2" customWidth="1"/>
    <col min="64" max="64" width="10.7109375" style="2" customWidth="1"/>
    <col min="65" max="16384" width="13" style="2"/>
  </cols>
  <sheetData>
    <row r="1" spans="2:65" x14ac:dyDescent="0.25">
      <c r="B1" s="349" t="s">
        <v>0</v>
      </c>
      <c r="C1" s="349"/>
      <c r="D1" s="349"/>
      <c r="E1" s="349"/>
      <c r="F1" s="349"/>
      <c r="G1" s="349"/>
      <c r="H1" s="349"/>
      <c r="I1" s="349"/>
      <c r="J1" s="349"/>
      <c r="K1" s="349"/>
    </row>
    <row r="2" spans="2:65" x14ac:dyDescent="0.25">
      <c r="B2" s="349" t="s">
        <v>181</v>
      </c>
      <c r="C2" s="349"/>
      <c r="D2" s="349"/>
      <c r="E2" s="349"/>
      <c r="F2" s="349"/>
      <c r="G2" s="349"/>
      <c r="H2" s="349"/>
      <c r="I2" s="349"/>
      <c r="J2" s="349"/>
      <c r="K2" s="349"/>
    </row>
    <row r="3" spans="2:65" ht="12.75" customHeight="1" x14ac:dyDescent="0.25">
      <c r="B3" s="350" t="s">
        <v>2</v>
      </c>
      <c r="C3" s="350"/>
      <c r="D3" s="350"/>
      <c r="E3" s="350"/>
      <c r="F3" s="350"/>
      <c r="G3" s="350"/>
      <c r="H3" s="350"/>
      <c r="I3" s="350"/>
      <c r="J3" s="350"/>
      <c r="K3" s="350"/>
    </row>
    <row r="4" spans="2:65" ht="12.75" customHeight="1" x14ac:dyDescent="0.25">
      <c r="B4" s="3"/>
      <c r="C4" s="3"/>
      <c r="D4" s="3"/>
      <c r="E4" s="3"/>
      <c r="F4" s="3"/>
      <c r="G4" s="3"/>
      <c r="H4" s="3"/>
      <c r="I4" s="3"/>
      <c r="J4" s="3"/>
      <c r="K4" s="3"/>
    </row>
    <row r="5" spans="2:65" ht="13.5" thickBot="1" x14ac:dyDescent="0.3"/>
    <row r="6" spans="2:65" ht="21" customHeight="1" thickTop="1" thickBot="1" x14ac:dyDescent="0.3">
      <c r="C6" s="130">
        <v>2013</v>
      </c>
      <c r="D6" s="6"/>
      <c r="E6" s="366" t="s">
        <v>3</v>
      </c>
      <c r="F6" s="367"/>
      <c r="G6" s="367"/>
      <c r="H6" s="368"/>
      <c r="J6" s="366" t="s">
        <v>4</v>
      </c>
      <c r="K6" s="367"/>
      <c r="L6" s="367"/>
      <c r="M6" s="367"/>
      <c r="N6" s="368"/>
      <c r="P6" s="363" t="s">
        <v>5</v>
      </c>
      <c r="Q6" s="364"/>
      <c r="R6" s="364"/>
      <c r="S6" s="364"/>
      <c r="T6" s="364"/>
      <c r="U6" s="365"/>
      <c r="W6" s="360" t="s">
        <v>6</v>
      </c>
      <c r="X6" s="361"/>
      <c r="Y6" s="361"/>
      <c r="Z6" s="362"/>
      <c r="AB6" s="360" t="s">
        <v>7</v>
      </c>
      <c r="AC6" s="361"/>
      <c r="AD6" s="361"/>
      <c r="AE6" s="362"/>
      <c r="AG6" s="360" t="s">
        <v>8</v>
      </c>
      <c r="AH6" s="361"/>
      <c r="AI6" s="361"/>
      <c r="AJ6" s="362"/>
      <c r="AL6" s="360" t="s">
        <v>71</v>
      </c>
      <c r="AM6" s="361"/>
      <c r="AN6" s="361"/>
      <c r="AO6" s="362"/>
      <c r="AQ6" s="360" t="s">
        <v>9</v>
      </c>
      <c r="AR6" s="361"/>
      <c r="AS6" s="361"/>
      <c r="AT6" s="362"/>
      <c r="AV6" s="345" t="s">
        <v>182</v>
      </c>
      <c r="AW6" s="346"/>
      <c r="AX6" s="346"/>
      <c r="AY6" s="5"/>
      <c r="AZ6" s="6"/>
      <c r="BA6" s="346" t="s">
        <v>305</v>
      </c>
      <c r="BB6" s="346"/>
      <c r="BC6" s="346"/>
      <c r="BD6" s="346"/>
      <c r="BE6" s="6"/>
      <c r="BF6" s="345" t="s">
        <v>322</v>
      </c>
      <c r="BG6" s="346"/>
      <c r="BH6" s="346"/>
      <c r="BI6" s="346"/>
      <c r="BJ6" s="6"/>
      <c r="BK6" s="4" t="s">
        <v>351</v>
      </c>
    </row>
    <row r="7" spans="2:65" ht="4.5" customHeight="1" thickTop="1" thickBot="1" x14ac:dyDescent="0.3">
      <c r="E7" s="55"/>
      <c r="F7" s="55"/>
      <c r="G7" s="55"/>
      <c r="H7" s="55"/>
      <c r="J7" s="55"/>
      <c r="K7" s="55"/>
    </row>
    <row r="8" spans="2:65" ht="30" customHeight="1" thickTop="1" thickBot="1" x14ac:dyDescent="0.3">
      <c r="C8" s="131">
        <v>41609</v>
      </c>
      <c r="D8" s="8"/>
      <c r="E8" s="132">
        <v>41699</v>
      </c>
      <c r="F8" s="7">
        <v>41791</v>
      </c>
      <c r="G8" s="7">
        <v>41883</v>
      </c>
      <c r="H8" s="7">
        <v>41974</v>
      </c>
      <c r="J8" s="7">
        <v>42064</v>
      </c>
      <c r="K8" s="7">
        <v>42156</v>
      </c>
      <c r="L8" s="7">
        <v>42248</v>
      </c>
      <c r="M8" s="7">
        <v>42339</v>
      </c>
      <c r="N8" s="131" t="s">
        <v>183</v>
      </c>
      <c r="P8" s="7">
        <v>42430</v>
      </c>
      <c r="Q8" s="7">
        <v>42522</v>
      </c>
      <c r="R8" s="7">
        <v>42614</v>
      </c>
      <c r="S8" s="7" t="s">
        <v>184</v>
      </c>
      <c r="T8" s="131">
        <v>42705</v>
      </c>
      <c r="U8" s="131" t="s">
        <v>185</v>
      </c>
      <c r="W8" s="7">
        <v>42795</v>
      </c>
      <c r="X8" s="7">
        <v>42887</v>
      </c>
      <c r="Y8" s="131">
        <v>42979</v>
      </c>
      <c r="Z8" s="131">
        <v>43070</v>
      </c>
      <c r="AB8" s="7">
        <v>43160</v>
      </c>
      <c r="AC8" s="7">
        <v>43252</v>
      </c>
      <c r="AD8" s="131">
        <v>43344</v>
      </c>
      <c r="AE8" s="131">
        <v>43435</v>
      </c>
      <c r="AG8" s="7">
        <v>43525</v>
      </c>
      <c r="AH8" s="7">
        <v>43617</v>
      </c>
      <c r="AI8" s="131">
        <v>43709</v>
      </c>
      <c r="AJ8" s="131">
        <v>43800</v>
      </c>
      <c r="AL8" s="7">
        <v>43891</v>
      </c>
      <c r="AM8" s="7">
        <v>43983</v>
      </c>
      <c r="AN8" s="131">
        <v>44075</v>
      </c>
      <c r="AO8" s="131">
        <v>44166</v>
      </c>
      <c r="AQ8" s="7">
        <v>44256</v>
      </c>
      <c r="AR8" s="7">
        <v>44348</v>
      </c>
      <c r="AS8" s="7">
        <v>44440</v>
      </c>
      <c r="AT8" s="131">
        <v>44531</v>
      </c>
      <c r="AV8" s="7">
        <v>44621</v>
      </c>
      <c r="AW8" s="7">
        <v>44713</v>
      </c>
      <c r="AX8" s="7">
        <v>44805</v>
      </c>
      <c r="AY8" s="7">
        <v>44896</v>
      </c>
      <c r="AZ8" s="8"/>
      <c r="BA8" s="7">
        <v>44986</v>
      </c>
      <c r="BB8" s="7">
        <v>45078</v>
      </c>
      <c r="BC8" s="7">
        <v>45170</v>
      </c>
      <c r="BD8" s="131">
        <v>45261</v>
      </c>
      <c r="BE8" s="8"/>
      <c r="BF8" s="7">
        <v>45352</v>
      </c>
      <c r="BG8" s="7">
        <v>45444</v>
      </c>
      <c r="BH8" s="7">
        <v>45536</v>
      </c>
      <c r="BI8" s="7">
        <v>45627</v>
      </c>
      <c r="BJ8" s="8"/>
      <c r="BK8" s="7">
        <v>45717</v>
      </c>
    </row>
    <row r="9" spans="2:65" ht="3.75" customHeight="1" thickTop="1" x14ac:dyDescent="0.25">
      <c r="J9" s="10"/>
      <c r="K9" s="10"/>
    </row>
    <row r="10" spans="2:65" ht="16.5" customHeight="1" x14ac:dyDescent="0.25">
      <c r="B10" s="11" t="s">
        <v>15</v>
      </c>
      <c r="C10" s="20">
        <v>20409</v>
      </c>
      <c r="D10" s="11"/>
      <c r="E10" s="20">
        <v>44378</v>
      </c>
      <c r="F10" s="20">
        <v>34879</v>
      </c>
      <c r="G10" s="20">
        <v>368419</v>
      </c>
      <c r="H10" s="20">
        <v>165978</v>
      </c>
      <c r="J10" s="20">
        <v>212683</v>
      </c>
      <c r="K10" s="20">
        <v>25622</v>
      </c>
      <c r="L10" s="20">
        <v>399215</v>
      </c>
      <c r="M10" s="20">
        <v>311454</v>
      </c>
      <c r="N10" s="20">
        <v>311454</v>
      </c>
      <c r="P10" s="20">
        <v>145061</v>
      </c>
      <c r="Q10" s="20">
        <v>36458</v>
      </c>
      <c r="R10" s="20">
        <v>165562</v>
      </c>
      <c r="S10" s="20">
        <v>165562</v>
      </c>
      <c r="T10" s="20">
        <v>179358</v>
      </c>
      <c r="U10" s="20">
        <v>180011</v>
      </c>
      <c r="W10" s="20">
        <v>4218</v>
      </c>
      <c r="X10" s="20">
        <v>71637</v>
      </c>
      <c r="Y10" s="129">
        <v>106150</v>
      </c>
      <c r="Z10" s="129">
        <f>312774-13692</f>
        <v>299082</v>
      </c>
      <c r="AB10" s="20">
        <v>79466</v>
      </c>
      <c r="AC10" s="20">
        <v>13861</v>
      </c>
      <c r="AD10" s="129">
        <v>2489</v>
      </c>
      <c r="AE10" s="129">
        <v>4850</v>
      </c>
      <c r="AF10" s="32"/>
      <c r="AG10" s="20">
        <v>7530</v>
      </c>
      <c r="AH10" s="22">
        <v>1810</v>
      </c>
      <c r="AI10" s="22">
        <v>1972</v>
      </c>
      <c r="AJ10" s="22">
        <v>1729</v>
      </c>
      <c r="AK10" s="32"/>
      <c r="AL10" s="20">
        <v>115068</v>
      </c>
      <c r="AM10" s="22">
        <v>116093</v>
      </c>
      <c r="AN10" s="22">
        <v>116372</v>
      </c>
      <c r="AO10" s="22">
        <v>24148</v>
      </c>
      <c r="AP10" s="32"/>
      <c r="AQ10" s="20">
        <v>1752</v>
      </c>
      <c r="AR10" s="22">
        <v>2090</v>
      </c>
      <c r="AS10" s="22">
        <v>4235</v>
      </c>
      <c r="AT10" s="22">
        <v>16237</v>
      </c>
      <c r="AU10" s="32"/>
      <c r="AV10" s="20">
        <v>8046</v>
      </c>
      <c r="AW10" s="22">
        <v>200830</v>
      </c>
      <c r="AX10" s="22">
        <v>86344</v>
      </c>
      <c r="AY10" s="22">
        <v>72319</v>
      </c>
      <c r="AZ10" s="22"/>
      <c r="BA10" s="20">
        <v>14248</v>
      </c>
      <c r="BB10" s="20">
        <v>233052</v>
      </c>
      <c r="BC10" s="20">
        <v>427632</v>
      </c>
      <c r="BD10" s="20">
        <v>410866</v>
      </c>
      <c r="BE10" s="20"/>
      <c r="BF10" s="20">
        <v>427057</v>
      </c>
      <c r="BG10" s="20">
        <v>6241</v>
      </c>
      <c r="BH10" s="20">
        <v>4133</v>
      </c>
      <c r="BI10" s="20">
        <v>17735</v>
      </c>
      <c r="BJ10" s="20"/>
      <c r="BK10" s="20">
        <v>1242</v>
      </c>
      <c r="BL10" s="133">
        <f>+BK10-'ESF GA separado'!C8</f>
        <v>0</v>
      </c>
      <c r="BM10" s="133">
        <f>+BI10-'ESF GA separado'!D8</f>
        <v>0</v>
      </c>
    </row>
    <row r="11" spans="2:65" ht="16.5" customHeight="1" x14ac:dyDescent="0.25">
      <c r="B11" s="11" t="s">
        <v>16</v>
      </c>
      <c r="C11" s="22">
        <v>2681</v>
      </c>
      <c r="D11" s="11"/>
      <c r="E11" s="20">
        <v>4375</v>
      </c>
      <c r="F11" s="22">
        <v>0</v>
      </c>
      <c r="G11" s="22">
        <v>0</v>
      </c>
      <c r="H11" s="22">
        <v>0</v>
      </c>
      <c r="J11" s="20">
        <v>2696</v>
      </c>
      <c r="K11" s="20">
        <v>1184</v>
      </c>
      <c r="L11" s="20">
        <v>17393</v>
      </c>
      <c r="M11" s="20">
        <v>15940</v>
      </c>
      <c r="N11" s="20">
        <v>15940</v>
      </c>
      <c r="P11" s="22">
        <v>0</v>
      </c>
      <c r="Q11" s="22">
        <v>0</v>
      </c>
      <c r="R11" s="22">
        <v>0</v>
      </c>
      <c r="S11" s="22">
        <v>0</v>
      </c>
      <c r="T11" s="22">
        <v>0</v>
      </c>
      <c r="U11" s="22">
        <v>0</v>
      </c>
      <c r="W11" s="22">
        <v>0</v>
      </c>
      <c r="X11" s="22">
        <v>0</v>
      </c>
      <c r="Y11" s="129">
        <v>0</v>
      </c>
      <c r="Z11" s="129">
        <v>0</v>
      </c>
      <c r="AB11" s="22">
        <v>0</v>
      </c>
      <c r="AC11" s="22">
        <v>0</v>
      </c>
      <c r="AD11" s="129">
        <v>3822</v>
      </c>
      <c r="AE11" s="129">
        <v>2932</v>
      </c>
      <c r="AF11" s="32"/>
      <c r="AG11" s="22">
        <v>0</v>
      </c>
      <c r="AH11" s="22">
        <v>0</v>
      </c>
      <c r="AI11" s="22">
        <v>0</v>
      </c>
      <c r="AJ11" s="22">
        <v>0</v>
      </c>
      <c r="AK11" s="32"/>
      <c r="AL11" s="22">
        <v>0</v>
      </c>
      <c r="AM11" s="22">
        <v>837</v>
      </c>
      <c r="AN11" s="22">
        <v>0</v>
      </c>
      <c r="AO11" s="22">
        <v>0</v>
      </c>
      <c r="AP11" s="32"/>
      <c r="AQ11" s="22">
        <v>83</v>
      </c>
      <c r="AR11" s="22">
        <v>439</v>
      </c>
      <c r="AS11" s="22">
        <v>1796</v>
      </c>
      <c r="AT11" s="22">
        <v>3000</v>
      </c>
      <c r="AU11" s="32"/>
      <c r="AV11" s="22">
        <v>3852</v>
      </c>
      <c r="AW11" s="22">
        <v>1937</v>
      </c>
      <c r="AX11" s="22">
        <v>2304</v>
      </c>
      <c r="AY11" s="22">
        <v>3521</v>
      </c>
      <c r="AZ11" s="22"/>
      <c r="BA11" s="22">
        <v>2514</v>
      </c>
      <c r="BB11" s="22">
        <v>2172</v>
      </c>
      <c r="BC11" s="22">
        <v>2241</v>
      </c>
      <c r="BD11" s="22">
        <v>9936</v>
      </c>
      <c r="BE11" s="22"/>
      <c r="BF11" s="22">
        <v>13825</v>
      </c>
      <c r="BG11" s="22">
        <v>6</v>
      </c>
      <c r="BH11" s="22">
        <v>0</v>
      </c>
      <c r="BI11" s="22">
        <v>0</v>
      </c>
      <c r="BJ11" s="22"/>
      <c r="BK11" s="22">
        <v>0</v>
      </c>
      <c r="BL11" s="133">
        <f>+BK11-'ESF GA separado'!C9</f>
        <v>0</v>
      </c>
      <c r="BM11" s="133">
        <f>+BI11-'ESF GA separado'!D9</f>
        <v>0</v>
      </c>
    </row>
    <row r="12" spans="2:65" ht="16.5" customHeight="1" x14ac:dyDescent="0.25">
      <c r="B12" s="11" t="s">
        <v>186</v>
      </c>
      <c r="C12" s="22">
        <v>55478</v>
      </c>
      <c r="D12" s="11"/>
      <c r="E12" s="22">
        <v>60316</v>
      </c>
      <c r="F12" s="22">
        <v>0</v>
      </c>
      <c r="G12" s="22">
        <v>30065</v>
      </c>
      <c r="H12" s="22">
        <v>15165</v>
      </c>
      <c r="J12" s="22">
        <v>0</v>
      </c>
      <c r="K12" s="22">
        <v>0</v>
      </c>
      <c r="L12" s="22">
        <v>15000</v>
      </c>
      <c r="M12" s="22">
        <v>0</v>
      </c>
      <c r="N12" s="22" t="s">
        <v>187</v>
      </c>
      <c r="P12" s="22">
        <v>0</v>
      </c>
      <c r="Q12" s="22">
        <v>2129</v>
      </c>
      <c r="R12" s="22">
        <v>0</v>
      </c>
      <c r="S12" s="22">
        <v>0</v>
      </c>
      <c r="T12" s="22">
        <v>0</v>
      </c>
      <c r="U12" s="22">
        <v>0</v>
      </c>
      <c r="W12" s="22">
        <v>0</v>
      </c>
      <c r="X12" s="22">
        <v>0</v>
      </c>
      <c r="Y12" s="129">
        <v>162476</v>
      </c>
      <c r="Z12" s="129">
        <v>13692</v>
      </c>
      <c r="AB12" s="22">
        <v>10206</v>
      </c>
      <c r="AC12" s="22">
        <v>0</v>
      </c>
      <c r="AD12" s="129">
        <v>0</v>
      </c>
      <c r="AE12" s="129">
        <v>0</v>
      </c>
      <c r="AF12" s="32"/>
      <c r="AG12" s="22"/>
      <c r="AH12" s="22">
        <v>0</v>
      </c>
      <c r="AI12" s="22">
        <v>0</v>
      </c>
      <c r="AJ12" s="22">
        <v>0</v>
      </c>
      <c r="AK12" s="32"/>
      <c r="AL12" s="22"/>
      <c r="AM12" s="22">
        <v>0</v>
      </c>
      <c r="AN12" s="22">
        <v>0</v>
      </c>
      <c r="AO12" s="22">
        <v>0</v>
      </c>
      <c r="AP12" s="32"/>
      <c r="AQ12" s="22"/>
      <c r="AR12" s="22"/>
      <c r="AS12" s="22"/>
      <c r="AT12" s="22">
        <v>0</v>
      </c>
      <c r="AU12" s="32"/>
      <c r="AV12" s="22">
        <v>16547</v>
      </c>
      <c r="AW12" s="22">
        <v>192218</v>
      </c>
      <c r="AX12" s="22">
        <v>179820</v>
      </c>
      <c r="AY12" s="22">
        <v>180828</v>
      </c>
      <c r="AZ12" s="22"/>
      <c r="BA12" s="22">
        <v>5231</v>
      </c>
      <c r="BB12" s="22">
        <v>5138</v>
      </c>
      <c r="BC12" s="22">
        <v>45751</v>
      </c>
      <c r="BD12" s="22">
        <v>43954</v>
      </c>
      <c r="BE12" s="22"/>
      <c r="BF12" s="22">
        <v>0</v>
      </c>
      <c r="BG12" s="22">
        <v>0</v>
      </c>
      <c r="BH12" s="22">
        <v>0</v>
      </c>
      <c r="BI12" s="22">
        <v>0</v>
      </c>
      <c r="BJ12" s="22"/>
      <c r="BK12" s="22">
        <v>0</v>
      </c>
      <c r="BL12" s="133">
        <f>+BK12-'ESF GA separado'!C10</f>
        <v>0</v>
      </c>
      <c r="BM12" s="133">
        <f>+BI12-'ESF GA separado'!D10</f>
        <v>0</v>
      </c>
    </row>
    <row r="13" spans="2:65" ht="25.5" x14ac:dyDescent="0.25">
      <c r="B13" s="11" t="s">
        <v>18</v>
      </c>
      <c r="C13" s="20">
        <v>208189</v>
      </c>
      <c r="D13" s="11"/>
      <c r="E13" s="20">
        <v>458659</v>
      </c>
      <c r="F13" s="20">
        <v>379799</v>
      </c>
      <c r="G13" s="20">
        <f>277940+1</f>
        <v>277941</v>
      </c>
      <c r="H13" s="20">
        <v>210989</v>
      </c>
      <c r="J13" s="20">
        <v>447252</v>
      </c>
      <c r="K13" s="20">
        <v>362123</v>
      </c>
      <c r="L13" s="20">
        <v>319542</v>
      </c>
      <c r="M13" s="20">
        <v>231844</v>
      </c>
      <c r="N13" s="20">
        <v>231844</v>
      </c>
      <c r="P13" s="20">
        <v>435227</v>
      </c>
      <c r="Q13" s="20">
        <v>318151</v>
      </c>
      <c r="R13" s="20">
        <v>261026</v>
      </c>
      <c r="S13" s="20">
        <v>260997</v>
      </c>
      <c r="T13" s="20">
        <v>266766</v>
      </c>
      <c r="U13" s="20">
        <v>271659</v>
      </c>
      <c r="W13" s="20">
        <v>547860</v>
      </c>
      <c r="X13" s="20">
        <v>384576</v>
      </c>
      <c r="Y13" s="129">
        <v>387617</v>
      </c>
      <c r="Z13" s="129">
        <v>198433</v>
      </c>
      <c r="AB13" s="20">
        <v>567510</v>
      </c>
      <c r="AC13" s="20">
        <v>467637</v>
      </c>
      <c r="AD13" s="129">
        <v>234105</v>
      </c>
      <c r="AE13" s="129">
        <v>172699</v>
      </c>
      <c r="AF13" s="32"/>
      <c r="AG13" s="20">
        <v>498101</v>
      </c>
      <c r="AH13" s="22">
        <v>365488</v>
      </c>
      <c r="AI13" s="22">
        <v>283086</v>
      </c>
      <c r="AJ13" s="22">
        <v>254041</v>
      </c>
      <c r="AK13" s="32"/>
      <c r="AL13" s="20">
        <v>675079</v>
      </c>
      <c r="AM13" s="22">
        <v>593858</v>
      </c>
      <c r="AN13" s="22">
        <v>515850</v>
      </c>
      <c r="AO13" s="22">
        <v>330216</v>
      </c>
      <c r="AP13" s="32"/>
      <c r="AQ13" s="20">
        <v>555556</v>
      </c>
      <c r="AR13" s="22">
        <v>341546</v>
      </c>
      <c r="AS13" s="22">
        <v>307281</v>
      </c>
      <c r="AT13" s="22">
        <v>200051</v>
      </c>
      <c r="AU13" s="32"/>
      <c r="AV13" s="20">
        <v>981584</v>
      </c>
      <c r="AW13" s="22">
        <v>458191</v>
      </c>
      <c r="AX13" s="22">
        <v>345732</v>
      </c>
      <c r="AY13" s="22">
        <v>262194</v>
      </c>
      <c r="AZ13" s="22"/>
      <c r="BA13" s="20">
        <v>584330</v>
      </c>
      <c r="BB13" s="20">
        <v>583775</v>
      </c>
      <c r="BC13" s="20">
        <v>436179</v>
      </c>
      <c r="BD13" s="20">
        <v>407870</v>
      </c>
      <c r="BE13" s="20"/>
      <c r="BF13" s="20">
        <v>710347</v>
      </c>
      <c r="BG13" s="20">
        <v>738543</v>
      </c>
      <c r="BH13" s="20">
        <v>492265</v>
      </c>
      <c r="BI13" s="20">
        <v>342536</v>
      </c>
      <c r="BJ13" s="20"/>
      <c r="BK13" s="20">
        <v>1117005</v>
      </c>
      <c r="BL13" s="133">
        <f>+BK13-'ESF GA separado'!C11</f>
        <v>0</v>
      </c>
      <c r="BM13" s="133">
        <f>+BI13-'ESF GA separado'!D11</f>
        <v>0</v>
      </c>
    </row>
    <row r="14" spans="2:65" ht="16.5" customHeight="1" x14ac:dyDescent="0.25">
      <c r="B14" s="11" t="s">
        <v>19</v>
      </c>
      <c r="C14" s="20">
        <v>52011</v>
      </c>
      <c r="D14" s="11"/>
      <c r="E14" s="20">
        <v>27415</v>
      </c>
      <c r="F14" s="20">
        <v>29057</v>
      </c>
      <c r="G14" s="20">
        <v>30903</v>
      </c>
      <c r="H14" s="20">
        <v>17729</v>
      </c>
      <c r="J14" s="20">
        <v>37032</v>
      </c>
      <c r="K14" s="20">
        <v>43090</v>
      </c>
      <c r="L14" s="20">
        <v>46116</v>
      </c>
      <c r="M14" s="20">
        <v>9448</v>
      </c>
      <c r="N14" s="20">
        <v>9448</v>
      </c>
      <c r="P14" s="20">
        <v>5844</v>
      </c>
      <c r="Q14" s="20">
        <v>92560</v>
      </c>
      <c r="R14" s="20">
        <v>102371</v>
      </c>
      <c r="S14" s="20">
        <v>96864</v>
      </c>
      <c r="T14" s="20">
        <v>81488</v>
      </c>
      <c r="U14" s="20">
        <v>81818</v>
      </c>
      <c r="W14" s="20">
        <v>130304</v>
      </c>
      <c r="X14" s="20">
        <v>128656</v>
      </c>
      <c r="Y14" s="129">
        <v>119616</v>
      </c>
      <c r="Z14" s="129">
        <v>164685</v>
      </c>
      <c r="AB14" s="20">
        <v>164877</v>
      </c>
      <c r="AC14" s="20">
        <v>165035</v>
      </c>
      <c r="AD14" s="129">
        <v>165170</v>
      </c>
      <c r="AE14" s="134">
        <v>172868</v>
      </c>
      <c r="AF14" s="32"/>
      <c r="AG14" s="20">
        <v>167740</v>
      </c>
      <c r="AH14" s="22">
        <v>167976</v>
      </c>
      <c r="AI14" s="22">
        <v>168092</v>
      </c>
      <c r="AJ14" s="22">
        <v>169602</v>
      </c>
      <c r="AK14" s="32"/>
      <c r="AL14" s="20">
        <v>169877</v>
      </c>
      <c r="AM14" s="22">
        <v>228152</v>
      </c>
      <c r="AN14" s="22">
        <v>254583</v>
      </c>
      <c r="AO14" s="22">
        <v>248887</v>
      </c>
      <c r="AP14" s="32"/>
      <c r="AQ14" s="20">
        <v>249758</v>
      </c>
      <c r="AR14" s="22">
        <v>194384</v>
      </c>
      <c r="AS14" s="22">
        <v>191889</v>
      </c>
      <c r="AT14" s="22">
        <v>200354</v>
      </c>
      <c r="AU14" s="32"/>
      <c r="AV14" s="20">
        <v>263573</v>
      </c>
      <c r="AW14" s="22">
        <v>257774</v>
      </c>
      <c r="AX14" s="22">
        <v>249493</v>
      </c>
      <c r="AY14" s="22">
        <v>268832</v>
      </c>
      <c r="AZ14" s="22"/>
      <c r="BA14" s="20">
        <v>259796</v>
      </c>
      <c r="BB14" s="20">
        <v>329378</v>
      </c>
      <c r="BC14" s="20">
        <v>327745</v>
      </c>
      <c r="BD14" s="20">
        <v>293414</v>
      </c>
      <c r="BE14" s="20"/>
      <c r="BF14" s="20">
        <v>292785</v>
      </c>
      <c r="BG14" s="20">
        <v>389757</v>
      </c>
      <c r="BH14" s="20">
        <v>393190</v>
      </c>
      <c r="BI14" s="20">
        <v>338725</v>
      </c>
      <c r="BJ14" s="20"/>
      <c r="BK14" s="20">
        <v>943995</v>
      </c>
      <c r="BL14" s="133">
        <f>+BK14-'ESF GA separado'!C12</f>
        <v>0</v>
      </c>
      <c r="BM14" s="133">
        <f>+BI14-'ESF GA separado'!D12</f>
        <v>0</v>
      </c>
    </row>
    <row r="15" spans="2:65" ht="16.5" customHeight="1" x14ac:dyDescent="0.25">
      <c r="B15" s="11" t="s">
        <v>20</v>
      </c>
      <c r="C15" s="22">
        <v>0</v>
      </c>
      <c r="D15" s="11"/>
      <c r="E15" s="22">
        <v>0</v>
      </c>
      <c r="F15" s="22">
        <v>0</v>
      </c>
      <c r="G15" s="22">
        <v>0</v>
      </c>
      <c r="H15" s="22">
        <v>0</v>
      </c>
      <c r="J15" s="22">
        <v>0</v>
      </c>
      <c r="K15" s="22">
        <v>0</v>
      </c>
      <c r="L15" s="22">
        <v>0</v>
      </c>
      <c r="M15" s="22">
        <v>0</v>
      </c>
      <c r="N15" s="22">
        <v>0</v>
      </c>
      <c r="P15" s="22">
        <v>0</v>
      </c>
      <c r="Q15" s="22">
        <v>0</v>
      </c>
      <c r="R15" s="22">
        <v>0</v>
      </c>
      <c r="S15" s="22">
        <v>0</v>
      </c>
      <c r="T15" s="22">
        <v>0</v>
      </c>
      <c r="U15" s="22">
        <v>0</v>
      </c>
      <c r="W15" s="22">
        <v>0</v>
      </c>
      <c r="X15" s="135">
        <v>0</v>
      </c>
      <c r="Y15" s="129">
        <v>0</v>
      </c>
      <c r="Z15" s="129">
        <v>0</v>
      </c>
      <c r="AB15" s="22">
        <v>0</v>
      </c>
      <c r="AC15" s="135">
        <v>0</v>
      </c>
      <c r="AD15" s="129">
        <v>0</v>
      </c>
      <c r="AE15" s="129">
        <v>0</v>
      </c>
      <c r="AF15" s="32"/>
      <c r="AG15" s="22"/>
      <c r="AH15" s="22">
        <v>0</v>
      </c>
      <c r="AI15" s="22"/>
      <c r="AJ15" s="22"/>
      <c r="AK15" s="32"/>
      <c r="AL15" s="22"/>
      <c r="AM15" s="22"/>
      <c r="AN15" s="22"/>
      <c r="AO15" s="22"/>
      <c r="AP15" s="32"/>
      <c r="AQ15" s="22"/>
      <c r="AR15" s="22"/>
      <c r="AS15" s="22"/>
      <c r="AT15" s="22"/>
      <c r="AU15" s="32"/>
      <c r="AV15" s="22"/>
      <c r="AW15" s="22"/>
      <c r="AX15" s="22"/>
      <c r="AY15" s="22">
        <v>0</v>
      </c>
      <c r="AZ15" s="22"/>
      <c r="BA15" s="22">
        <v>0</v>
      </c>
      <c r="BB15" s="22">
        <v>0</v>
      </c>
      <c r="BC15" s="22">
        <v>0</v>
      </c>
      <c r="BD15" s="22">
        <v>0</v>
      </c>
      <c r="BE15" s="22"/>
      <c r="BF15" s="22">
        <v>0</v>
      </c>
      <c r="BG15" s="22">
        <v>0</v>
      </c>
      <c r="BH15" s="22">
        <v>0</v>
      </c>
      <c r="BI15" s="22">
        <v>0</v>
      </c>
      <c r="BJ15" s="22"/>
      <c r="BK15" s="22">
        <v>0</v>
      </c>
      <c r="BL15" s="133">
        <f>+BK15-'ESF GA separado'!C13</f>
        <v>0</v>
      </c>
      <c r="BM15" s="133">
        <f>+BI15-'ESF GA separado'!D13</f>
        <v>0</v>
      </c>
    </row>
    <row r="16" spans="2:65" ht="25.5" x14ac:dyDescent="0.25">
      <c r="B16" s="136" t="s">
        <v>21</v>
      </c>
      <c r="C16" s="20">
        <v>1623</v>
      </c>
      <c r="D16" s="11"/>
      <c r="E16" s="20">
        <v>22345</v>
      </c>
      <c r="F16" s="20">
        <v>2933</v>
      </c>
      <c r="G16" s="20">
        <v>2785</v>
      </c>
      <c r="H16" s="20">
        <v>2644</v>
      </c>
      <c r="J16" s="20">
        <v>61586</v>
      </c>
      <c r="K16" s="20">
        <v>1750</v>
      </c>
      <c r="L16" s="20">
        <v>2833</v>
      </c>
      <c r="M16" s="20">
        <v>1050</v>
      </c>
      <c r="N16" s="20">
        <v>1050</v>
      </c>
      <c r="P16" s="20">
        <v>2211</v>
      </c>
      <c r="Q16" s="20">
        <v>8367</v>
      </c>
      <c r="R16" s="20">
        <v>6699</v>
      </c>
      <c r="S16" s="20">
        <v>6728</v>
      </c>
      <c r="T16" s="20">
        <v>6660</v>
      </c>
      <c r="U16" s="20">
        <v>6667</v>
      </c>
      <c r="W16" s="20">
        <v>6384</v>
      </c>
      <c r="X16" s="20">
        <v>5696</v>
      </c>
      <c r="Y16" s="129">
        <v>6719</v>
      </c>
      <c r="Z16" s="129">
        <v>3660</v>
      </c>
      <c r="AB16" s="20">
        <v>3349</v>
      </c>
      <c r="AC16" s="20">
        <v>2369</v>
      </c>
      <c r="AD16" s="129">
        <v>3887</v>
      </c>
      <c r="AE16" s="129">
        <v>1656</v>
      </c>
      <c r="AF16" s="32"/>
      <c r="AG16" s="20">
        <v>2449</v>
      </c>
      <c r="AH16" s="22">
        <v>2538</v>
      </c>
      <c r="AI16" s="22">
        <v>2783</v>
      </c>
      <c r="AJ16" s="22">
        <v>1189</v>
      </c>
      <c r="AK16" s="32"/>
      <c r="AL16" s="20">
        <v>1972</v>
      </c>
      <c r="AM16" s="22">
        <v>2392</v>
      </c>
      <c r="AN16" s="22">
        <v>3150</v>
      </c>
      <c r="AO16" s="22">
        <v>5026</v>
      </c>
      <c r="AP16" s="32"/>
      <c r="AQ16" s="20">
        <v>6465</v>
      </c>
      <c r="AR16" s="22">
        <v>9110</v>
      </c>
      <c r="AS16" s="22">
        <v>8517</v>
      </c>
      <c r="AT16" s="22">
        <v>5631</v>
      </c>
      <c r="AU16" s="32"/>
      <c r="AV16" s="20">
        <v>4472</v>
      </c>
      <c r="AW16" s="22">
        <v>16182</v>
      </c>
      <c r="AX16" s="22">
        <v>20700</v>
      </c>
      <c r="AY16" s="22">
        <v>32209</v>
      </c>
      <c r="AZ16" s="22"/>
      <c r="BA16" s="20">
        <v>24466</v>
      </c>
      <c r="BB16" s="20">
        <v>19970</v>
      </c>
      <c r="BC16" s="20">
        <v>14865</v>
      </c>
      <c r="BD16" s="20">
        <v>24178</v>
      </c>
      <c r="BE16" s="20"/>
      <c r="BF16" s="20">
        <v>17346</v>
      </c>
      <c r="BG16" s="20">
        <v>23561</v>
      </c>
      <c r="BH16" s="20">
        <v>16045</v>
      </c>
      <c r="BI16" s="20">
        <v>15695</v>
      </c>
      <c r="BJ16" s="20"/>
      <c r="BK16" s="20">
        <v>12429</v>
      </c>
      <c r="BL16" s="133">
        <f>+BK16-'ESF GA separado'!C14</f>
        <v>0</v>
      </c>
      <c r="BM16" s="133">
        <f>+BI16-'ESF GA separado'!D14</f>
        <v>0</v>
      </c>
    </row>
    <row r="17" spans="2:65" ht="17.25" customHeight="1" x14ac:dyDescent="0.25">
      <c r="B17" s="11" t="s">
        <v>22</v>
      </c>
      <c r="C17" s="22">
        <v>7</v>
      </c>
      <c r="D17" s="11"/>
      <c r="E17" s="20">
        <v>27</v>
      </c>
      <c r="F17" s="20">
        <v>27</v>
      </c>
      <c r="G17" s="20">
        <v>27</v>
      </c>
      <c r="H17" s="22">
        <v>0</v>
      </c>
      <c r="J17" s="20">
        <v>21</v>
      </c>
      <c r="K17" s="20">
        <v>21</v>
      </c>
      <c r="L17" s="20">
        <v>21</v>
      </c>
      <c r="M17" s="20">
        <v>94740</v>
      </c>
      <c r="N17" s="22">
        <v>0</v>
      </c>
      <c r="P17" s="20">
        <v>94740</v>
      </c>
      <c r="Q17" s="20">
        <v>94740</v>
      </c>
      <c r="R17" s="20">
        <v>94740</v>
      </c>
      <c r="S17" s="135">
        <v>0</v>
      </c>
      <c r="T17" s="22">
        <v>0</v>
      </c>
      <c r="U17" s="22">
        <v>140</v>
      </c>
      <c r="W17" s="22">
        <v>0</v>
      </c>
      <c r="X17" s="22">
        <v>0</v>
      </c>
      <c r="Y17" s="129">
        <v>0</v>
      </c>
      <c r="Z17" s="129">
        <v>0</v>
      </c>
      <c r="AB17" s="22">
        <v>0</v>
      </c>
      <c r="AC17" s="22">
        <v>0</v>
      </c>
      <c r="AD17" s="129">
        <v>0</v>
      </c>
      <c r="AE17" s="129">
        <v>0</v>
      </c>
      <c r="AF17" s="32"/>
      <c r="AG17" s="22">
        <v>0</v>
      </c>
      <c r="AH17" s="22">
        <v>0</v>
      </c>
      <c r="AI17" s="22">
        <v>0</v>
      </c>
      <c r="AJ17" s="22">
        <v>24478</v>
      </c>
      <c r="AK17" s="32"/>
      <c r="AL17" s="22">
        <v>0</v>
      </c>
      <c r="AM17" s="22">
        <v>835</v>
      </c>
      <c r="AN17" s="22">
        <v>0</v>
      </c>
      <c r="AO17" s="22">
        <v>0</v>
      </c>
      <c r="AP17" s="32"/>
      <c r="AQ17" s="22">
        <v>1148</v>
      </c>
      <c r="AR17" s="22">
        <v>0</v>
      </c>
      <c r="AS17" s="22"/>
      <c r="AT17" s="22">
        <v>0</v>
      </c>
      <c r="AU17" s="32"/>
      <c r="AV17" s="22">
        <v>0</v>
      </c>
      <c r="AW17" s="22">
        <v>0</v>
      </c>
      <c r="AX17" s="22">
        <v>64617</v>
      </c>
      <c r="AY17" s="22">
        <v>64617</v>
      </c>
      <c r="AZ17" s="22"/>
      <c r="BA17" s="22">
        <v>64617</v>
      </c>
      <c r="BB17" s="22">
        <v>2372131</v>
      </c>
      <c r="BC17" s="22">
        <v>2240472</v>
      </c>
      <c r="BD17" s="22">
        <v>2035970</v>
      </c>
      <c r="BE17" s="22"/>
      <c r="BF17" s="22">
        <v>0</v>
      </c>
      <c r="BG17" s="22">
        <v>0</v>
      </c>
      <c r="BH17" s="22">
        <v>0</v>
      </c>
      <c r="BI17" s="22">
        <v>0</v>
      </c>
      <c r="BJ17" s="22"/>
      <c r="BK17" s="22">
        <v>6971797</v>
      </c>
      <c r="BL17" s="133">
        <f>+BK17-'ESF GA separado'!C15</f>
        <v>0</v>
      </c>
      <c r="BM17" s="133">
        <f>+BI17-'ESF GA separado'!D15</f>
        <v>0</v>
      </c>
    </row>
    <row r="18" spans="2:65" x14ac:dyDescent="0.25">
      <c r="B18" s="11"/>
      <c r="C18" s="20"/>
      <c r="D18" s="11"/>
      <c r="E18" s="20"/>
      <c r="F18" s="20"/>
      <c r="G18" s="20"/>
      <c r="H18" s="20"/>
      <c r="J18" s="20"/>
      <c r="K18" s="20"/>
      <c r="L18" s="20"/>
      <c r="M18" s="20"/>
      <c r="N18" s="20"/>
      <c r="P18" s="20"/>
      <c r="Q18" s="20"/>
      <c r="R18" s="20"/>
      <c r="S18" s="20"/>
      <c r="T18" s="20"/>
      <c r="U18" s="20"/>
      <c r="W18" s="20"/>
      <c r="X18" s="20"/>
      <c r="AB18" s="20"/>
      <c r="AC18" s="20"/>
      <c r="AF18" s="32"/>
      <c r="AG18" s="20"/>
      <c r="AH18" s="20"/>
      <c r="AK18" s="32"/>
      <c r="AL18" s="20"/>
      <c r="AM18" s="20"/>
      <c r="AP18" s="32"/>
      <c r="AQ18" s="20"/>
      <c r="AR18" s="20"/>
      <c r="AS18" s="20"/>
      <c r="AT18" s="20"/>
      <c r="AU18" s="32"/>
      <c r="AV18" s="20"/>
      <c r="AW18" s="20"/>
      <c r="AX18" s="20"/>
      <c r="AY18" s="20"/>
      <c r="AZ18" s="20"/>
      <c r="BA18" s="20"/>
      <c r="BB18" s="20"/>
      <c r="BC18" s="20"/>
      <c r="BD18" s="20"/>
      <c r="BE18" s="20"/>
      <c r="BF18" s="20"/>
      <c r="BG18" s="20"/>
      <c r="BH18" s="20"/>
      <c r="BI18" s="20"/>
      <c r="BJ18" s="20"/>
      <c r="BK18" s="20"/>
      <c r="BL18" s="133"/>
      <c r="BM18" s="133"/>
    </row>
    <row r="19" spans="2:65" ht="16.5" customHeight="1" x14ac:dyDescent="0.25">
      <c r="B19" s="17" t="s">
        <v>23</v>
      </c>
      <c r="C19" s="18">
        <f>+SUM(C10:C17)</f>
        <v>340398</v>
      </c>
      <c r="D19" s="17"/>
      <c r="E19" s="18">
        <f>+SUM(E10:E17)</f>
        <v>617515</v>
      </c>
      <c r="F19" s="18">
        <f>+SUM(F10:F17)</f>
        <v>446695</v>
      </c>
      <c r="G19" s="18">
        <f>+SUM(G10:G17)</f>
        <v>710140</v>
      </c>
      <c r="H19" s="18">
        <f>+SUM(H10:H17)</f>
        <v>412505</v>
      </c>
      <c r="I19" s="137"/>
      <c r="J19" s="18">
        <f>+SUM(J10:J17)</f>
        <v>761270</v>
      </c>
      <c r="K19" s="18">
        <f>+SUM(K10:K17)</f>
        <v>433790</v>
      </c>
      <c r="L19" s="18">
        <f>+SUM(L10:L17)</f>
        <v>800120</v>
      </c>
      <c r="M19" s="18">
        <f>+SUM(M10:M17)</f>
        <v>664476</v>
      </c>
      <c r="N19" s="18">
        <f>+SUM(N10:N17)</f>
        <v>569736</v>
      </c>
      <c r="P19" s="18">
        <f t="shared" ref="P19:U19" si="0">+SUM(P10:P17)</f>
        <v>683083</v>
      </c>
      <c r="Q19" s="18">
        <f t="shared" si="0"/>
        <v>552405</v>
      </c>
      <c r="R19" s="18">
        <f t="shared" si="0"/>
        <v>630398</v>
      </c>
      <c r="S19" s="18">
        <f t="shared" si="0"/>
        <v>530151</v>
      </c>
      <c r="T19" s="18">
        <f t="shared" si="0"/>
        <v>534272</v>
      </c>
      <c r="U19" s="18">
        <f t="shared" si="0"/>
        <v>540295</v>
      </c>
      <c r="W19" s="18">
        <f>+SUM(W10:W17)</f>
        <v>688766</v>
      </c>
      <c r="X19" s="18">
        <f>+SUM(X10:X17)</f>
        <v>590565</v>
      </c>
      <c r="Y19" s="18">
        <f>+SUM(Y10:Y17)</f>
        <v>782578</v>
      </c>
      <c r="Z19" s="18">
        <f>+SUM(Z10:Z17)</f>
        <v>679552</v>
      </c>
      <c r="AB19" s="18">
        <f>+SUM(AB10:AB17)</f>
        <v>825408</v>
      </c>
      <c r="AC19" s="18">
        <f>+SUM(AC10:AC17)</f>
        <v>648902</v>
      </c>
      <c r="AD19" s="18">
        <f>+SUM(AD10:AD17)</f>
        <v>409473</v>
      </c>
      <c r="AE19" s="18">
        <f>+SUM(AE10:AE17)</f>
        <v>355005</v>
      </c>
      <c r="AF19" s="32"/>
      <c r="AG19" s="18">
        <f>+SUM(AG10:AG17)</f>
        <v>675820</v>
      </c>
      <c r="AH19" s="18">
        <f>+SUM(AH10:AH17)</f>
        <v>537812</v>
      </c>
      <c r="AI19" s="18">
        <f>+SUM(AI10:AI17)</f>
        <v>455933</v>
      </c>
      <c r="AJ19" s="18">
        <f>+SUM(AJ10:AJ17)</f>
        <v>451039</v>
      </c>
      <c r="AK19" s="32"/>
      <c r="AL19" s="18">
        <f>+SUM(AL10:AL17)</f>
        <v>961996</v>
      </c>
      <c r="AM19" s="18">
        <f>+SUM(AM10:AM17)</f>
        <v>942167</v>
      </c>
      <c r="AN19" s="18">
        <f>+SUM(AN10:AN17)</f>
        <v>889955</v>
      </c>
      <c r="AO19" s="18">
        <f>+SUM(AO10:AO17)</f>
        <v>608277</v>
      </c>
      <c r="AP19" s="32"/>
      <c r="AQ19" s="18">
        <f>+SUM(AQ10:AQ17)</f>
        <v>814762</v>
      </c>
      <c r="AR19" s="18">
        <f>+SUM(AR10:AR17)</f>
        <v>547569</v>
      </c>
      <c r="AS19" s="18">
        <f>+SUM(AS10:AS17)</f>
        <v>513718</v>
      </c>
      <c r="AT19" s="18">
        <f>+SUM(AT10:AT17)</f>
        <v>425273</v>
      </c>
      <c r="AU19" s="32"/>
      <c r="AV19" s="18">
        <f>+SUM(AV10:AV17)</f>
        <v>1278074</v>
      </c>
      <c r="AW19" s="18">
        <f>+SUM(AW10:AW17)</f>
        <v>1127132</v>
      </c>
      <c r="AX19" s="18">
        <f>+SUM(AX10:AX17)</f>
        <v>949010</v>
      </c>
      <c r="AY19" s="18">
        <f>+SUM(AY10:AY17)</f>
        <v>884520</v>
      </c>
      <c r="AZ19" s="18"/>
      <c r="BA19" s="18">
        <f t="shared" ref="BA19:BD19" si="1">+SUM(BA10:BA17)</f>
        <v>955202</v>
      </c>
      <c r="BB19" s="18">
        <f t="shared" si="1"/>
        <v>3545616</v>
      </c>
      <c r="BC19" s="18">
        <f t="shared" si="1"/>
        <v>3494885</v>
      </c>
      <c r="BD19" s="18">
        <f t="shared" si="1"/>
        <v>3226188</v>
      </c>
      <c r="BE19" s="18"/>
      <c r="BF19" s="18">
        <f t="shared" ref="BF19:BI19" si="2">+SUM(BF10:BF17)</f>
        <v>1461360</v>
      </c>
      <c r="BG19" s="18">
        <f t="shared" si="2"/>
        <v>1158108</v>
      </c>
      <c r="BH19" s="18">
        <f t="shared" si="2"/>
        <v>905633</v>
      </c>
      <c r="BI19" s="18">
        <f t="shared" si="2"/>
        <v>714691</v>
      </c>
      <c r="BJ19" s="18"/>
      <c r="BK19" s="18">
        <f t="shared" ref="BK19" si="3">+SUM(BK10:BK17)</f>
        <v>9046468</v>
      </c>
      <c r="BL19" s="133">
        <f>+BK19-'ESF GA separado'!C17</f>
        <v>0</v>
      </c>
      <c r="BM19" s="133">
        <f>+BI19-'ESF GA separado'!D17</f>
        <v>0</v>
      </c>
    </row>
    <row r="20" spans="2:65" ht="4.5" customHeight="1" x14ac:dyDescent="0.25">
      <c r="C20" s="20"/>
      <c r="E20" s="20"/>
      <c r="F20" s="20"/>
      <c r="G20" s="20"/>
      <c r="H20" s="20"/>
      <c r="J20" s="20"/>
      <c r="K20" s="20"/>
      <c r="L20" s="20"/>
      <c r="M20" s="20"/>
      <c r="N20" s="20"/>
      <c r="P20" s="20"/>
      <c r="Q20" s="20"/>
      <c r="R20" s="20"/>
      <c r="S20" s="20"/>
      <c r="T20" s="20"/>
      <c r="U20" s="20"/>
      <c r="W20" s="20"/>
      <c r="AB20" s="20"/>
      <c r="AG20" s="20"/>
      <c r="AL20" s="20"/>
      <c r="AQ20" s="20"/>
      <c r="AU20" s="32"/>
      <c r="BA20" s="20"/>
      <c r="BB20" s="20"/>
      <c r="BC20" s="20"/>
      <c r="BD20" s="20"/>
      <c r="BE20" s="20"/>
      <c r="BF20" s="20"/>
      <c r="BG20" s="20"/>
      <c r="BH20" s="20"/>
      <c r="BI20" s="20"/>
      <c r="BJ20" s="20"/>
      <c r="BK20" s="20"/>
      <c r="BL20" s="133"/>
      <c r="BM20" s="133"/>
    </row>
    <row r="21" spans="2:65" ht="15.75" customHeight="1" x14ac:dyDescent="0.2">
      <c r="B21" s="21" t="s">
        <v>24</v>
      </c>
      <c r="C21" s="20">
        <f>11939487-1</f>
        <v>11939486</v>
      </c>
      <c r="D21" s="21"/>
      <c r="E21" s="20">
        <v>12002319</v>
      </c>
      <c r="F21" s="20">
        <v>12127161</v>
      </c>
      <c r="G21" s="20">
        <v>12245131</v>
      </c>
      <c r="H21" s="20">
        <v>12613801</v>
      </c>
      <c r="J21" s="20">
        <v>11850219</v>
      </c>
      <c r="K21" s="20">
        <v>13063539</v>
      </c>
      <c r="L21" s="20">
        <v>13355749</v>
      </c>
      <c r="M21" s="20">
        <f>13604214</f>
        <v>13604214</v>
      </c>
      <c r="N21" s="20">
        <v>13628417</v>
      </c>
      <c r="P21" s="20">
        <v>13638225</v>
      </c>
      <c r="Q21" s="20">
        <v>13649185</v>
      </c>
      <c r="R21" s="20">
        <v>13489078</v>
      </c>
      <c r="S21" s="20">
        <v>13486342</v>
      </c>
      <c r="T21" s="20">
        <v>14515263</v>
      </c>
      <c r="U21" s="20">
        <v>14377651</v>
      </c>
      <c r="W21" s="20">
        <v>14669083</v>
      </c>
      <c r="X21" s="20">
        <v>14978206</v>
      </c>
      <c r="Y21" s="20">
        <v>14737345</v>
      </c>
      <c r="Z21" s="20">
        <v>14687131</v>
      </c>
      <c r="AB21" s="20">
        <v>14606363</v>
      </c>
      <c r="AC21" s="20">
        <v>14901185</v>
      </c>
      <c r="AD21" s="20">
        <v>15017073</v>
      </c>
      <c r="AE21" s="20">
        <v>15219881</v>
      </c>
      <c r="AF21" s="32"/>
      <c r="AG21" s="20">
        <v>14896138</v>
      </c>
      <c r="AH21" s="20">
        <v>14911228</v>
      </c>
      <c r="AI21" s="20">
        <v>15599154</v>
      </c>
      <c r="AJ21" s="20">
        <v>15341472</v>
      </c>
      <c r="AK21" s="32"/>
      <c r="AL21" s="20">
        <v>15556214</v>
      </c>
      <c r="AM21" s="20">
        <v>15203786</v>
      </c>
      <c r="AN21" s="20">
        <v>15491826</v>
      </c>
      <c r="AO21" s="20">
        <v>14934627</v>
      </c>
      <c r="AP21" s="32"/>
      <c r="AQ21" s="20">
        <v>15148144</v>
      </c>
      <c r="AR21" s="20">
        <v>15358219</v>
      </c>
      <c r="AS21" s="20">
        <v>15483775</v>
      </c>
      <c r="AT21" s="20">
        <v>16160782</v>
      </c>
      <c r="AU21" s="32"/>
      <c r="AV21" s="20">
        <v>16015551</v>
      </c>
      <c r="AW21" s="20">
        <v>16494041</v>
      </c>
      <c r="AX21" s="20">
        <v>17119306</v>
      </c>
      <c r="AY21" s="20">
        <v>17937344</v>
      </c>
      <c r="AZ21" s="20"/>
      <c r="BA21" s="20">
        <v>18325744</v>
      </c>
      <c r="BB21" s="198">
        <v>15279491</v>
      </c>
      <c r="BC21" s="198">
        <v>14890167</v>
      </c>
      <c r="BD21" s="20">
        <v>14288963</v>
      </c>
      <c r="BE21" s="20"/>
      <c r="BF21" s="198">
        <v>18070107</v>
      </c>
      <c r="BG21" s="198">
        <v>19090210</v>
      </c>
      <c r="BH21" s="198">
        <v>19206514</v>
      </c>
      <c r="BI21" s="20">
        <v>19434328</v>
      </c>
      <c r="BJ21" s="20"/>
      <c r="BK21" s="20">
        <v>12725227</v>
      </c>
      <c r="BL21" s="133">
        <f>+BK21-'ESF GA separado'!C19</f>
        <v>0</v>
      </c>
      <c r="BM21" s="133">
        <f>+BI21-'ESF GA separado'!D19</f>
        <v>0</v>
      </c>
    </row>
    <row r="22" spans="2:65" ht="25.5" x14ac:dyDescent="0.25">
      <c r="B22" s="11" t="s">
        <v>18</v>
      </c>
      <c r="C22" s="20">
        <v>5113</v>
      </c>
      <c r="D22" s="11"/>
      <c r="E22" s="20">
        <v>5146</v>
      </c>
      <c r="F22" s="20">
        <f>5475+1</f>
        <v>5476</v>
      </c>
      <c r="G22" s="20">
        <v>5635</v>
      </c>
      <c r="H22" s="20">
        <v>6134</v>
      </c>
      <c r="J22" s="20">
        <v>2673</v>
      </c>
      <c r="K22" s="20">
        <v>5856</v>
      </c>
      <c r="L22" s="20">
        <v>5261</v>
      </c>
      <c r="M22" s="20">
        <v>3382</v>
      </c>
      <c r="N22" s="20">
        <v>3382</v>
      </c>
      <c r="P22" s="20">
        <v>3660</v>
      </c>
      <c r="Q22" s="20">
        <v>3998</v>
      </c>
      <c r="R22" s="20">
        <v>4041</v>
      </c>
      <c r="S22" s="20">
        <v>4041</v>
      </c>
      <c r="T22" s="20">
        <v>4166</v>
      </c>
      <c r="U22" s="20">
        <v>4166</v>
      </c>
      <c r="W22" s="20">
        <v>35178</v>
      </c>
      <c r="X22" s="20">
        <v>22999</v>
      </c>
      <c r="Y22" s="20">
        <v>13550</v>
      </c>
      <c r="Z22" s="20">
        <v>11965</v>
      </c>
      <c r="AB22" s="20">
        <v>11882</v>
      </c>
      <c r="AC22" s="20">
        <v>7891</v>
      </c>
      <c r="AD22" s="20">
        <v>103711</v>
      </c>
      <c r="AE22" s="20">
        <v>107903</v>
      </c>
      <c r="AF22" s="32"/>
      <c r="AG22" s="20">
        <v>102038</v>
      </c>
      <c r="AH22" s="20">
        <v>98277</v>
      </c>
      <c r="AI22" s="20">
        <v>94671</v>
      </c>
      <c r="AJ22" s="20">
        <v>96511</v>
      </c>
      <c r="AK22" s="32"/>
      <c r="AL22" s="20">
        <v>101955</v>
      </c>
      <c r="AM22" s="20">
        <v>102388</v>
      </c>
      <c r="AN22" s="20">
        <v>34925</v>
      </c>
      <c r="AO22" s="20">
        <v>32062</v>
      </c>
      <c r="AP22" s="32"/>
      <c r="AQ22" s="20">
        <v>34106</v>
      </c>
      <c r="AR22" s="20">
        <v>157071</v>
      </c>
      <c r="AS22" s="20">
        <v>162956</v>
      </c>
      <c r="AT22" s="20">
        <v>151249</v>
      </c>
      <c r="AU22" s="32"/>
      <c r="AV22" s="20">
        <v>166808</v>
      </c>
      <c r="AW22" s="20">
        <v>158689</v>
      </c>
      <c r="AX22" s="20">
        <v>159606</v>
      </c>
      <c r="AY22" s="20">
        <v>112594</v>
      </c>
      <c r="AZ22" s="20"/>
      <c r="BA22" s="20">
        <v>116412</v>
      </c>
      <c r="BB22" s="198">
        <v>114698</v>
      </c>
      <c r="BC22" s="198">
        <v>121876</v>
      </c>
      <c r="BD22" s="20">
        <v>127049</v>
      </c>
      <c r="BE22" s="20"/>
      <c r="BF22" s="20">
        <v>120994</v>
      </c>
      <c r="BG22" s="20">
        <v>143410</v>
      </c>
      <c r="BH22" s="20">
        <v>157059</v>
      </c>
      <c r="BI22" s="20">
        <v>115260</v>
      </c>
      <c r="BJ22" s="20"/>
      <c r="BK22" s="20">
        <v>134223</v>
      </c>
      <c r="BL22" s="133">
        <f>+BK22-'ESF GA separado'!C20</f>
        <v>0</v>
      </c>
      <c r="BM22" s="133">
        <f>+BI22-'ESF GA separado'!D20</f>
        <v>0</v>
      </c>
    </row>
    <row r="23" spans="2:65" ht="15.75" customHeight="1" x14ac:dyDescent="0.2">
      <c r="B23" s="21" t="s">
        <v>19</v>
      </c>
      <c r="C23" s="22">
        <v>0</v>
      </c>
      <c r="D23" s="21"/>
      <c r="E23" s="22">
        <v>0</v>
      </c>
      <c r="F23" s="22">
        <v>0</v>
      </c>
      <c r="G23" s="22">
        <v>0</v>
      </c>
      <c r="H23" s="22">
        <v>29508</v>
      </c>
      <c r="J23" s="22">
        <v>0</v>
      </c>
      <c r="K23" s="22">
        <v>0</v>
      </c>
      <c r="L23" s="22">
        <v>0</v>
      </c>
      <c r="M23" s="22">
        <v>24146</v>
      </c>
      <c r="N23" s="22">
        <v>24146</v>
      </c>
      <c r="P23" s="22">
        <v>26594</v>
      </c>
      <c r="Q23" s="22">
        <v>26594</v>
      </c>
      <c r="R23" s="22">
        <v>20659</v>
      </c>
      <c r="S23" s="22">
        <v>20659</v>
      </c>
      <c r="T23" s="22">
        <v>42583</v>
      </c>
      <c r="U23" s="22">
        <v>42583</v>
      </c>
      <c r="W23" s="22">
        <v>44913</v>
      </c>
      <c r="X23" s="20">
        <v>46887</v>
      </c>
      <c r="Y23" s="20">
        <v>46720</v>
      </c>
      <c r="Z23" s="20">
        <v>47275</v>
      </c>
      <c r="AB23" s="22">
        <v>47952</v>
      </c>
      <c r="AC23" s="20">
        <v>49145</v>
      </c>
      <c r="AD23" s="20">
        <v>50734</v>
      </c>
      <c r="AE23" s="20">
        <v>36747</v>
      </c>
      <c r="AF23" s="32"/>
      <c r="AG23" s="22">
        <v>36959</v>
      </c>
      <c r="AH23" s="20">
        <v>37030</v>
      </c>
      <c r="AI23" s="20">
        <v>36065</v>
      </c>
      <c r="AJ23" s="20">
        <v>37204</v>
      </c>
      <c r="AK23" s="32"/>
      <c r="AL23" s="22">
        <v>37366</v>
      </c>
      <c r="AM23" s="20">
        <v>0</v>
      </c>
      <c r="AN23" s="20">
        <v>0</v>
      </c>
      <c r="AO23" s="20">
        <v>0</v>
      </c>
      <c r="AP23" s="32"/>
      <c r="AQ23" s="22">
        <v>0</v>
      </c>
      <c r="AR23" s="20">
        <v>0</v>
      </c>
      <c r="AS23" s="20">
        <v>0</v>
      </c>
      <c r="AT23" s="20">
        <v>0</v>
      </c>
      <c r="AU23" s="32"/>
      <c r="AV23" s="22">
        <v>0</v>
      </c>
      <c r="AW23" s="20">
        <v>0</v>
      </c>
      <c r="AX23" s="20">
        <v>0</v>
      </c>
      <c r="AY23" s="20">
        <v>0</v>
      </c>
      <c r="AZ23" s="20"/>
      <c r="BA23" s="22">
        <v>0</v>
      </c>
      <c r="BB23" s="22">
        <v>0</v>
      </c>
      <c r="BC23" s="22">
        <v>0</v>
      </c>
      <c r="BD23" s="22">
        <v>0</v>
      </c>
      <c r="BE23" s="22"/>
      <c r="BF23" s="22">
        <v>0</v>
      </c>
      <c r="BG23" s="22">
        <v>0</v>
      </c>
      <c r="BH23" s="22">
        <v>0</v>
      </c>
      <c r="BI23" s="22">
        <v>0</v>
      </c>
      <c r="BJ23" s="22"/>
      <c r="BK23" s="22">
        <v>0</v>
      </c>
      <c r="BL23" s="133">
        <f>+BK23-'ESF GA separado'!C21</f>
        <v>0</v>
      </c>
      <c r="BM23" s="133">
        <f>+BI23-'ESF GA separado'!D21</f>
        <v>0</v>
      </c>
    </row>
    <row r="24" spans="2:65" ht="15.75" customHeight="1" x14ac:dyDescent="0.2">
      <c r="B24" s="21" t="s">
        <v>25</v>
      </c>
      <c r="C24" s="22"/>
      <c r="D24" s="21"/>
      <c r="E24" s="22"/>
      <c r="F24" s="22"/>
      <c r="G24" s="22"/>
      <c r="H24" s="22"/>
      <c r="J24" s="22"/>
      <c r="K24" s="22"/>
      <c r="L24" s="22"/>
      <c r="M24" s="22"/>
      <c r="N24" s="22"/>
      <c r="P24" s="22"/>
      <c r="Q24" s="22"/>
      <c r="R24" s="22"/>
      <c r="S24" s="22"/>
      <c r="T24" s="22"/>
      <c r="U24" s="22"/>
      <c r="W24" s="22"/>
      <c r="X24" s="20"/>
      <c r="Y24" s="20"/>
      <c r="Z24" s="20"/>
      <c r="AB24" s="22"/>
      <c r="AC24" s="20"/>
      <c r="AD24" s="20"/>
      <c r="AE24" s="20"/>
      <c r="AF24" s="32"/>
      <c r="AG24" s="22">
        <v>12421</v>
      </c>
      <c r="AH24" s="20">
        <v>13017</v>
      </c>
      <c r="AI24" s="20">
        <v>13296</v>
      </c>
      <c r="AJ24" s="20">
        <v>12817</v>
      </c>
      <c r="AK24" s="32"/>
      <c r="AL24" s="22">
        <v>11209</v>
      </c>
      <c r="AM24" s="20">
        <v>10661</v>
      </c>
      <c r="AN24" s="20">
        <v>10461</v>
      </c>
      <c r="AO24" s="20">
        <v>8777</v>
      </c>
      <c r="AP24" s="32"/>
      <c r="AQ24" s="22">
        <v>8350</v>
      </c>
      <c r="AR24" s="20">
        <v>7824</v>
      </c>
      <c r="AS24" s="20">
        <v>7253</v>
      </c>
      <c r="AT24" s="20">
        <v>6723</v>
      </c>
      <c r="AU24" s="32"/>
      <c r="AV24" s="22">
        <v>8046</v>
      </c>
      <c r="AW24" s="20">
        <v>8025</v>
      </c>
      <c r="AX24" s="20">
        <v>7676</v>
      </c>
      <c r="AY24" s="20">
        <v>7021</v>
      </c>
      <c r="AZ24" s="20"/>
      <c r="BA24" s="22">
        <v>6542</v>
      </c>
      <c r="BB24" s="22">
        <v>5791</v>
      </c>
      <c r="BC24" s="22">
        <v>5402</v>
      </c>
      <c r="BD24" s="22">
        <v>4970</v>
      </c>
      <c r="BE24" s="22"/>
      <c r="BF24" s="22">
        <v>4934</v>
      </c>
      <c r="BG24" s="22">
        <v>4279</v>
      </c>
      <c r="BH24" s="22">
        <v>4607</v>
      </c>
      <c r="BI24" s="22">
        <v>4158</v>
      </c>
      <c r="BJ24" s="22"/>
      <c r="BK24" s="22">
        <v>3725</v>
      </c>
      <c r="BL24" s="133">
        <f>+BK24-'ESF GA separado'!C22</f>
        <v>0</v>
      </c>
      <c r="BM24" s="133">
        <f>+BI24-'ESF GA separado'!D22</f>
        <v>0</v>
      </c>
    </row>
    <row r="25" spans="2:65" ht="15.75" customHeight="1" x14ac:dyDescent="0.2">
      <c r="B25" s="21" t="s">
        <v>26</v>
      </c>
      <c r="C25" s="20">
        <v>5116</v>
      </c>
      <c r="D25" s="21"/>
      <c r="E25" s="20">
        <v>7515</v>
      </c>
      <c r="F25" s="20">
        <v>10609</v>
      </c>
      <c r="G25" s="20">
        <v>10728</v>
      </c>
      <c r="H25" s="20">
        <v>8788</v>
      </c>
      <c r="J25" s="20">
        <v>8295</v>
      </c>
      <c r="K25" s="20">
        <v>7849</v>
      </c>
      <c r="L25" s="20">
        <v>7403</v>
      </c>
      <c r="M25" s="20">
        <v>8489</v>
      </c>
      <c r="N25" s="20">
        <v>8489</v>
      </c>
      <c r="P25" s="20">
        <v>7842</v>
      </c>
      <c r="Q25" s="20">
        <v>7196</v>
      </c>
      <c r="R25" s="20">
        <v>6565</v>
      </c>
      <c r="S25" s="20">
        <v>6565</v>
      </c>
      <c r="T25" s="20">
        <v>5917</v>
      </c>
      <c r="U25" s="20">
        <v>5974</v>
      </c>
      <c r="W25" s="20">
        <v>5404</v>
      </c>
      <c r="X25" s="20">
        <v>5014</v>
      </c>
      <c r="Y25" s="20">
        <v>4991</v>
      </c>
      <c r="Z25" s="20">
        <v>3329</v>
      </c>
      <c r="AB25" s="20">
        <v>2680</v>
      </c>
      <c r="AC25" s="20">
        <v>2032</v>
      </c>
      <c r="AD25" s="20">
        <v>1388</v>
      </c>
      <c r="AE25" s="20">
        <v>119633</v>
      </c>
      <c r="AF25" s="32"/>
      <c r="AG25" s="20">
        <v>116349</v>
      </c>
      <c r="AH25" s="20">
        <v>113113</v>
      </c>
      <c r="AI25" s="20">
        <v>109880</v>
      </c>
      <c r="AJ25" s="20">
        <v>107005</v>
      </c>
      <c r="AK25" s="32"/>
      <c r="AL25" s="20">
        <v>104008</v>
      </c>
      <c r="AM25" s="20">
        <v>100344</v>
      </c>
      <c r="AN25" s="20">
        <v>95330</v>
      </c>
      <c r="AO25" s="20">
        <v>91296</v>
      </c>
      <c r="AP25" s="32"/>
      <c r="AQ25" s="20">
        <v>87459</v>
      </c>
      <c r="AR25" s="20">
        <v>83658</v>
      </c>
      <c r="AS25" s="20">
        <v>79839</v>
      </c>
      <c r="AT25" s="20">
        <v>76021</v>
      </c>
      <c r="AU25" s="32"/>
      <c r="AV25" s="20">
        <v>72219</v>
      </c>
      <c r="AW25" s="20">
        <v>68418</v>
      </c>
      <c r="AX25" s="20">
        <v>0</v>
      </c>
      <c r="AY25" s="20">
        <v>0</v>
      </c>
      <c r="AZ25" s="20"/>
      <c r="BA25" s="202">
        <v>0</v>
      </c>
      <c r="BB25" s="198">
        <v>0</v>
      </c>
      <c r="BC25" s="198">
        <v>0</v>
      </c>
      <c r="BD25" s="198">
        <v>0</v>
      </c>
      <c r="BE25" s="198">
        <v>0</v>
      </c>
      <c r="BF25" s="198">
        <v>0</v>
      </c>
      <c r="BG25" s="198">
        <v>0</v>
      </c>
      <c r="BH25" s="198">
        <v>0</v>
      </c>
      <c r="BI25" s="198">
        <v>0</v>
      </c>
      <c r="BJ25" s="300"/>
      <c r="BK25" s="202">
        <v>0</v>
      </c>
      <c r="BL25" s="133">
        <f>+BK25-'ESF GA separado'!C23</f>
        <v>0</v>
      </c>
      <c r="BM25" s="133">
        <f>+BI25-'ESF GA separado'!D23</f>
        <v>0</v>
      </c>
    </row>
    <row r="26" spans="2:65" ht="15.75" customHeight="1" x14ac:dyDescent="0.2">
      <c r="B26" s="21" t="s">
        <v>27</v>
      </c>
      <c r="C26" s="20">
        <v>12065</v>
      </c>
      <c r="D26" s="21"/>
      <c r="E26" s="20">
        <v>13531</v>
      </c>
      <c r="F26" s="20">
        <v>75787</v>
      </c>
      <c r="G26" s="20">
        <v>102042</v>
      </c>
      <c r="H26" s="20">
        <v>19238</v>
      </c>
      <c r="J26" s="20">
        <v>80565</v>
      </c>
      <c r="K26" s="20">
        <v>212732</v>
      </c>
      <c r="L26" s="20">
        <v>95596</v>
      </c>
      <c r="M26" s="20">
        <v>82850</v>
      </c>
      <c r="N26" s="20">
        <v>82850</v>
      </c>
      <c r="P26" s="20">
        <v>83148</v>
      </c>
      <c r="Q26" s="20">
        <v>83621</v>
      </c>
      <c r="R26" s="20">
        <v>86502</v>
      </c>
      <c r="S26" s="20">
        <v>86502</v>
      </c>
      <c r="T26" s="20">
        <v>25551</v>
      </c>
      <c r="U26" s="20">
        <v>25901</v>
      </c>
      <c r="W26" s="20">
        <v>27243</v>
      </c>
      <c r="X26" s="20">
        <v>26267</v>
      </c>
      <c r="Y26" s="20">
        <v>10572</v>
      </c>
      <c r="Z26" s="20">
        <v>10723</v>
      </c>
      <c r="AB26" s="20">
        <v>10516</v>
      </c>
      <c r="AC26" s="20">
        <v>2446</v>
      </c>
      <c r="AD26" s="20">
        <v>2224</v>
      </c>
      <c r="AE26" s="20">
        <v>2022</v>
      </c>
      <c r="AF26" s="32"/>
      <c r="AG26" s="20">
        <v>1849</v>
      </c>
      <c r="AH26" s="20">
        <v>1615</v>
      </c>
      <c r="AI26" s="20">
        <v>1449</v>
      </c>
      <c r="AJ26" s="20">
        <v>1452</v>
      </c>
      <c r="AK26" s="32"/>
      <c r="AL26" s="20">
        <v>1222</v>
      </c>
      <c r="AM26" s="20">
        <v>1074</v>
      </c>
      <c r="AN26" s="20">
        <v>954</v>
      </c>
      <c r="AO26" s="20">
        <v>856</v>
      </c>
      <c r="AP26" s="32"/>
      <c r="AQ26" s="20">
        <v>823</v>
      </c>
      <c r="AR26" s="20">
        <v>789</v>
      </c>
      <c r="AS26" s="20">
        <v>1003</v>
      </c>
      <c r="AT26" s="20">
        <v>1806</v>
      </c>
      <c r="AU26" s="32"/>
      <c r="AV26" s="20">
        <v>1725</v>
      </c>
      <c r="AW26" s="20">
        <v>1647</v>
      </c>
      <c r="AX26" s="20">
        <v>1569</v>
      </c>
      <c r="AY26" s="20">
        <v>1491</v>
      </c>
      <c r="AZ26" s="20"/>
      <c r="BA26" s="20">
        <v>1413</v>
      </c>
      <c r="BB26" s="198">
        <v>1574</v>
      </c>
      <c r="BC26" s="198">
        <v>2120</v>
      </c>
      <c r="BD26" s="20">
        <v>2546</v>
      </c>
      <c r="BE26" s="20"/>
      <c r="BF26" s="20">
        <v>2399</v>
      </c>
      <c r="BG26" s="20">
        <v>2264</v>
      </c>
      <c r="BH26" s="20">
        <v>2406</v>
      </c>
      <c r="BI26" s="20">
        <v>2245</v>
      </c>
      <c r="BJ26" s="20"/>
      <c r="BK26" s="20">
        <v>2085</v>
      </c>
      <c r="BL26" s="133">
        <f>+BK26-'ESF GA separado'!C24</f>
        <v>0</v>
      </c>
      <c r="BM26" s="133">
        <f>+BI26-'ESF GA separado'!D24</f>
        <v>0</v>
      </c>
    </row>
    <row r="27" spans="2:65" ht="15.75" customHeight="1" x14ac:dyDescent="0.2">
      <c r="B27" s="21" t="s">
        <v>29</v>
      </c>
      <c r="C27" s="20">
        <v>2040643</v>
      </c>
      <c r="D27" s="21"/>
      <c r="E27" s="20">
        <v>2208481</v>
      </c>
      <c r="F27" s="20">
        <v>2208796</v>
      </c>
      <c r="G27" s="20">
        <v>2250911</v>
      </c>
      <c r="H27" s="20">
        <v>2122462</v>
      </c>
      <c r="J27" s="20">
        <v>2249142</v>
      </c>
      <c r="K27" s="20">
        <v>2247758</v>
      </c>
      <c r="L27" s="20">
        <v>2202024</v>
      </c>
      <c r="M27" s="20">
        <v>1781868</v>
      </c>
      <c r="N27" s="20">
        <v>2010817</v>
      </c>
      <c r="P27" s="20">
        <v>1767538</v>
      </c>
      <c r="Q27" s="20">
        <v>1682706</v>
      </c>
      <c r="R27" s="20">
        <v>1682704</v>
      </c>
      <c r="S27" s="20">
        <v>1917370</v>
      </c>
      <c r="T27" s="20">
        <v>1867447</v>
      </c>
      <c r="U27" s="20">
        <f>1867447+219454</f>
        <v>2086901</v>
      </c>
      <c r="W27" s="20">
        <v>1818947</v>
      </c>
      <c r="X27" s="20">
        <v>1799146</v>
      </c>
      <c r="Y27" s="20">
        <v>1908505</v>
      </c>
      <c r="Z27" s="20">
        <v>2083575</v>
      </c>
      <c r="AB27" s="20">
        <v>2093232</v>
      </c>
      <c r="AC27" s="20">
        <v>2100841</v>
      </c>
      <c r="AD27" s="20">
        <v>2116300</v>
      </c>
      <c r="AE27" s="20">
        <v>2105213</v>
      </c>
      <c r="AF27" s="32"/>
      <c r="AG27" s="20">
        <v>2119416</v>
      </c>
      <c r="AH27" s="20">
        <v>2128858</v>
      </c>
      <c r="AI27" s="20">
        <v>2136943</v>
      </c>
      <c r="AJ27" s="20">
        <v>2108346</v>
      </c>
      <c r="AK27" s="32"/>
      <c r="AL27" s="20">
        <v>2119829</v>
      </c>
      <c r="AM27" s="20">
        <v>2118279</v>
      </c>
      <c r="AN27" s="20">
        <v>2121714</v>
      </c>
      <c r="AO27" s="20">
        <v>2108885</v>
      </c>
      <c r="AP27" s="32"/>
      <c r="AQ27" s="20">
        <v>2126889</v>
      </c>
      <c r="AR27" s="20">
        <v>2142983</v>
      </c>
      <c r="AS27" s="20">
        <v>2141411</v>
      </c>
      <c r="AT27" s="20">
        <v>2123104</v>
      </c>
      <c r="AU27" s="32"/>
      <c r="AV27" s="20">
        <v>2067558</v>
      </c>
      <c r="AW27" s="20">
        <v>2079014</v>
      </c>
      <c r="AX27" s="20">
        <v>2082525</v>
      </c>
      <c r="AY27" s="20">
        <v>2020317</v>
      </c>
      <c r="AZ27" s="20"/>
      <c r="BA27" s="20">
        <v>2060158</v>
      </c>
      <c r="BB27" s="198">
        <v>2008786</v>
      </c>
      <c r="BC27" s="198">
        <v>1989775</v>
      </c>
      <c r="BD27" s="20">
        <v>1958064</v>
      </c>
      <c r="BE27" s="20"/>
      <c r="BF27" s="20">
        <v>1855172</v>
      </c>
      <c r="BG27" s="20">
        <v>1754509</v>
      </c>
      <c r="BH27" s="20">
        <v>1763515</v>
      </c>
      <c r="BI27" s="20">
        <v>1742975</v>
      </c>
      <c r="BJ27" s="20"/>
      <c r="BK27" s="20">
        <v>1145999</v>
      </c>
      <c r="BL27" s="133">
        <f>+BK27-'ESF GA separado'!C25</f>
        <v>0</v>
      </c>
      <c r="BM27" s="133">
        <f>+BI27-'ESF GA separado'!D25</f>
        <v>0</v>
      </c>
    </row>
    <row r="28" spans="2:65" ht="15.75" customHeight="1" x14ac:dyDescent="0.2">
      <c r="B28" s="21" t="s">
        <v>30</v>
      </c>
      <c r="C28" s="22">
        <v>0</v>
      </c>
      <c r="D28" s="21"/>
      <c r="E28" s="22">
        <v>0</v>
      </c>
      <c r="F28" s="22">
        <v>0</v>
      </c>
      <c r="G28" s="22">
        <v>0</v>
      </c>
      <c r="H28" s="22">
        <v>0</v>
      </c>
      <c r="J28" s="22">
        <v>0</v>
      </c>
      <c r="K28" s="22">
        <v>0</v>
      </c>
      <c r="L28" s="22">
        <v>0</v>
      </c>
      <c r="M28" s="22">
        <v>0</v>
      </c>
      <c r="N28" s="22">
        <v>0</v>
      </c>
      <c r="P28" s="22">
        <v>774</v>
      </c>
      <c r="Q28" s="22">
        <v>0</v>
      </c>
      <c r="R28" s="22">
        <v>0</v>
      </c>
      <c r="S28" s="22">
        <v>0</v>
      </c>
      <c r="T28" s="22">
        <v>0</v>
      </c>
      <c r="U28" s="22">
        <v>0</v>
      </c>
      <c r="W28" s="22">
        <v>0</v>
      </c>
      <c r="X28" s="22">
        <v>0</v>
      </c>
      <c r="Y28" s="22">
        <v>0</v>
      </c>
      <c r="Z28" s="22">
        <v>0</v>
      </c>
      <c r="AB28" s="22">
        <v>0</v>
      </c>
      <c r="AC28" s="22">
        <v>0</v>
      </c>
      <c r="AD28" s="22">
        <v>0</v>
      </c>
      <c r="AE28" s="22">
        <v>0</v>
      </c>
      <c r="AF28" s="32"/>
      <c r="AG28" s="22">
        <v>0</v>
      </c>
      <c r="AH28" s="22">
        <v>0</v>
      </c>
      <c r="AI28" s="22">
        <v>0</v>
      </c>
      <c r="AJ28" s="22">
        <v>0</v>
      </c>
      <c r="AK28" s="32"/>
      <c r="AL28" s="22">
        <v>0</v>
      </c>
      <c r="AM28" s="22">
        <v>0</v>
      </c>
      <c r="AN28" s="22">
        <v>0</v>
      </c>
      <c r="AO28" s="22">
        <v>0</v>
      </c>
      <c r="AP28" s="32"/>
      <c r="AQ28" s="22">
        <v>0</v>
      </c>
      <c r="AR28" s="22">
        <v>0</v>
      </c>
      <c r="AS28" s="22"/>
      <c r="AT28" s="22">
        <v>0</v>
      </c>
      <c r="AU28" s="32"/>
      <c r="AV28" s="22"/>
      <c r="AW28" s="22">
        <v>0</v>
      </c>
      <c r="AX28" s="22">
        <v>0</v>
      </c>
      <c r="AY28" s="22">
        <v>0</v>
      </c>
      <c r="AZ28" s="22"/>
      <c r="BA28" s="22">
        <v>0</v>
      </c>
      <c r="BB28" s="22">
        <v>0</v>
      </c>
      <c r="BC28" s="22">
        <v>0</v>
      </c>
      <c r="BD28" s="22">
        <v>0</v>
      </c>
      <c r="BE28" s="22"/>
      <c r="BF28" s="22"/>
      <c r="BG28" s="22"/>
      <c r="BH28" s="22"/>
      <c r="BI28" s="22"/>
      <c r="BJ28" s="22"/>
      <c r="BK28" s="22"/>
      <c r="BL28" s="133">
        <f>+BK28-'ESF GA separado'!C26</f>
        <v>0</v>
      </c>
      <c r="BM28" s="133">
        <f>+BI28-'ESF GA separado'!D26</f>
        <v>0</v>
      </c>
    </row>
    <row r="29" spans="2:65" ht="15.75" customHeight="1" x14ac:dyDescent="0.2">
      <c r="B29" s="21" t="s">
        <v>20</v>
      </c>
      <c r="C29" s="22">
        <v>0</v>
      </c>
      <c r="D29" s="21"/>
      <c r="E29" s="22">
        <v>0</v>
      </c>
      <c r="F29" s="22">
        <v>0</v>
      </c>
      <c r="G29" s="22">
        <v>0</v>
      </c>
      <c r="H29" s="22">
        <v>0</v>
      </c>
      <c r="J29" s="22">
        <v>0</v>
      </c>
      <c r="K29" s="22">
        <v>0</v>
      </c>
      <c r="L29" s="22">
        <v>0</v>
      </c>
      <c r="M29" s="22">
        <v>0</v>
      </c>
      <c r="N29" s="22">
        <v>0</v>
      </c>
      <c r="P29" s="22">
        <v>0</v>
      </c>
      <c r="Q29" s="22">
        <v>0</v>
      </c>
      <c r="R29" s="22">
        <v>0</v>
      </c>
      <c r="S29" s="22">
        <v>0</v>
      </c>
      <c r="T29" s="22">
        <v>0</v>
      </c>
      <c r="U29" s="22">
        <v>0</v>
      </c>
      <c r="W29" s="22">
        <v>0</v>
      </c>
      <c r="X29" s="22">
        <v>0</v>
      </c>
      <c r="Y29" s="22">
        <v>0</v>
      </c>
      <c r="Z29" s="22">
        <v>0</v>
      </c>
      <c r="AB29" s="22">
        <v>0</v>
      </c>
      <c r="AC29" s="22">
        <v>0</v>
      </c>
      <c r="AD29" s="22">
        <v>0</v>
      </c>
      <c r="AE29" s="22">
        <v>0</v>
      </c>
      <c r="AF29" s="32"/>
      <c r="AG29" s="22">
        <v>0</v>
      </c>
      <c r="AH29" s="22">
        <v>0</v>
      </c>
      <c r="AI29" s="22">
        <v>0</v>
      </c>
      <c r="AJ29" s="22">
        <v>0</v>
      </c>
      <c r="AK29" s="32"/>
      <c r="AL29" s="22">
        <v>0</v>
      </c>
      <c r="AM29" s="22">
        <v>0</v>
      </c>
      <c r="AN29" s="22">
        <v>0</v>
      </c>
      <c r="AO29" s="22">
        <v>0</v>
      </c>
      <c r="AP29" s="32"/>
      <c r="AQ29" s="22">
        <v>0</v>
      </c>
      <c r="AR29" s="22">
        <v>0</v>
      </c>
      <c r="AS29" s="22"/>
      <c r="AT29" s="22">
        <v>0</v>
      </c>
      <c r="AU29" s="32"/>
      <c r="AV29" s="22">
        <v>0</v>
      </c>
      <c r="AW29" s="22">
        <v>0</v>
      </c>
      <c r="AX29" s="22">
        <v>0</v>
      </c>
      <c r="AY29" s="22">
        <v>0</v>
      </c>
      <c r="AZ29" s="22"/>
      <c r="BA29" s="22">
        <v>0</v>
      </c>
      <c r="BB29" s="22">
        <v>0</v>
      </c>
      <c r="BC29" s="22">
        <v>0</v>
      </c>
      <c r="BD29" s="22">
        <v>0</v>
      </c>
      <c r="BE29" s="22"/>
      <c r="BF29" s="22">
        <v>0</v>
      </c>
      <c r="BG29" s="22">
        <v>0</v>
      </c>
      <c r="BH29" s="22">
        <v>0</v>
      </c>
      <c r="BI29" s="22">
        <v>0</v>
      </c>
      <c r="BJ29" s="22"/>
      <c r="BK29" s="22">
        <v>0</v>
      </c>
      <c r="BL29" s="133">
        <f>+BK29-'ESF GA separado'!C27</f>
        <v>0</v>
      </c>
      <c r="BM29" s="133">
        <f>+BI29-'ESF GA separado'!D27</f>
        <v>0</v>
      </c>
    </row>
    <row r="30" spans="2:65" ht="15.75" customHeight="1" x14ac:dyDescent="0.2">
      <c r="B30" s="21" t="s">
        <v>31</v>
      </c>
      <c r="C30" s="22">
        <v>0</v>
      </c>
      <c r="D30" s="21"/>
      <c r="E30" s="22">
        <v>0</v>
      </c>
      <c r="F30" s="22">
        <v>0</v>
      </c>
      <c r="G30" s="22">
        <v>0</v>
      </c>
      <c r="H30" s="22">
        <v>0</v>
      </c>
      <c r="J30" s="22">
        <v>0</v>
      </c>
      <c r="K30" s="22">
        <v>0</v>
      </c>
      <c r="L30" s="22">
        <v>0</v>
      </c>
      <c r="M30" s="22">
        <v>0</v>
      </c>
      <c r="N30" s="22">
        <v>0</v>
      </c>
      <c r="P30" s="22">
        <v>0</v>
      </c>
      <c r="Q30" s="22">
        <v>0</v>
      </c>
      <c r="R30" s="22">
        <v>0</v>
      </c>
      <c r="S30" s="22">
        <v>0</v>
      </c>
      <c r="T30" s="22">
        <v>0</v>
      </c>
      <c r="U30" s="22">
        <v>0</v>
      </c>
      <c r="W30" s="22">
        <v>0</v>
      </c>
      <c r="X30" s="22">
        <v>0</v>
      </c>
      <c r="Y30" s="22">
        <v>0</v>
      </c>
      <c r="Z30" s="22">
        <v>0</v>
      </c>
      <c r="AB30" s="22">
        <v>0</v>
      </c>
      <c r="AC30" s="22">
        <v>0</v>
      </c>
      <c r="AD30" s="22">
        <v>573</v>
      </c>
      <c r="AE30" s="22">
        <v>0</v>
      </c>
      <c r="AF30" s="32"/>
      <c r="AG30" s="22">
        <v>0</v>
      </c>
      <c r="AH30" s="22">
        <v>0</v>
      </c>
      <c r="AI30" s="22">
        <v>0</v>
      </c>
      <c r="AJ30" s="22">
        <v>0</v>
      </c>
      <c r="AK30" s="32"/>
      <c r="AL30" s="22">
        <v>0</v>
      </c>
      <c r="AM30" s="22">
        <v>0</v>
      </c>
      <c r="AN30" s="22">
        <v>0</v>
      </c>
      <c r="AO30" s="22">
        <v>0</v>
      </c>
      <c r="AP30" s="32"/>
      <c r="AQ30" s="22">
        <v>0</v>
      </c>
      <c r="AR30" s="22">
        <v>0</v>
      </c>
      <c r="AS30" s="22"/>
      <c r="AT30" s="22">
        <v>0</v>
      </c>
      <c r="AU30" s="32"/>
      <c r="AV30" s="22">
        <v>0</v>
      </c>
      <c r="AW30" s="22">
        <v>0</v>
      </c>
      <c r="AX30" s="22">
        <v>0</v>
      </c>
      <c r="AY30" s="22">
        <v>0</v>
      </c>
      <c r="AZ30" s="22"/>
      <c r="BA30" s="22">
        <v>53</v>
      </c>
      <c r="BB30" s="22">
        <v>52</v>
      </c>
      <c r="BC30" s="22">
        <v>6</v>
      </c>
      <c r="BD30" s="22">
        <v>0</v>
      </c>
      <c r="BE30" s="22"/>
      <c r="BF30" s="22">
        <v>0</v>
      </c>
      <c r="BG30" s="22">
        <v>0</v>
      </c>
      <c r="BH30" s="22">
        <v>0</v>
      </c>
      <c r="BI30" s="22">
        <v>0</v>
      </c>
      <c r="BJ30" s="22"/>
      <c r="BK30" s="22">
        <v>0</v>
      </c>
      <c r="BL30" s="133">
        <f>+BK30-'ESF GA separado'!C28</f>
        <v>0</v>
      </c>
      <c r="BM30" s="133">
        <f>+BI30-'ESF GA separado'!D28</f>
        <v>0</v>
      </c>
    </row>
    <row r="31" spans="2:65" ht="25.5" x14ac:dyDescent="0.2">
      <c r="B31" s="136" t="s">
        <v>21</v>
      </c>
      <c r="C31" s="22">
        <v>0</v>
      </c>
      <c r="D31" s="21"/>
      <c r="E31" s="22">
        <v>0</v>
      </c>
      <c r="F31" s="22">
        <v>0</v>
      </c>
      <c r="G31" s="22">
        <v>0</v>
      </c>
      <c r="H31" s="22">
        <v>0</v>
      </c>
      <c r="J31" s="22">
        <v>0</v>
      </c>
      <c r="K31" s="22">
        <v>0</v>
      </c>
      <c r="L31" s="22">
        <v>0</v>
      </c>
      <c r="M31" s="22">
        <v>0</v>
      </c>
      <c r="N31" s="22">
        <v>0</v>
      </c>
      <c r="P31" s="22">
        <v>0</v>
      </c>
      <c r="Q31" s="22">
        <v>0</v>
      </c>
      <c r="R31" s="22">
        <v>0</v>
      </c>
      <c r="S31" s="22">
        <v>0</v>
      </c>
      <c r="T31" s="22">
        <v>0</v>
      </c>
      <c r="U31" s="22">
        <v>0</v>
      </c>
      <c r="W31" s="22">
        <v>0</v>
      </c>
      <c r="X31" s="22">
        <v>0</v>
      </c>
      <c r="Y31" s="22">
        <v>0</v>
      </c>
      <c r="Z31" s="22">
        <v>0</v>
      </c>
      <c r="AB31" s="22">
        <v>0</v>
      </c>
      <c r="AC31" s="22">
        <v>0</v>
      </c>
      <c r="AD31" s="22">
        <v>0</v>
      </c>
      <c r="AE31" s="22">
        <v>0</v>
      </c>
      <c r="AF31" s="32"/>
      <c r="AG31" s="22">
        <v>0</v>
      </c>
      <c r="AH31" s="22">
        <v>97</v>
      </c>
      <c r="AI31" s="22">
        <v>7025</v>
      </c>
      <c r="AJ31" s="22">
        <v>4666</v>
      </c>
      <c r="AK31" s="32"/>
      <c r="AL31" s="22">
        <v>4837</v>
      </c>
      <c r="AM31" s="22">
        <v>5000</v>
      </c>
      <c r="AN31" s="22">
        <v>5164</v>
      </c>
      <c r="AO31" s="22">
        <v>6694</v>
      </c>
      <c r="AP31" s="32"/>
      <c r="AQ31" s="22">
        <v>6837</v>
      </c>
      <c r="AR31" s="22">
        <v>6981</v>
      </c>
      <c r="AS31" s="22">
        <v>7052</v>
      </c>
      <c r="AT31" s="22">
        <v>7134</v>
      </c>
      <c r="AU31" s="32"/>
      <c r="AV31" s="22">
        <v>7205</v>
      </c>
      <c r="AW31" s="22">
        <v>9320</v>
      </c>
      <c r="AX31" s="22">
        <v>11477</v>
      </c>
      <c r="AY31" s="22">
        <v>1548</v>
      </c>
      <c r="AZ31" s="22"/>
      <c r="BA31" s="22">
        <v>1705</v>
      </c>
      <c r="BB31" s="22">
        <v>5207</v>
      </c>
      <c r="BC31" s="22">
        <v>5426</v>
      </c>
      <c r="BD31" s="22">
        <v>2353</v>
      </c>
      <c r="BE31" s="22"/>
      <c r="BF31" s="22">
        <v>2488</v>
      </c>
      <c r="BG31" s="22">
        <v>2588</v>
      </c>
      <c r="BH31" s="22">
        <v>2689</v>
      </c>
      <c r="BI31" s="22">
        <v>1015</v>
      </c>
      <c r="BJ31" s="22"/>
      <c r="BK31" s="22">
        <v>1122</v>
      </c>
      <c r="BL31" s="133">
        <f>+BK31-'ESF GA separado'!C30</f>
        <v>0</v>
      </c>
      <c r="BM31" s="133">
        <f>+BI31-'ESF GA separado'!D30</f>
        <v>0</v>
      </c>
    </row>
    <row r="32" spans="2:65" ht="7.5" customHeight="1" x14ac:dyDescent="0.2">
      <c r="B32" s="21"/>
      <c r="C32" s="22"/>
      <c r="D32" s="21"/>
      <c r="E32" s="22"/>
      <c r="F32" s="22"/>
      <c r="G32" s="22"/>
      <c r="H32" s="22"/>
      <c r="J32" s="22"/>
      <c r="K32" s="22"/>
      <c r="L32" s="22"/>
      <c r="M32" s="22"/>
      <c r="N32" s="22"/>
      <c r="P32" s="22"/>
      <c r="Q32" s="22"/>
      <c r="R32" s="22"/>
      <c r="S32" s="22"/>
      <c r="T32" s="22"/>
      <c r="U32" s="22"/>
      <c r="W32" s="22"/>
      <c r="AB32" s="22"/>
      <c r="AF32" s="32"/>
      <c r="AG32" s="22"/>
      <c r="AK32" s="32"/>
      <c r="AL32" s="22"/>
      <c r="AP32" s="32"/>
      <c r="AQ32" s="22"/>
      <c r="AU32" s="32"/>
      <c r="BA32" s="22"/>
      <c r="BD32" s="22"/>
      <c r="BE32" s="22"/>
      <c r="BF32" s="22"/>
      <c r="BG32" s="22"/>
      <c r="BH32" s="22"/>
      <c r="BI32" s="22"/>
      <c r="BJ32" s="22"/>
      <c r="BK32" s="22"/>
      <c r="BL32" s="133"/>
      <c r="BM32" s="133"/>
    </row>
    <row r="33" spans="1:65" x14ac:dyDescent="0.25">
      <c r="B33" s="17" t="s">
        <v>33</v>
      </c>
      <c r="C33" s="18">
        <f>SUM(C21:C31)</f>
        <v>14002423</v>
      </c>
      <c r="D33" s="17"/>
      <c r="E33" s="18">
        <f>SUM(E21:E31)</f>
        <v>14236992</v>
      </c>
      <c r="F33" s="18">
        <f>SUM(F21:F31)</f>
        <v>14427829</v>
      </c>
      <c r="G33" s="18">
        <f>SUM(G21:G31)</f>
        <v>14614447</v>
      </c>
      <c r="H33" s="18">
        <f>SUM(H21:H31)</f>
        <v>14799931</v>
      </c>
      <c r="I33" s="137"/>
      <c r="J33" s="18">
        <f>SUM(J21:J31)</f>
        <v>14190894</v>
      </c>
      <c r="K33" s="18">
        <f>SUM(K21:K31)</f>
        <v>15537734</v>
      </c>
      <c r="L33" s="18">
        <f>SUM(L21:L31)</f>
        <v>15666033</v>
      </c>
      <c r="M33" s="18">
        <f>SUM(M21:M31)</f>
        <v>15504949</v>
      </c>
      <c r="N33" s="18">
        <f>SUM(N21:N31)</f>
        <v>15758101</v>
      </c>
      <c r="O33" s="2" t="s">
        <v>188</v>
      </c>
      <c r="P33" s="18">
        <f t="shared" ref="P33:U33" si="4">SUM(P21:P31)</f>
        <v>15527781</v>
      </c>
      <c r="Q33" s="18">
        <f t="shared" si="4"/>
        <v>15453300</v>
      </c>
      <c r="R33" s="18">
        <f t="shared" si="4"/>
        <v>15289549</v>
      </c>
      <c r="S33" s="18">
        <f t="shared" si="4"/>
        <v>15521479</v>
      </c>
      <c r="T33" s="18">
        <f t="shared" si="4"/>
        <v>16460927</v>
      </c>
      <c r="U33" s="18">
        <f t="shared" si="4"/>
        <v>16543176</v>
      </c>
      <c r="W33" s="18">
        <f>SUM(W21:W31)</f>
        <v>16600768</v>
      </c>
      <c r="X33" s="18">
        <f>SUM(X21:X31)</f>
        <v>16878519</v>
      </c>
      <c r="Y33" s="18">
        <f>SUM(Y21:Y31)</f>
        <v>16721683</v>
      </c>
      <c r="Z33" s="18">
        <f>SUM(Z21:Z31)</f>
        <v>16843998</v>
      </c>
      <c r="AB33" s="18">
        <f>SUM(AB21:AB31)</f>
        <v>16772625</v>
      </c>
      <c r="AC33" s="18">
        <f>SUM(AC21:AC31)</f>
        <v>17063540</v>
      </c>
      <c r="AD33" s="18">
        <f>SUM(AD21:AD31)</f>
        <v>17292003</v>
      </c>
      <c r="AE33" s="18">
        <f>SUM(AE21:AE31)</f>
        <v>17591399</v>
      </c>
      <c r="AF33" s="32"/>
      <c r="AG33" s="18">
        <f>SUM(AG21:AG31)</f>
        <v>17285170</v>
      </c>
      <c r="AH33" s="18">
        <f>SUM(AH21:AH31)</f>
        <v>17303235</v>
      </c>
      <c r="AI33" s="18">
        <f>SUM(AI21:AI31)</f>
        <v>17998483</v>
      </c>
      <c r="AJ33" s="18">
        <f>SUM(AJ21:AJ31)</f>
        <v>17709473</v>
      </c>
      <c r="AK33" s="32"/>
      <c r="AL33" s="18">
        <f>SUM(AL21:AL31)</f>
        <v>17936640</v>
      </c>
      <c r="AM33" s="18">
        <f>SUM(AM21:AM31)</f>
        <v>17541532</v>
      </c>
      <c r="AN33" s="18">
        <f>SUM(AN21:AN31)</f>
        <v>17760374</v>
      </c>
      <c r="AO33" s="18">
        <f>SUM(AO21:AO31)</f>
        <v>17183197</v>
      </c>
      <c r="AP33" s="32"/>
      <c r="AQ33" s="18">
        <f>SUM(AQ21:AQ31)</f>
        <v>17412608</v>
      </c>
      <c r="AR33" s="18">
        <f>SUM(AR21:AR31)</f>
        <v>17757525</v>
      </c>
      <c r="AS33" s="18">
        <f>SUM(AS21:AS31)</f>
        <v>17883289</v>
      </c>
      <c r="AT33" s="18">
        <f>SUM(AT21:AT31)</f>
        <v>18526819</v>
      </c>
      <c r="AU33" s="32"/>
      <c r="AV33" s="18">
        <f>SUM(AV21:AV31)</f>
        <v>18339112</v>
      </c>
      <c r="AW33" s="18">
        <f>SUM(AW21:AW31)</f>
        <v>18819154</v>
      </c>
      <c r="AX33" s="18">
        <f>SUM(AX21:AX31)</f>
        <v>19382159</v>
      </c>
      <c r="AY33" s="18">
        <f>SUM(AY21:AY31)</f>
        <v>20080315</v>
      </c>
      <c r="AZ33" s="18"/>
      <c r="BA33" s="18">
        <f>SUM(BA21:BA31)</f>
        <v>20512027</v>
      </c>
      <c r="BB33" s="18">
        <f>SUM(BB21:BB31)</f>
        <v>17415599</v>
      </c>
      <c r="BC33" s="18">
        <f>SUM(BC21:BC31)</f>
        <v>17014772</v>
      </c>
      <c r="BD33" s="18">
        <f>SUM(BD21:BD31)</f>
        <v>16383945</v>
      </c>
      <c r="BE33" s="18"/>
      <c r="BF33" s="18">
        <f>SUM(BF21:BF31)</f>
        <v>20056094</v>
      </c>
      <c r="BG33" s="18">
        <f>SUM(BG21:BG31)</f>
        <v>20997260</v>
      </c>
      <c r="BH33" s="18">
        <f>SUM(BH21:BH31)</f>
        <v>21136790</v>
      </c>
      <c r="BI33" s="18">
        <f>SUM(BI21:BI31)</f>
        <v>21299981</v>
      </c>
      <c r="BJ33" s="18"/>
      <c r="BK33" s="18">
        <f>SUM(BK21:BK31)</f>
        <v>14012381</v>
      </c>
      <c r="BL33" s="133">
        <f>+BK33-'ESF GA separado'!C32</f>
        <v>0</v>
      </c>
      <c r="BM33" s="133">
        <f>+BI33-'ESF GA separado'!D32</f>
        <v>0</v>
      </c>
    </row>
    <row r="34" spans="1:65" ht="10.5" customHeight="1" x14ac:dyDescent="0.2">
      <c r="B34" s="21"/>
      <c r="C34" s="20"/>
      <c r="D34" s="21"/>
      <c r="E34" s="20"/>
      <c r="F34" s="20"/>
      <c r="G34" s="20"/>
      <c r="H34" s="20"/>
      <c r="J34" s="20"/>
      <c r="K34" s="20"/>
      <c r="L34" s="20"/>
      <c r="M34" s="20"/>
      <c r="N34" s="20"/>
      <c r="P34" s="20"/>
      <c r="Q34" s="20"/>
      <c r="R34" s="20"/>
      <c r="S34" s="20"/>
      <c r="T34" s="20"/>
      <c r="U34" s="20"/>
      <c r="W34" s="20"/>
      <c r="AB34" s="20"/>
      <c r="AF34" s="32"/>
      <c r="AG34" s="20"/>
      <c r="AK34" s="32"/>
      <c r="AL34" s="20"/>
      <c r="AP34" s="32"/>
      <c r="AQ34" s="20"/>
      <c r="AU34" s="32"/>
      <c r="BA34" s="20"/>
      <c r="BB34" s="20"/>
      <c r="BC34" s="20"/>
      <c r="BD34" s="20"/>
      <c r="BE34" s="20"/>
      <c r="BF34" s="20"/>
      <c r="BG34" s="20"/>
      <c r="BH34" s="20"/>
      <c r="BI34" s="20"/>
      <c r="BJ34" s="20"/>
      <c r="BK34" s="20"/>
      <c r="BL34" s="133"/>
      <c r="BM34" s="133"/>
    </row>
    <row r="35" spans="1:65" ht="20.25" customHeight="1" x14ac:dyDescent="0.25">
      <c r="B35" s="138" t="s">
        <v>34</v>
      </c>
      <c r="C35" s="139">
        <f>+C19+C33</f>
        <v>14342821</v>
      </c>
      <c r="D35" s="17"/>
      <c r="E35" s="139">
        <f>+E19+E33</f>
        <v>14854507</v>
      </c>
      <c r="F35" s="139">
        <f>+F19+F33</f>
        <v>14874524</v>
      </c>
      <c r="G35" s="139">
        <f>+G19+G33</f>
        <v>15324587</v>
      </c>
      <c r="H35" s="139">
        <f>+H19+H33</f>
        <v>15212436</v>
      </c>
      <c r="J35" s="139">
        <f>+J19+J33</f>
        <v>14952164</v>
      </c>
      <c r="K35" s="139">
        <f>+K19+K33</f>
        <v>15971524</v>
      </c>
      <c r="L35" s="139">
        <f>+L19+L33</f>
        <v>16466153</v>
      </c>
      <c r="M35" s="139">
        <f>+M19+M33</f>
        <v>16169425</v>
      </c>
      <c r="N35" s="139">
        <f>+N19+N33</f>
        <v>16327837</v>
      </c>
      <c r="P35" s="139">
        <f t="shared" ref="P35:U35" si="5">+P19+P33</f>
        <v>16210864</v>
      </c>
      <c r="Q35" s="139">
        <f t="shared" si="5"/>
        <v>16005705</v>
      </c>
      <c r="R35" s="139">
        <f t="shared" si="5"/>
        <v>15919947</v>
      </c>
      <c r="S35" s="139">
        <f t="shared" si="5"/>
        <v>16051630</v>
      </c>
      <c r="T35" s="139">
        <f t="shared" si="5"/>
        <v>16995199</v>
      </c>
      <c r="U35" s="139">
        <f t="shared" si="5"/>
        <v>17083471</v>
      </c>
      <c r="W35" s="139">
        <f>+W19+W33</f>
        <v>17289534</v>
      </c>
      <c r="X35" s="139">
        <f>+X19+X33</f>
        <v>17469084</v>
      </c>
      <c r="Y35" s="139">
        <f>+Y19+Y33</f>
        <v>17504261</v>
      </c>
      <c r="Z35" s="139">
        <f>+Z19+Z33</f>
        <v>17523550</v>
      </c>
      <c r="AB35" s="139">
        <f>+AB19+AB33</f>
        <v>17598033</v>
      </c>
      <c r="AC35" s="139">
        <f>+AC19+AC33</f>
        <v>17712442</v>
      </c>
      <c r="AD35" s="139">
        <f>+AD19+AD33</f>
        <v>17701476</v>
      </c>
      <c r="AE35" s="139">
        <f>+AE19+AE33</f>
        <v>17946404</v>
      </c>
      <c r="AF35" s="32"/>
      <c r="AG35" s="139">
        <f>+AG19+AG33</f>
        <v>17960990</v>
      </c>
      <c r="AH35" s="139">
        <f>+AH19+AH33</f>
        <v>17841047</v>
      </c>
      <c r="AI35" s="139">
        <f>+AI19+AI33</f>
        <v>18454416</v>
      </c>
      <c r="AJ35" s="139">
        <f>+AJ19+AJ33</f>
        <v>18160512</v>
      </c>
      <c r="AK35" s="32"/>
      <c r="AL35" s="139">
        <f>+AL19+AL33</f>
        <v>18898636</v>
      </c>
      <c r="AM35" s="139">
        <f>+AM19+AM33</f>
        <v>18483699</v>
      </c>
      <c r="AN35" s="139">
        <f>+AN19+AN33</f>
        <v>18650329</v>
      </c>
      <c r="AO35" s="139">
        <f>+AO19+AO33</f>
        <v>17791474</v>
      </c>
      <c r="AP35" s="32"/>
      <c r="AQ35" s="139">
        <f>+AQ19+AQ33</f>
        <v>18227370</v>
      </c>
      <c r="AR35" s="139">
        <f>+AR19+AR33</f>
        <v>18305094</v>
      </c>
      <c r="AS35" s="139">
        <f>+AS19+AS33</f>
        <v>18397007</v>
      </c>
      <c r="AT35" s="139">
        <f>+AT19+AT33</f>
        <v>18952092</v>
      </c>
      <c r="AU35" s="32"/>
      <c r="AV35" s="139">
        <f>+AV19+AV33</f>
        <v>19617186</v>
      </c>
      <c r="AW35" s="139">
        <f>+AW19+AW33</f>
        <v>19946286</v>
      </c>
      <c r="AX35" s="139">
        <f>+AX19+AX33</f>
        <v>20331169</v>
      </c>
      <c r="AY35" s="139">
        <f>+AY19+AY33</f>
        <v>20964835</v>
      </c>
      <c r="AZ35" s="18"/>
      <c r="BA35" s="139">
        <f>+BA19+BA33</f>
        <v>21467229</v>
      </c>
      <c r="BB35" s="139">
        <f>+BB19+BB33</f>
        <v>20961215</v>
      </c>
      <c r="BC35" s="139">
        <f>+BC19+BC33</f>
        <v>20509657</v>
      </c>
      <c r="BD35" s="139">
        <f>+BD19+BD33</f>
        <v>19610133</v>
      </c>
      <c r="BE35" s="18"/>
      <c r="BF35" s="139">
        <f>+BF19+BF33</f>
        <v>21517454</v>
      </c>
      <c r="BG35" s="139">
        <f>+BG19+BG33</f>
        <v>22155368</v>
      </c>
      <c r="BH35" s="139">
        <f>+BH19+BH33</f>
        <v>22042423</v>
      </c>
      <c r="BI35" s="139">
        <f>+BI19+BI33</f>
        <v>22014672</v>
      </c>
      <c r="BJ35" s="18"/>
      <c r="BK35" s="139">
        <f>+BK19+BK33</f>
        <v>23058849</v>
      </c>
      <c r="BL35" s="133">
        <f>+BK35-'ESF GA separado'!C34</f>
        <v>0</v>
      </c>
      <c r="BM35" s="133">
        <f>+BI35-'ESF GA separado'!D34</f>
        <v>0</v>
      </c>
    </row>
    <row r="36" spans="1:65" ht="20.25" customHeight="1" x14ac:dyDescent="0.25">
      <c r="B36" s="140" t="s">
        <v>35</v>
      </c>
      <c r="C36" s="141">
        <v>7443.7397175671958</v>
      </c>
      <c r="D36" s="142"/>
      <c r="E36" s="141">
        <v>7558.3146764903431</v>
      </c>
      <c r="F36" s="141">
        <v>7906.9759035504121</v>
      </c>
      <c r="G36" s="141">
        <v>7554.714367408108</v>
      </c>
      <c r="H36" s="141">
        <v>6358.4912600419648</v>
      </c>
      <c r="J36" s="141">
        <v>5804.2988296034619</v>
      </c>
      <c r="K36" s="141">
        <v>6178.2763596133236</v>
      </c>
      <c r="L36" s="141">
        <v>5274.3335874488293</v>
      </c>
      <c r="M36" s="141">
        <v>5134.0146119823339</v>
      </c>
      <c r="N36" s="141">
        <v>5184.3125986277064</v>
      </c>
      <c r="P36" s="141">
        <v>5363.6620510529883</v>
      </c>
      <c r="Q36" s="141">
        <v>5488.6425595391183</v>
      </c>
      <c r="R36" s="141">
        <v>5527.8553447108461</v>
      </c>
      <c r="S36" s="141">
        <v>5574</v>
      </c>
      <c r="T36" s="141">
        <f>+T35/3000.71</f>
        <v>5663.7259181993595</v>
      </c>
      <c r="U36" s="141">
        <v>5693.1429561670402</v>
      </c>
      <c r="W36" s="141">
        <v>6002.8101824847936</v>
      </c>
      <c r="X36" s="141">
        <v>5750</v>
      </c>
      <c r="Y36" s="141">
        <v>5960</v>
      </c>
      <c r="Z36" s="141">
        <f>+Z35/2984</f>
        <v>5872.5033512064347</v>
      </c>
      <c r="AB36" s="141">
        <f>+AB35/2780.47</f>
        <v>6329.1576603955455</v>
      </c>
      <c r="AC36" s="141">
        <f>+AC35/2930.8</f>
        <v>6043.5519312133201</v>
      </c>
      <c r="AD36" s="141">
        <f>+AD35/2972.18</f>
        <v>5955.7213896870317</v>
      </c>
      <c r="AE36" s="141">
        <f>+AE35/3249.75</f>
        <v>5522.3952611739369</v>
      </c>
      <c r="AF36" s="32"/>
      <c r="AG36" s="141">
        <f>+AG35/3174.79</f>
        <v>5657.3789132509555</v>
      </c>
      <c r="AH36" s="141">
        <f>+AH35/3205.67</f>
        <v>5565.4658776480419</v>
      </c>
      <c r="AI36" s="141">
        <f>+AI35/3462.01</f>
        <v>5330.5495940219698</v>
      </c>
      <c r="AJ36" s="141">
        <f>+AJ35/3277.14</f>
        <v>5541.5734451381386</v>
      </c>
      <c r="AK36" s="32"/>
      <c r="AL36" s="141">
        <f>+AL35/4064.81</f>
        <v>4649.328258885409</v>
      </c>
      <c r="AM36" s="141">
        <f>+AM35/3758.91</f>
        <v>4917.3028883373108</v>
      </c>
      <c r="AN36" s="141">
        <f>+AN35/3878.94</f>
        <v>4808.0993776650321</v>
      </c>
      <c r="AO36" s="141">
        <f>+AO35/3432.5</f>
        <v>5183.2407865986888</v>
      </c>
      <c r="AP36" s="32"/>
      <c r="AQ36" s="141">
        <f>+AQ35/3736.91</f>
        <v>4877.6582791664769</v>
      </c>
      <c r="AR36" s="141">
        <f>+AR35/3756.67</f>
        <v>4872.6915060412548</v>
      </c>
      <c r="AS36" s="141">
        <f>+AS35/3834.68</f>
        <v>4797.5338229004765</v>
      </c>
      <c r="AT36" s="141">
        <f>+AT35/3981.16</f>
        <v>4760.4446945111476</v>
      </c>
      <c r="AU36" s="32"/>
      <c r="AV36" s="141">
        <f>+AV35/3748.15</f>
        <v>5233.8316236009759</v>
      </c>
      <c r="AW36" s="141">
        <f>+AW35/4127.47</f>
        <v>4832.5695886341991</v>
      </c>
      <c r="AX36" s="141">
        <f>+AX35/4532.07</f>
        <v>4486.0668524537359</v>
      </c>
      <c r="AY36" s="141">
        <f>+AY35/4810.2</f>
        <v>4358.4123321275629</v>
      </c>
      <c r="AZ36" s="30"/>
      <c r="BA36" s="141">
        <f>+BA35/4627.27</f>
        <v>4639.2860152962758</v>
      </c>
      <c r="BB36" s="141">
        <f>+BB35/4191.28</f>
        <v>5001.1488137275492</v>
      </c>
      <c r="BC36" s="141">
        <f>+BC35/4053.76</f>
        <v>5059.4157029523203</v>
      </c>
      <c r="BD36" s="141">
        <f>+BD35/3822.05</f>
        <v>5130.7892361429076</v>
      </c>
      <c r="BE36" s="30"/>
      <c r="BF36" s="141">
        <f>+BF35/3842.3</f>
        <v>5600.1493896884676</v>
      </c>
      <c r="BG36" s="141">
        <f>+BG35/4148.04</f>
        <v>5341.1654660996519</v>
      </c>
      <c r="BH36" s="141">
        <f>+BH35/4164.21</f>
        <v>5293.3024511251833</v>
      </c>
      <c r="BI36" s="141">
        <f>+BI35/4409.15</f>
        <v>4992.9514759080548</v>
      </c>
      <c r="BJ36" s="30"/>
      <c r="BK36" s="141">
        <f>+BK35/4192.57</f>
        <v>5499.9317840847025</v>
      </c>
      <c r="BL36" s="133">
        <f>+BK36-'ESF GA separado'!C35</f>
        <v>0</v>
      </c>
      <c r="BM36" s="133">
        <f>+BI36-'ESF GA separado'!D35</f>
        <v>0</v>
      </c>
    </row>
    <row r="37" spans="1:65" ht="3.75" customHeight="1" x14ac:dyDescent="0.25">
      <c r="C37" s="10"/>
      <c r="J37" s="10"/>
      <c r="K37" s="10"/>
      <c r="L37" s="10"/>
      <c r="M37" s="10"/>
      <c r="N37" s="10"/>
      <c r="P37" s="10"/>
      <c r="Q37" s="10"/>
      <c r="R37" s="10"/>
      <c r="S37" s="10"/>
      <c r="T37" s="10"/>
      <c r="U37" s="10"/>
      <c r="W37" s="10"/>
      <c r="AB37" s="10"/>
      <c r="AF37" s="32"/>
      <c r="AG37" s="10"/>
      <c r="AK37" s="32"/>
      <c r="AL37" s="10"/>
      <c r="AP37" s="32"/>
      <c r="AQ37" s="10"/>
      <c r="AU37" s="32"/>
      <c r="BA37" s="10"/>
      <c r="BB37" s="10"/>
      <c r="BC37" s="10"/>
      <c r="BD37" s="10"/>
      <c r="BE37" s="10"/>
      <c r="BF37" s="10"/>
      <c r="BG37" s="10"/>
      <c r="BH37" s="10"/>
      <c r="BI37" s="10"/>
      <c r="BJ37" s="10"/>
      <c r="BK37" s="10"/>
      <c r="BL37" s="133"/>
      <c r="BM37" s="133"/>
    </row>
    <row r="38" spans="1:65" ht="16.5" customHeight="1" x14ac:dyDescent="0.25">
      <c r="B38" s="11" t="s">
        <v>36</v>
      </c>
      <c r="C38" s="22">
        <v>403345</v>
      </c>
      <c r="D38" s="11"/>
      <c r="E38" s="20">
        <v>561428</v>
      </c>
      <c r="F38" s="20">
        <v>417165</v>
      </c>
      <c r="G38" s="20">
        <v>171377</v>
      </c>
      <c r="H38" s="22">
        <v>0</v>
      </c>
      <c r="J38" s="20">
        <v>103745</v>
      </c>
      <c r="K38" s="20">
        <v>116234</v>
      </c>
      <c r="L38" s="20">
        <v>123695</v>
      </c>
      <c r="M38" s="20">
        <v>123415</v>
      </c>
      <c r="N38" s="20">
        <v>123415</v>
      </c>
      <c r="P38" s="20">
        <v>5105</v>
      </c>
      <c r="Q38" s="20">
        <v>5500</v>
      </c>
      <c r="R38" s="20">
        <v>5891</v>
      </c>
      <c r="S38" s="20">
        <v>5891</v>
      </c>
      <c r="T38" s="20">
        <v>5920</v>
      </c>
      <c r="U38" s="20">
        <v>5920</v>
      </c>
      <c r="W38" s="20">
        <v>37394</v>
      </c>
      <c r="X38" s="20">
        <v>13044</v>
      </c>
      <c r="Y38" s="20">
        <v>4056</v>
      </c>
      <c r="Z38" s="20">
        <v>3728</v>
      </c>
      <c r="AB38" s="20">
        <v>2871</v>
      </c>
      <c r="AC38" s="20">
        <v>186376</v>
      </c>
      <c r="AD38" s="20">
        <v>243729</v>
      </c>
      <c r="AE38" s="20">
        <v>119106</v>
      </c>
      <c r="AF38" s="32"/>
      <c r="AG38" s="20">
        <v>140423</v>
      </c>
      <c r="AH38" s="20">
        <v>144537</v>
      </c>
      <c r="AI38" s="20">
        <v>270</v>
      </c>
      <c r="AJ38" s="20">
        <v>4252</v>
      </c>
      <c r="AK38" s="32"/>
      <c r="AL38" s="20">
        <v>10454</v>
      </c>
      <c r="AM38" s="20">
        <v>17778</v>
      </c>
      <c r="AN38" s="20">
        <v>3383</v>
      </c>
      <c r="AO38" s="20">
        <v>237</v>
      </c>
      <c r="AP38" s="32"/>
      <c r="AQ38" s="20">
        <v>5843</v>
      </c>
      <c r="AR38" s="20">
        <v>133821</v>
      </c>
      <c r="AS38" s="20">
        <v>53848</v>
      </c>
      <c r="AT38" s="20">
        <v>2556</v>
      </c>
      <c r="AU38" s="32"/>
      <c r="AV38" s="20">
        <v>32220</v>
      </c>
      <c r="AW38" s="20">
        <v>4060</v>
      </c>
      <c r="AX38" s="20">
        <v>8849</v>
      </c>
      <c r="AY38" s="20">
        <v>8920</v>
      </c>
      <c r="AZ38" s="20"/>
      <c r="BA38" s="20">
        <v>54332</v>
      </c>
      <c r="BB38" s="20">
        <v>49606</v>
      </c>
      <c r="BC38" s="20">
        <v>63127</v>
      </c>
      <c r="BD38" s="20">
        <v>26841</v>
      </c>
      <c r="BE38" s="20"/>
      <c r="BF38" s="20">
        <v>31011</v>
      </c>
      <c r="BG38" s="20">
        <v>86508</v>
      </c>
      <c r="BH38" s="20">
        <v>71803</v>
      </c>
      <c r="BI38" s="20">
        <v>27369</v>
      </c>
      <c r="BJ38" s="20"/>
      <c r="BK38" s="336">
        <v>275944</v>
      </c>
      <c r="BL38" s="133">
        <f>+BK38-'ESF GA separado'!C37</f>
        <v>0</v>
      </c>
      <c r="BM38" s="133">
        <f>+BI38-'ESF GA separado'!D37</f>
        <v>0</v>
      </c>
    </row>
    <row r="39" spans="1:65" ht="16.5" customHeight="1" x14ac:dyDescent="0.25">
      <c r="B39" s="11" t="s">
        <v>37</v>
      </c>
      <c r="C39" s="22"/>
      <c r="D39" s="11"/>
      <c r="E39" s="20"/>
      <c r="F39" s="20"/>
      <c r="G39" s="20"/>
      <c r="H39" s="22"/>
      <c r="J39" s="20"/>
      <c r="K39" s="20"/>
      <c r="L39" s="20"/>
      <c r="M39" s="20"/>
      <c r="N39" s="20"/>
      <c r="P39" s="20"/>
      <c r="Q39" s="20"/>
      <c r="R39" s="20"/>
      <c r="S39" s="20"/>
      <c r="T39" s="20"/>
      <c r="U39" s="20"/>
      <c r="W39" s="20"/>
      <c r="X39" s="20"/>
      <c r="Y39" s="20"/>
      <c r="Z39" s="20"/>
      <c r="AB39" s="20"/>
      <c r="AC39" s="20"/>
      <c r="AD39" s="20"/>
      <c r="AE39" s="20"/>
      <c r="AF39" s="32"/>
      <c r="AG39" s="20">
        <v>1310</v>
      </c>
      <c r="AH39" s="20">
        <v>956</v>
      </c>
      <c r="AI39" s="20">
        <v>527</v>
      </c>
      <c r="AJ39" s="20">
        <v>2036</v>
      </c>
      <c r="AK39" s="32"/>
      <c r="AL39" s="20">
        <v>1478</v>
      </c>
      <c r="AM39" s="20">
        <v>1749</v>
      </c>
      <c r="AN39" s="20">
        <v>1483</v>
      </c>
      <c r="AO39" s="20">
        <v>1720</v>
      </c>
      <c r="AP39" s="32"/>
      <c r="AQ39" s="20">
        <v>1331</v>
      </c>
      <c r="AR39" s="20">
        <v>2402</v>
      </c>
      <c r="AS39" s="20">
        <v>1890</v>
      </c>
      <c r="AT39" s="20">
        <v>2053</v>
      </c>
      <c r="AU39" s="32"/>
      <c r="AV39" s="20">
        <v>1192</v>
      </c>
      <c r="AW39" s="20">
        <v>2428</v>
      </c>
      <c r="AX39" s="20">
        <v>2141</v>
      </c>
      <c r="AY39" s="20">
        <v>3706</v>
      </c>
      <c r="AZ39" s="20"/>
      <c r="BA39" s="20">
        <v>2296</v>
      </c>
      <c r="BB39" s="20">
        <v>2182</v>
      </c>
      <c r="BC39" s="20">
        <v>1795</v>
      </c>
      <c r="BD39" s="20">
        <v>1318</v>
      </c>
      <c r="BE39" s="20"/>
      <c r="BF39" s="20">
        <v>1796</v>
      </c>
      <c r="BG39" s="20">
        <v>1922</v>
      </c>
      <c r="BH39" s="20">
        <v>2145</v>
      </c>
      <c r="BI39" s="20">
        <v>2050</v>
      </c>
      <c r="BJ39" s="20"/>
      <c r="BK39" s="20">
        <v>2194</v>
      </c>
      <c r="BL39" s="133">
        <f>+BK39-'ESF GA separado'!C38</f>
        <v>0</v>
      </c>
      <c r="BM39" s="133">
        <f>+BI39-'ESF GA separado'!D38</f>
        <v>0</v>
      </c>
    </row>
    <row r="40" spans="1:65" ht="16.5" customHeight="1" x14ac:dyDescent="0.25">
      <c r="A40" s="32"/>
      <c r="B40" s="11" t="s">
        <v>189</v>
      </c>
      <c r="C40" s="20">
        <v>33543</v>
      </c>
      <c r="D40" s="11"/>
      <c r="E40" s="20">
        <v>36840</v>
      </c>
      <c r="F40" s="20">
        <v>41640</v>
      </c>
      <c r="G40" s="20">
        <v>37478</v>
      </c>
      <c r="H40" s="20">
        <v>30429</v>
      </c>
      <c r="J40" s="20">
        <v>39346</v>
      </c>
      <c r="K40" s="20">
        <v>20123</v>
      </c>
      <c r="L40" s="20">
        <v>13302</v>
      </c>
      <c r="M40" s="20">
        <f>4958+338</f>
        <v>5296</v>
      </c>
      <c r="N40" s="20">
        <f>4958+338</f>
        <v>5296</v>
      </c>
      <c r="P40" s="20">
        <v>6939</v>
      </c>
      <c r="Q40" s="20">
        <v>112523</v>
      </c>
      <c r="R40" s="20">
        <v>137205</v>
      </c>
      <c r="S40" s="20">
        <v>137205</v>
      </c>
      <c r="T40" s="20">
        <v>139132</v>
      </c>
      <c r="U40" s="20">
        <v>139132</v>
      </c>
      <c r="W40" s="20">
        <v>139602</v>
      </c>
      <c r="X40" s="20">
        <v>139748</v>
      </c>
      <c r="Y40" s="20">
        <v>365315</v>
      </c>
      <c r="Z40" s="20">
        <v>367340</v>
      </c>
      <c r="AB40" s="20">
        <v>373220</v>
      </c>
      <c r="AC40" s="20">
        <v>103602</v>
      </c>
      <c r="AD40" s="20">
        <v>7136</v>
      </c>
      <c r="AE40" s="20">
        <v>121691</v>
      </c>
      <c r="AF40" s="32"/>
      <c r="AG40" s="20">
        <v>110611</v>
      </c>
      <c r="AH40" s="20">
        <v>94580</v>
      </c>
      <c r="AI40" s="20">
        <v>8031</v>
      </c>
      <c r="AJ40" s="20">
        <v>8274</v>
      </c>
      <c r="AK40" s="32"/>
      <c r="AL40" s="20">
        <v>8192</v>
      </c>
      <c r="AM40" s="20">
        <v>8911</v>
      </c>
      <c r="AN40" s="20">
        <v>8676</v>
      </c>
      <c r="AO40" s="20">
        <v>535</v>
      </c>
      <c r="AP40" s="32"/>
      <c r="AQ40" s="20">
        <v>382</v>
      </c>
      <c r="AR40" s="20">
        <v>23</v>
      </c>
      <c r="AS40" s="20">
        <v>2115</v>
      </c>
      <c r="AT40" s="20">
        <v>95117</v>
      </c>
      <c r="AU40" s="32"/>
      <c r="AV40" s="20">
        <v>61019</v>
      </c>
      <c r="AW40" s="20">
        <v>57144</v>
      </c>
      <c r="AX40" s="20">
        <v>6486</v>
      </c>
      <c r="AY40" s="20">
        <v>10357</v>
      </c>
      <c r="AZ40" s="20"/>
      <c r="BA40" s="20">
        <v>11441</v>
      </c>
      <c r="BB40" s="20">
        <v>11970</v>
      </c>
      <c r="BC40" s="20">
        <v>145912</v>
      </c>
      <c r="BD40" s="20">
        <v>145326</v>
      </c>
      <c r="BE40" s="20"/>
      <c r="BF40" s="20">
        <v>144169</v>
      </c>
      <c r="BG40" s="20">
        <v>142828</v>
      </c>
      <c r="BH40" s="20">
        <v>164964</v>
      </c>
      <c r="BI40" s="20">
        <v>164744</v>
      </c>
      <c r="BJ40" s="20"/>
      <c r="BK40" s="20">
        <v>165238</v>
      </c>
      <c r="BL40" s="133">
        <f>+BK40-'ESF GA separado'!C39</f>
        <v>0</v>
      </c>
      <c r="BM40" s="133">
        <f>+BI40-'ESF GA separado'!D39</f>
        <v>0</v>
      </c>
    </row>
    <row r="41" spans="1:65" ht="16.5" customHeight="1" x14ac:dyDescent="0.25">
      <c r="B41" s="11" t="s">
        <v>39</v>
      </c>
      <c r="C41" s="20">
        <v>125609</v>
      </c>
      <c r="D41" s="11"/>
      <c r="E41" s="20">
        <v>273125</v>
      </c>
      <c r="F41" s="20">
        <v>227780</v>
      </c>
      <c r="G41" s="20">
        <v>167568</v>
      </c>
      <c r="H41" s="20">
        <v>143921</v>
      </c>
      <c r="J41" s="20">
        <f>290138+1</f>
        <v>290139</v>
      </c>
      <c r="K41" s="20">
        <v>299078</v>
      </c>
      <c r="L41" s="20">
        <v>232572</v>
      </c>
      <c r="M41" s="20">
        <f>185324-338-2012-4543</f>
        <v>178431</v>
      </c>
      <c r="N41" s="20">
        <f>185324-338-2012-4543</f>
        <v>178431</v>
      </c>
      <c r="P41" s="20">
        <v>334268</v>
      </c>
      <c r="Q41" s="20">
        <v>238607</v>
      </c>
      <c r="R41" s="20">
        <v>156449</v>
      </c>
      <c r="S41" s="20">
        <v>156449</v>
      </c>
      <c r="T41" s="20">
        <v>92004</v>
      </c>
      <c r="U41" s="20">
        <v>136251</v>
      </c>
      <c r="W41" s="20">
        <v>529169</v>
      </c>
      <c r="X41" s="20">
        <v>225831</v>
      </c>
      <c r="Y41" s="20">
        <v>157093</v>
      </c>
      <c r="Z41" s="20">
        <v>83789</v>
      </c>
      <c r="AB41" s="20">
        <v>16130</v>
      </c>
      <c r="AC41" s="20">
        <v>225365</v>
      </c>
      <c r="AD41" s="20">
        <v>156633</v>
      </c>
      <c r="AE41" s="20">
        <v>90551</v>
      </c>
      <c r="AF41" s="32"/>
      <c r="AG41" s="20">
        <v>316035</v>
      </c>
      <c r="AH41" s="20">
        <v>242184</v>
      </c>
      <c r="AI41" s="20">
        <v>165111</v>
      </c>
      <c r="AJ41" s="20">
        <v>93764</v>
      </c>
      <c r="AK41" s="32"/>
      <c r="AL41" s="20">
        <v>338408</v>
      </c>
      <c r="AM41" s="20">
        <v>257015</v>
      </c>
      <c r="AN41" s="20">
        <v>176804</v>
      </c>
      <c r="AO41" s="20">
        <v>94587</v>
      </c>
      <c r="AP41" s="32"/>
      <c r="AQ41" s="20">
        <v>338262</v>
      </c>
      <c r="AR41" s="20">
        <v>16624</v>
      </c>
      <c r="AS41" s="20">
        <v>14505</v>
      </c>
      <c r="AT41" s="20">
        <v>11274</v>
      </c>
      <c r="AU41" s="32"/>
      <c r="AV41" s="20">
        <v>458168</v>
      </c>
      <c r="AW41" s="20">
        <v>338787</v>
      </c>
      <c r="AX41" s="20">
        <v>240389</v>
      </c>
      <c r="AY41" s="20">
        <v>148922</v>
      </c>
      <c r="AZ41" s="20"/>
      <c r="BA41" s="20">
        <v>521136</v>
      </c>
      <c r="BB41" s="20">
        <v>401884</v>
      </c>
      <c r="BC41" s="20">
        <v>273150</v>
      </c>
      <c r="BD41" s="20">
        <v>139079</v>
      </c>
      <c r="BE41" s="20"/>
      <c r="BF41" s="20">
        <v>577753</v>
      </c>
      <c r="BG41" s="20">
        <v>430436</v>
      </c>
      <c r="BH41" s="20">
        <v>298856</v>
      </c>
      <c r="BI41" s="20">
        <v>154061</v>
      </c>
      <c r="BJ41" s="20"/>
      <c r="BK41" s="20">
        <v>608744</v>
      </c>
      <c r="BL41" s="133">
        <f>+BK41-'ESF GA separado'!C40</f>
        <v>0</v>
      </c>
      <c r="BM41" s="133">
        <f>+BI41-'ESF GA separado'!D40</f>
        <v>0</v>
      </c>
    </row>
    <row r="42" spans="1:65" ht="16.5" customHeight="1" x14ac:dyDescent="0.25">
      <c r="B42" s="11" t="s">
        <v>40</v>
      </c>
      <c r="C42" s="20">
        <v>1155</v>
      </c>
      <c r="D42" s="11"/>
      <c r="E42" s="20">
        <v>1155</v>
      </c>
      <c r="F42" s="20">
        <v>1143</v>
      </c>
      <c r="G42" s="20">
        <v>2259</v>
      </c>
      <c r="H42" s="20">
        <v>1863</v>
      </c>
      <c r="J42" s="20">
        <v>6909</v>
      </c>
      <c r="K42" s="20">
        <v>2521</v>
      </c>
      <c r="L42" s="20">
        <v>1249</v>
      </c>
      <c r="M42" s="20">
        <f>770+495</f>
        <v>1265</v>
      </c>
      <c r="N42" s="20">
        <f>770+495</f>
        <v>1265</v>
      </c>
      <c r="P42" s="20">
        <v>1288</v>
      </c>
      <c r="Q42" s="20">
        <v>1312</v>
      </c>
      <c r="R42" s="20">
        <v>1335</v>
      </c>
      <c r="S42" s="20">
        <v>1335</v>
      </c>
      <c r="T42" s="20">
        <v>1921</v>
      </c>
      <c r="U42" s="20">
        <v>1921</v>
      </c>
      <c r="W42" s="20">
        <v>1921</v>
      </c>
      <c r="X42" s="20">
        <v>1921</v>
      </c>
      <c r="Y42" s="20">
        <v>514</v>
      </c>
      <c r="Z42" s="20">
        <v>515</v>
      </c>
      <c r="AB42" s="20">
        <v>515</v>
      </c>
      <c r="AC42" s="20">
        <v>730</v>
      </c>
      <c r="AD42" s="20">
        <v>701</v>
      </c>
      <c r="AE42" s="20">
        <v>701</v>
      </c>
      <c r="AF42" s="32"/>
      <c r="AG42" s="20">
        <v>701</v>
      </c>
      <c r="AH42" s="20">
        <v>701</v>
      </c>
      <c r="AI42" s="20">
        <v>701</v>
      </c>
      <c r="AJ42" s="20">
        <v>322</v>
      </c>
      <c r="AK42" s="32"/>
      <c r="AL42" s="20">
        <v>323</v>
      </c>
      <c r="AM42" s="20">
        <v>323</v>
      </c>
      <c r="AN42" s="20">
        <v>323</v>
      </c>
      <c r="AO42" s="20">
        <v>253</v>
      </c>
      <c r="AP42" s="32"/>
      <c r="AQ42" s="20">
        <v>253</v>
      </c>
      <c r="AR42" s="20">
        <v>253</v>
      </c>
      <c r="AS42" s="20">
        <v>155</v>
      </c>
      <c r="AT42" s="20">
        <v>5005</v>
      </c>
      <c r="AU42" s="32"/>
      <c r="AV42" s="20">
        <v>4960</v>
      </c>
      <c r="AW42" s="20">
        <v>4594</v>
      </c>
      <c r="AX42" s="20">
        <v>4505</v>
      </c>
      <c r="AY42" s="20">
        <v>5255</v>
      </c>
      <c r="AZ42" s="20"/>
      <c r="BA42" s="20">
        <v>4901</v>
      </c>
      <c r="BB42" s="20">
        <v>945</v>
      </c>
      <c r="BC42" s="20">
        <v>763</v>
      </c>
      <c r="BD42" s="20">
        <v>257</v>
      </c>
      <c r="BE42" s="20"/>
      <c r="BF42" s="20">
        <v>257</v>
      </c>
      <c r="BG42" s="20">
        <v>257</v>
      </c>
      <c r="BH42" s="20">
        <v>55</v>
      </c>
      <c r="BI42" s="20">
        <v>55</v>
      </c>
      <c r="BJ42" s="20"/>
      <c r="BK42" s="20">
        <v>55</v>
      </c>
      <c r="BL42" s="133">
        <f>+BK42-'ESF GA separado'!C41</f>
        <v>0</v>
      </c>
      <c r="BM42" s="133">
        <f>+BI42-'ESF GA separado'!D41</f>
        <v>0</v>
      </c>
    </row>
    <row r="43" spans="1:65" ht="16.5" customHeight="1" x14ac:dyDescent="0.25">
      <c r="B43" s="11" t="s">
        <v>41</v>
      </c>
      <c r="C43" s="20">
        <v>14212</v>
      </c>
      <c r="D43" s="11"/>
      <c r="E43" s="20">
        <v>13649</v>
      </c>
      <c r="F43" s="20">
        <v>4584</v>
      </c>
      <c r="G43" s="20">
        <v>5905</v>
      </c>
      <c r="H43" s="20">
        <v>470</v>
      </c>
      <c r="J43" s="20">
        <v>14957</v>
      </c>
      <c r="K43" s="20">
        <v>13510</v>
      </c>
      <c r="L43" s="20">
        <v>9066</v>
      </c>
      <c r="M43" s="20">
        <f>14177-3630</f>
        <v>10547</v>
      </c>
      <c r="N43" s="20">
        <v>10547</v>
      </c>
      <c r="P43" s="20">
        <v>30459</v>
      </c>
      <c r="Q43" s="20">
        <v>12074</v>
      </c>
      <c r="R43" s="20">
        <v>7176</v>
      </c>
      <c r="S43" s="20">
        <v>4689</v>
      </c>
      <c r="T43" s="20">
        <v>5562</v>
      </c>
      <c r="U43" s="20">
        <v>5741</v>
      </c>
      <c r="W43" s="20">
        <v>6513</v>
      </c>
      <c r="X43" s="20">
        <v>9381</v>
      </c>
      <c r="Y43" s="20">
        <v>38001</v>
      </c>
      <c r="Z43" s="20">
        <v>45668</v>
      </c>
      <c r="AB43" s="20">
        <v>40290</v>
      </c>
      <c r="AC43" s="20">
        <v>7684</v>
      </c>
      <c r="AD43" s="20">
        <v>11670</v>
      </c>
      <c r="AE43" s="20">
        <v>23811</v>
      </c>
      <c r="AF43" s="32"/>
      <c r="AG43" s="20">
        <v>12083</v>
      </c>
      <c r="AH43" s="20">
        <v>1711</v>
      </c>
      <c r="AI43" s="20">
        <v>5469</v>
      </c>
      <c r="AJ43" s="20">
        <v>1974</v>
      </c>
      <c r="AK43" s="32"/>
      <c r="AL43" s="20">
        <v>5004</v>
      </c>
      <c r="AM43" s="20">
        <v>5708</v>
      </c>
      <c r="AN43" s="20">
        <v>6493</v>
      </c>
      <c r="AO43" s="20">
        <v>7453</v>
      </c>
      <c r="AP43" s="32"/>
      <c r="AQ43" s="20">
        <v>52</v>
      </c>
      <c r="AR43" s="20">
        <v>3334</v>
      </c>
      <c r="AS43" s="20">
        <v>1337</v>
      </c>
      <c r="AT43" s="20">
        <v>15682</v>
      </c>
      <c r="AU43" s="32"/>
      <c r="AV43" s="20">
        <v>1453</v>
      </c>
      <c r="AW43" s="20">
        <v>6102</v>
      </c>
      <c r="AX43" s="20">
        <v>261</v>
      </c>
      <c r="AY43" s="20">
        <v>2135</v>
      </c>
      <c r="AZ43" s="20"/>
      <c r="BA43" s="20">
        <v>853</v>
      </c>
      <c r="BB43" s="20">
        <v>3446</v>
      </c>
      <c r="BC43" s="20">
        <v>10368</v>
      </c>
      <c r="BD43" s="20">
        <v>21602</v>
      </c>
      <c r="BE43" s="20"/>
      <c r="BF43" s="20">
        <v>234951</v>
      </c>
      <c r="BG43" s="20">
        <v>235931</v>
      </c>
      <c r="BH43" s="20">
        <v>235793</v>
      </c>
      <c r="BI43" s="20">
        <v>218015</v>
      </c>
      <c r="BJ43" s="20"/>
      <c r="BK43" s="20">
        <v>168372</v>
      </c>
      <c r="BL43" s="133">
        <f>+BK43-'ESF GA separado'!C42</f>
        <v>0</v>
      </c>
      <c r="BM43" s="133">
        <f>+BI43-'ESF GA separado'!D42</f>
        <v>0</v>
      </c>
    </row>
    <row r="44" spans="1:65" ht="16.5" customHeight="1" x14ac:dyDescent="0.25">
      <c r="B44" s="136" t="s">
        <v>42</v>
      </c>
      <c r="C44" s="143">
        <f>712+1000</f>
        <v>1712</v>
      </c>
      <c r="D44" s="136"/>
      <c r="E44" s="143">
        <f>879+1058</f>
        <v>1937</v>
      </c>
      <c r="F44" s="143">
        <f>786+1177</f>
        <v>1963</v>
      </c>
      <c r="G44" s="143">
        <f>4094-1040</f>
        <v>3054</v>
      </c>
      <c r="H44" s="143">
        <f>944+1000</f>
        <v>1944</v>
      </c>
      <c r="I44" s="144"/>
      <c r="J44" s="143">
        <f>1118+1347</f>
        <v>2465</v>
      </c>
      <c r="K44" s="143">
        <f>1243+1374</f>
        <v>2617</v>
      </c>
      <c r="L44" s="143">
        <f>1427-1+10</f>
        <v>1436</v>
      </c>
      <c r="M44" s="143">
        <f>1933+517+2012+4543-495</f>
        <v>8510</v>
      </c>
      <c r="N44" s="143">
        <f>1933+517+2012+4543-495</f>
        <v>8510</v>
      </c>
      <c r="O44" s="144"/>
      <c r="P44" s="143">
        <f>2087+517</f>
        <v>2604</v>
      </c>
      <c r="Q44" s="143">
        <f>4228+517</f>
        <v>4745</v>
      </c>
      <c r="R44" s="143">
        <f>6690+517</f>
        <v>7207</v>
      </c>
      <c r="S44" s="143">
        <v>7207</v>
      </c>
      <c r="T44" s="143">
        <f>8961+2815</f>
        <v>11776</v>
      </c>
      <c r="U44" s="143">
        <v>11776</v>
      </c>
      <c r="W44" s="143">
        <v>9084</v>
      </c>
      <c r="X44" s="143">
        <v>8701</v>
      </c>
      <c r="Y44" s="143">
        <v>11409</v>
      </c>
      <c r="Z44" s="143">
        <v>12683</v>
      </c>
      <c r="AB44" s="143">
        <v>15129</v>
      </c>
      <c r="AC44" s="143">
        <v>7703</v>
      </c>
      <c r="AD44" s="143">
        <v>10057</v>
      </c>
      <c r="AE44" s="143">
        <v>11414</v>
      </c>
      <c r="AF44" s="32"/>
      <c r="AG44" s="143">
        <v>5829</v>
      </c>
      <c r="AH44" s="143">
        <v>7943</v>
      </c>
      <c r="AI44" s="143">
        <v>9809</v>
      </c>
      <c r="AJ44" s="143">
        <v>12404</v>
      </c>
      <c r="AK44" s="32"/>
      <c r="AL44" s="143">
        <v>5066</v>
      </c>
      <c r="AM44" s="143">
        <v>8244</v>
      </c>
      <c r="AN44" s="143">
        <v>11277</v>
      </c>
      <c r="AO44" s="143">
        <v>13522</v>
      </c>
      <c r="AP44" s="32"/>
      <c r="AQ44" s="143">
        <v>10729</v>
      </c>
      <c r="AR44" s="143">
        <v>6946</v>
      </c>
      <c r="AS44" s="143">
        <v>9342</v>
      </c>
      <c r="AT44" s="143">
        <v>12510</v>
      </c>
      <c r="AU44" s="32"/>
      <c r="AV44" s="143">
        <v>6891</v>
      </c>
      <c r="AW44" s="143">
        <v>9384</v>
      </c>
      <c r="AX44" s="143">
        <v>10455</v>
      </c>
      <c r="AY44" s="143">
        <v>13907</v>
      </c>
      <c r="AZ44" s="20"/>
      <c r="BA44" s="143">
        <v>7091</v>
      </c>
      <c r="BB44" s="143">
        <v>9773</v>
      </c>
      <c r="BC44" s="143">
        <v>13127</v>
      </c>
      <c r="BD44" s="143">
        <v>16519</v>
      </c>
      <c r="BE44" s="20"/>
      <c r="BF44" s="143">
        <v>6713</v>
      </c>
      <c r="BG44" s="143">
        <v>11131</v>
      </c>
      <c r="BH44" s="143">
        <v>14919</v>
      </c>
      <c r="BI44" s="143">
        <v>18737</v>
      </c>
      <c r="BJ44" s="20"/>
      <c r="BK44" s="143">
        <v>7293</v>
      </c>
      <c r="BL44" s="133">
        <f>+BK44-'ESF GA separado'!C43</f>
        <v>0</v>
      </c>
      <c r="BM44" s="133">
        <f>+BI44-'ESF GA separado'!D43</f>
        <v>0</v>
      </c>
    </row>
    <row r="45" spans="1:65" ht="16.5" customHeight="1" x14ac:dyDescent="0.25">
      <c r="B45" s="136" t="s">
        <v>43</v>
      </c>
      <c r="C45" s="65">
        <v>0</v>
      </c>
      <c r="D45" s="136"/>
      <c r="E45" s="65">
        <v>0</v>
      </c>
      <c r="F45" s="65">
        <v>0</v>
      </c>
      <c r="G45" s="65">
        <v>0</v>
      </c>
      <c r="H45" s="65">
        <v>0</v>
      </c>
      <c r="I45" s="144"/>
      <c r="J45" s="65">
        <v>0</v>
      </c>
      <c r="K45" s="65">
        <v>0</v>
      </c>
      <c r="L45" s="65">
        <v>0</v>
      </c>
      <c r="M45" s="65">
        <v>0</v>
      </c>
      <c r="N45" s="65">
        <v>0</v>
      </c>
      <c r="O45" s="144"/>
      <c r="P45" s="65">
        <v>0</v>
      </c>
      <c r="Q45" s="65">
        <v>0</v>
      </c>
      <c r="R45" s="65">
        <v>0</v>
      </c>
      <c r="S45" s="65">
        <v>0</v>
      </c>
      <c r="T45" s="65">
        <v>0</v>
      </c>
      <c r="U45" s="65">
        <v>0</v>
      </c>
      <c r="W45" s="65">
        <v>0</v>
      </c>
      <c r="X45" s="65">
        <v>0</v>
      </c>
      <c r="Y45" s="65">
        <v>0</v>
      </c>
      <c r="Z45" s="65">
        <v>0</v>
      </c>
      <c r="AB45" s="65">
        <v>0</v>
      </c>
      <c r="AC45" s="65">
        <v>0</v>
      </c>
      <c r="AD45" s="65">
        <v>0</v>
      </c>
      <c r="AE45" s="65">
        <v>0</v>
      </c>
      <c r="AF45" s="32"/>
      <c r="AG45" s="65">
        <v>0</v>
      </c>
      <c r="AH45" s="65">
        <v>0</v>
      </c>
      <c r="AI45" s="65">
        <v>0</v>
      </c>
      <c r="AJ45" s="65">
        <v>0</v>
      </c>
      <c r="AK45" s="32"/>
      <c r="AL45" s="65">
        <v>0</v>
      </c>
      <c r="AM45" s="65">
        <v>0</v>
      </c>
      <c r="AN45" s="65">
        <v>0</v>
      </c>
      <c r="AO45" s="65">
        <v>0</v>
      </c>
      <c r="AP45" s="32"/>
      <c r="AQ45" s="65">
        <v>0</v>
      </c>
      <c r="AR45" s="65">
        <v>0</v>
      </c>
      <c r="AS45" s="65">
        <v>0</v>
      </c>
      <c r="AT45" s="65">
        <v>0</v>
      </c>
      <c r="AU45" s="32"/>
      <c r="AV45" s="65"/>
      <c r="AW45" s="65"/>
      <c r="AX45" s="65"/>
      <c r="AY45" s="65"/>
      <c r="AZ45" s="22"/>
      <c r="BA45" s="65"/>
      <c r="BB45" s="65"/>
      <c r="BC45" s="65"/>
      <c r="BD45" s="65"/>
      <c r="BE45" s="22"/>
      <c r="BF45" s="65"/>
      <c r="BG45" s="65"/>
      <c r="BH45" s="65"/>
      <c r="BI45" s="65"/>
      <c r="BJ45" s="22"/>
      <c r="BK45" s="65">
        <v>0</v>
      </c>
      <c r="BL45" s="133">
        <f>+BK45-'ESF GA separado'!C44</f>
        <v>0</v>
      </c>
      <c r="BM45" s="133">
        <f>+BI45-'ESF GA separado'!D44</f>
        <v>0</v>
      </c>
    </row>
    <row r="46" spans="1:65" ht="16.5" customHeight="1" x14ac:dyDescent="0.2">
      <c r="A46" s="32"/>
      <c r="B46" s="21" t="s">
        <v>190</v>
      </c>
      <c r="C46" s="22">
        <v>0</v>
      </c>
      <c r="D46" s="11"/>
      <c r="E46" s="22">
        <v>0</v>
      </c>
      <c r="F46" s="22">
        <v>0</v>
      </c>
      <c r="G46" s="22">
        <v>0</v>
      </c>
      <c r="H46" s="22">
        <v>0</v>
      </c>
      <c r="J46" s="22">
        <v>0</v>
      </c>
      <c r="K46" s="22">
        <v>0</v>
      </c>
      <c r="L46" s="22">
        <v>0</v>
      </c>
      <c r="M46" s="22">
        <v>0</v>
      </c>
      <c r="N46" s="22">
        <v>0</v>
      </c>
      <c r="P46" s="22">
        <v>0</v>
      </c>
      <c r="Q46" s="22">
        <v>0</v>
      </c>
      <c r="R46" s="22">
        <v>0</v>
      </c>
      <c r="S46" s="22">
        <v>0</v>
      </c>
      <c r="T46" s="22">
        <v>0</v>
      </c>
      <c r="U46" s="22">
        <v>0</v>
      </c>
      <c r="W46" s="22">
        <v>0</v>
      </c>
      <c r="X46" s="22">
        <v>0</v>
      </c>
      <c r="Y46" s="22">
        <v>0</v>
      </c>
      <c r="Z46" s="22">
        <v>0</v>
      </c>
      <c r="AB46" s="22">
        <v>0</v>
      </c>
      <c r="AC46" s="22">
        <v>0</v>
      </c>
      <c r="AD46" s="22">
        <v>0</v>
      </c>
      <c r="AE46" s="22">
        <v>0</v>
      </c>
      <c r="AF46" s="32"/>
      <c r="AG46" s="22">
        <v>0</v>
      </c>
      <c r="AH46" s="22">
        <v>0</v>
      </c>
      <c r="AI46" s="22">
        <v>0</v>
      </c>
      <c r="AJ46" s="22">
        <v>0</v>
      </c>
      <c r="AK46" s="32"/>
      <c r="AL46" s="22">
        <v>0</v>
      </c>
      <c r="AM46" s="22">
        <v>0</v>
      </c>
      <c r="AN46" s="22">
        <v>0</v>
      </c>
      <c r="AO46" s="22">
        <v>0</v>
      </c>
      <c r="AP46" s="32"/>
      <c r="AQ46" s="22">
        <v>0</v>
      </c>
      <c r="AR46" s="22">
        <v>0</v>
      </c>
      <c r="AS46" s="22">
        <v>0</v>
      </c>
      <c r="AT46" s="22">
        <v>0</v>
      </c>
      <c r="AU46" s="32"/>
      <c r="AV46" s="22">
        <v>0</v>
      </c>
      <c r="AW46" s="22">
        <v>0</v>
      </c>
      <c r="AX46" s="22">
        <v>0</v>
      </c>
      <c r="AY46" s="22">
        <v>0</v>
      </c>
      <c r="AZ46" s="22"/>
      <c r="BA46" s="22">
        <v>0</v>
      </c>
      <c r="BB46" s="22">
        <v>0</v>
      </c>
      <c r="BC46" s="22">
        <v>0</v>
      </c>
      <c r="BD46" s="22">
        <v>0</v>
      </c>
      <c r="BE46" s="22"/>
      <c r="BF46" s="22"/>
      <c r="BG46" s="22"/>
      <c r="BH46" s="22"/>
      <c r="BI46" s="22"/>
      <c r="BJ46" s="22"/>
      <c r="BK46" s="22">
        <v>0</v>
      </c>
      <c r="BL46" s="133">
        <f>+BK46-'ESF GA separado'!C45</f>
        <v>0</v>
      </c>
      <c r="BM46" s="133">
        <f>+BI46-'ESF GA separado'!D45</f>
        <v>0</v>
      </c>
    </row>
    <row r="47" spans="1:65" ht="16.5" customHeight="1" x14ac:dyDescent="0.25">
      <c r="A47" s="32"/>
      <c r="B47" s="11" t="s">
        <v>51</v>
      </c>
      <c r="C47" s="22">
        <v>29061</v>
      </c>
      <c r="D47" s="11"/>
      <c r="E47" s="20">
        <v>34331</v>
      </c>
      <c r="F47" s="22">
        <f>-12515-1</f>
        <v>-12516</v>
      </c>
      <c r="G47" s="22">
        <v>91213</v>
      </c>
      <c r="H47" s="22">
        <v>27501</v>
      </c>
      <c r="J47" s="20">
        <v>35618</v>
      </c>
      <c r="K47" s="20">
        <v>41521</v>
      </c>
      <c r="L47" s="20">
        <v>27833</v>
      </c>
      <c r="M47" s="20">
        <f>17253+3630</f>
        <v>20883</v>
      </c>
      <c r="N47" s="20">
        <v>20883</v>
      </c>
      <c r="P47" s="20">
        <v>16536</v>
      </c>
      <c r="Q47" s="20">
        <v>19515</v>
      </c>
      <c r="R47" s="20">
        <v>51633</v>
      </c>
      <c r="S47" s="20">
        <v>54120</v>
      </c>
      <c r="T47" s="20">
        <v>46770</v>
      </c>
      <c r="U47" s="20">
        <v>46824</v>
      </c>
      <c r="W47" s="20">
        <v>56382</v>
      </c>
      <c r="X47" s="20">
        <v>49969</v>
      </c>
      <c r="Y47" s="20">
        <v>47983</v>
      </c>
      <c r="Z47" s="20">
        <v>62970</v>
      </c>
      <c r="AB47" s="22">
        <v>41421</v>
      </c>
      <c r="AC47" s="20">
        <v>41900</v>
      </c>
      <c r="AD47" s="20">
        <v>46355</v>
      </c>
      <c r="AE47" s="20">
        <v>25420</v>
      </c>
      <c r="AF47" s="32"/>
      <c r="AG47" s="22">
        <v>23407</v>
      </c>
      <c r="AH47" s="20">
        <v>24551</v>
      </c>
      <c r="AI47" s="20">
        <v>30117</v>
      </c>
      <c r="AJ47" s="20">
        <v>53332</v>
      </c>
      <c r="AK47" s="32"/>
      <c r="AL47" s="22">
        <v>55195</v>
      </c>
      <c r="AM47" s="20">
        <v>62495</v>
      </c>
      <c r="AN47" s="20">
        <v>57770</v>
      </c>
      <c r="AO47" s="20">
        <v>57882</v>
      </c>
      <c r="AP47" s="32"/>
      <c r="AQ47" s="22">
        <v>67468</v>
      </c>
      <c r="AR47" s="20">
        <v>83752</v>
      </c>
      <c r="AS47" s="20">
        <v>101016</v>
      </c>
      <c r="AT47" s="20">
        <v>109055</v>
      </c>
      <c r="AU47" s="32"/>
      <c r="AV47" s="20">
        <v>120449</v>
      </c>
      <c r="AW47" s="20">
        <v>153644</v>
      </c>
      <c r="AX47" s="20">
        <v>164691</v>
      </c>
      <c r="AY47" s="20">
        <v>175533</v>
      </c>
      <c r="AZ47" s="20"/>
      <c r="BA47" s="22">
        <v>162940</v>
      </c>
      <c r="BB47" s="22">
        <v>151140</v>
      </c>
      <c r="BC47" s="22">
        <v>135958</v>
      </c>
      <c r="BD47" s="22">
        <v>163814</v>
      </c>
      <c r="BE47" s="22"/>
      <c r="BF47" s="22">
        <v>170679</v>
      </c>
      <c r="BG47" s="22">
        <v>153604</v>
      </c>
      <c r="BH47" s="22">
        <v>127806</v>
      </c>
      <c r="BI47" s="22">
        <v>153880</v>
      </c>
      <c r="BJ47" s="22"/>
      <c r="BK47" s="22">
        <v>154979</v>
      </c>
      <c r="BL47" s="133">
        <f>+BK47-'ESF GA separado'!C47</f>
        <v>0</v>
      </c>
      <c r="BM47" s="133">
        <f>+BI47-'ESF GA separado'!D47</f>
        <v>0</v>
      </c>
    </row>
    <row r="48" spans="1:65" ht="16.5" customHeight="1" x14ac:dyDescent="0.25">
      <c r="A48" s="32"/>
      <c r="B48" s="11" t="s">
        <v>31</v>
      </c>
      <c r="C48" s="22">
        <v>1451</v>
      </c>
      <c r="D48" s="11"/>
      <c r="E48" s="22">
        <v>6987</v>
      </c>
      <c r="F48" s="22">
        <v>15170</v>
      </c>
      <c r="G48" s="22">
        <v>0</v>
      </c>
      <c r="H48" s="22">
        <v>0</v>
      </c>
      <c r="J48" s="22">
        <v>0</v>
      </c>
      <c r="K48" s="22">
        <v>0</v>
      </c>
      <c r="L48" s="22">
        <v>0</v>
      </c>
      <c r="M48" s="22">
        <v>0</v>
      </c>
      <c r="N48" s="22">
        <v>0</v>
      </c>
      <c r="P48" s="22">
        <v>0</v>
      </c>
      <c r="Q48" s="22">
        <v>0</v>
      </c>
      <c r="R48" s="22">
        <v>0</v>
      </c>
      <c r="S48" s="22">
        <v>0</v>
      </c>
      <c r="T48" s="22">
        <v>0</v>
      </c>
      <c r="U48" s="22">
        <v>0</v>
      </c>
      <c r="W48" s="22">
        <v>0</v>
      </c>
      <c r="X48" s="22">
        <v>0</v>
      </c>
      <c r="Y48" s="22">
        <v>0</v>
      </c>
      <c r="Z48" s="22">
        <v>0</v>
      </c>
      <c r="AB48" s="22">
        <v>0</v>
      </c>
      <c r="AC48" s="22">
        <v>0</v>
      </c>
      <c r="AD48" s="22">
        <v>0</v>
      </c>
      <c r="AE48" s="22">
        <v>175</v>
      </c>
      <c r="AF48" s="32"/>
      <c r="AG48" s="22">
        <v>3182</v>
      </c>
      <c r="AH48" s="22">
        <v>2420</v>
      </c>
      <c r="AI48" s="22">
        <v>1389</v>
      </c>
      <c r="AJ48" s="22">
        <v>42</v>
      </c>
      <c r="AK48" s="32"/>
      <c r="AL48" s="22">
        <v>31264</v>
      </c>
      <c r="AM48" s="22">
        <v>16803</v>
      </c>
      <c r="AN48" s="22">
        <v>3182</v>
      </c>
      <c r="AO48" s="22">
        <v>0</v>
      </c>
      <c r="AP48" s="32"/>
      <c r="AQ48" s="22">
        <v>0</v>
      </c>
      <c r="AR48" s="22">
        <v>0</v>
      </c>
      <c r="AS48" s="22">
        <v>0</v>
      </c>
      <c r="AT48" s="22">
        <v>727</v>
      </c>
      <c r="AU48" s="32"/>
      <c r="AV48" s="22">
        <v>0</v>
      </c>
      <c r="AW48" s="22">
        <v>0</v>
      </c>
      <c r="AX48" s="22">
        <v>121</v>
      </c>
      <c r="AY48" s="22">
        <v>0</v>
      </c>
      <c r="AZ48" s="22"/>
      <c r="BA48" s="22">
        <v>1490</v>
      </c>
      <c r="BB48" s="22">
        <v>32</v>
      </c>
      <c r="BC48" s="22">
        <v>4</v>
      </c>
      <c r="BD48" s="22">
        <v>1</v>
      </c>
      <c r="BE48" s="22"/>
      <c r="BF48" s="22">
        <v>410</v>
      </c>
      <c r="BG48" s="22">
        <v>961</v>
      </c>
      <c r="BH48" s="22">
        <v>2269</v>
      </c>
      <c r="BI48" s="22">
        <v>3730</v>
      </c>
      <c r="BJ48" s="22"/>
      <c r="BK48" s="22">
        <v>927</v>
      </c>
      <c r="BL48" s="133">
        <f>+BK48-'ESF GA separado'!C48</f>
        <v>0</v>
      </c>
      <c r="BM48" s="133">
        <f>+BI48-'ESF GA separado'!D48</f>
        <v>0</v>
      </c>
    </row>
    <row r="49" spans="1:65" ht="16.5" customHeight="1" x14ac:dyDescent="0.25">
      <c r="B49" s="11" t="s">
        <v>47</v>
      </c>
      <c r="C49" s="22">
        <v>0</v>
      </c>
      <c r="D49" s="11"/>
      <c r="E49" s="22">
        <v>0</v>
      </c>
      <c r="F49" s="22">
        <v>0</v>
      </c>
      <c r="G49" s="22">
        <v>0</v>
      </c>
      <c r="H49" s="22">
        <v>0</v>
      </c>
      <c r="J49" s="22">
        <v>0</v>
      </c>
      <c r="K49" s="22">
        <v>0</v>
      </c>
      <c r="L49" s="22">
        <v>0</v>
      </c>
      <c r="M49" s="22">
        <v>0</v>
      </c>
      <c r="N49" s="22">
        <v>0</v>
      </c>
      <c r="P49" s="22">
        <v>0</v>
      </c>
      <c r="Q49" s="22">
        <v>0</v>
      </c>
      <c r="R49" s="22">
        <v>0</v>
      </c>
      <c r="S49" s="22">
        <v>0</v>
      </c>
      <c r="T49" s="22">
        <v>0</v>
      </c>
      <c r="U49" s="22">
        <v>0</v>
      </c>
      <c r="W49" s="22">
        <v>0</v>
      </c>
      <c r="X49" s="22">
        <v>0</v>
      </c>
      <c r="Y49" s="22">
        <v>0</v>
      </c>
      <c r="Z49" s="22">
        <v>0</v>
      </c>
      <c r="AB49" s="22">
        <v>0</v>
      </c>
      <c r="AC49" s="22">
        <v>0</v>
      </c>
      <c r="AD49" s="22">
        <v>0</v>
      </c>
      <c r="AE49" s="22">
        <v>0</v>
      </c>
      <c r="AF49" s="32"/>
      <c r="AG49" s="22">
        <v>0</v>
      </c>
      <c r="AH49" s="22">
        <v>0</v>
      </c>
      <c r="AI49" s="22">
        <v>0</v>
      </c>
      <c r="AJ49" s="22">
        <v>0</v>
      </c>
      <c r="AK49" s="32"/>
      <c r="AL49" s="22">
        <v>0</v>
      </c>
      <c r="AM49" s="22">
        <v>0</v>
      </c>
      <c r="AN49" s="22">
        <v>0</v>
      </c>
      <c r="AO49" s="22">
        <v>0</v>
      </c>
      <c r="AP49" s="32"/>
      <c r="AQ49" s="22">
        <v>0</v>
      </c>
      <c r="AR49" s="22">
        <v>0</v>
      </c>
      <c r="AS49" s="22">
        <v>0</v>
      </c>
      <c r="AT49" s="22">
        <v>0</v>
      </c>
      <c r="AU49" s="32"/>
      <c r="AV49" s="22">
        <v>0</v>
      </c>
      <c r="AW49" s="22">
        <v>0</v>
      </c>
      <c r="AX49" s="22">
        <v>0</v>
      </c>
      <c r="AY49" s="22">
        <v>0</v>
      </c>
      <c r="AZ49" s="22"/>
      <c r="BA49" s="22">
        <v>0</v>
      </c>
      <c r="BB49" s="22">
        <v>0</v>
      </c>
      <c r="BC49" s="22">
        <v>0</v>
      </c>
      <c r="BD49" s="22">
        <v>0</v>
      </c>
      <c r="BE49" s="22"/>
      <c r="BF49" s="22">
        <v>0</v>
      </c>
      <c r="BG49" s="22">
        <v>0</v>
      </c>
      <c r="BH49" s="22">
        <v>0</v>
      </c>
      <c r="BI49" s="22">
        <v>0</v>
      </c>
      <c r="BJ49" s="22"/>
      <c r="BK49" s="22">
        <v>0</v>
      </c>
      <c r="BL49" s="133">
        <f>+BK49-'ESF GA separado'!C49</f>
        <v>0</v>
      </c>
      <c r="BM49" s="133">
        <f>+BI49-'ESF GA separado'!D49</f>
        <v>0</v>
      </c>
    </row>
    <row r="50" spans="1:65" ht="3.75" customHeight="1" x14ac:dyDescent="0.25">
      <c r="B50" s="11"/>
      <c r="C50" s="22"/>
      <c r="D50" s="11"/>
      <c r="E50" s="22"/>
      <c r="F50" s="22"/>
      <c r="G50" s="22"/>
      <c r="H50" s="22"/>
      <c r="J50" s="22"/>
      <c r="K50" s="22"/>
      <c r="L50" s="22"/>
      <c r="M50" s="22"/>
      <c r="N50" s="22"/>
      <c r="P50" s="22"/>
      <c r="Q50" s="22"/>
      <c r="R50" s="22"/>
      <c r="S50" s="22"/>
      <c r="T50" s="22"/>
      <c r="U50" s="22"/>
      <c r="W50" s="22"/>
      <c r="AB50" s="22"/>
      <c r="AF50" s="32"/>
      <c r="AG50" s="22"/>
      <c r="AK50" s="32"/>
      <c r="AL50" s="22"/>
      <c r="AP50" s="32"/>
      <c r="AQ50" s="22"/>
      <c r="AU50" s="32"/>
      <c r="BA50" s="22"/>
      <c r="BB50" s="22"/>
      <c r="BC50" s="22"/>
      <c r="BD50" s="22"/>
      <c r="BE50" s="22"/>
      <c r="BF50" s="22"/>
      <c r="BG50" s="22"/>
      <c r="BH50" s="22"/>
      <c r="BI50" s="22"/>
      <c r="BJ50" s="22"/>
      <c r="BK50" s="22"/>
      <c r="BL50" s="133"/>
      <c r="BM50" s="133"/>
    </row>
    <row r="51" spans="1:65" ht="20.25" customHeight="1" x14ac:dyDescent="0.25">
      <c r="B51" s="17" t="s">
        <v>48</v>
      </c>
      <c r="C51" s="18">
        <f>+SUM(C38:C49)</f>
        <v>610088</v>
      </c>
      <c r="D51" s="17"/>
      <c r="E51" s="18">
        <f>+SUM(E38:E49)</f>
        <v>929452</v>
      </c>
      <c r="F51" s="18">
        <f>+SUM(F38:F49)</f>
        <v>696929</v>
      </c>
      <c r="G51" s="18">
        <f>+SUM(G38:G49)</f>
        <v>478854</v>
      </c>
      <c r="H51" s="18">
        <f>+SUM(H38:H49)</f>
        <v>206128</v>
      </c>
      <c r="I51" s="137"/>
      <c r="J51" s="18">
        <f>+SUM(J38:J49)</f>
        <v>493179</v>
      </c>
      <c r="K51" s="18">
        <f>+SUM(K38:K49)</f>
        <v>495604</v>
      </c>
      <c r="L51" s="18">
        <f>+SUM(L38:L49)</f>
        <v>409153</v>
      </c>
      <c r="M51" s="18">
        <f>+SUM(M38:M49)</f>
        <v>348347</v>
      </c>
      <c r="N51" s="18">
        <f>+SUM(N38:N49)</f>
        <v>348347</v>
      </c>
      <c r="P51" s="18">
        <f t="shared" ref="P51:U51" si="6">+SUM(P38:P49)</f>
        <v>397199</v>
      </c>
      <c r="Q51" s="18">
        <f t="shared" si="6"/>
        <v>394276</v>
      </c>
      <c r="R51" s="18">
        <f t="shared" si="6"/>
        <v>366896</v>
      </c>
      <c r="S51" s="18">
        <f t="shared" si="6"/>
        <v>366896</v>
      </c>
      <c r="T51" s="18">
        <f t="shared" si="6"/>
        <v>303085</v>
      </c>
      <c r="U51" s="18">
        <f t="shared" si="6"/>
        <v>347565</v>
      </c>
      <c r="W51" s="18">
        <f>+SUM(W38:W49)</f>
        <v>780065</v>
      </c>
      <c r="X51" s="18">
        <f>+SUM(X38:X49)</f>
        <v>448595</v>
      </c>
      <c r="Y51" s="18">
        <f>+SUM(Y38:Y49)</f>
        <v>624371</v>
      </c>
      <c r="Z51" s="18">
        <f>+SUM(Z38:Z49)</f>
        <v>576693</v>
      </c>
      <c r="AB51" s="18">
        <f>+SUM(AB38:AB49)</f>
        <v>489576</v>
      </c>
      <c r="AC51" s="18">
        <f>+SUM(AC38:AC49)</f>
        <v>573360</v>
      </c>
      <c r="AD51" s="18">
        <f>+SUM(AD38:AD49)</f>
        <v>476281</v>
      </c>
      <c r="AE51" s="18">
        <f>+SUM(AE38:AE49)</f>
        <v>392869</v>
      </c>
      <c r="AF51" s="32"/>
      <c r="AG51" s="18">
        <f>+SUM(AG38:AG49)</f>
        <v>613581</v>
      </c>
      <c r="AH51" s="18">
        <f>+SUM(AH38:AH49)</f>
        <v>519583</v>
      </c>
      <c r="AI51" s="18">
        <f>+SUM(AI38:AI49)</f>
        <v>221424</v>
      </c>
      <c r="AJ51" s="18">
        <f>+SUM(AJ38:AJ49)</f>
        <v>176400</v>
      </c>
      <c r="AK51" s="32"/>
      <c r="AL51" s="18">
        <f>+SUM(AL38:AL49)</f>
        <v>455384</v>
      </c>
      <c r="AM51" s="18">
        <f>+SUM(AM38:AM49)</f>
        <v>379026</v>
      </c>
      <c r="AN51" s="18">
        <f>+SUM(AN38:AN49)</f>
        <v>269391</v>
      </c>
      <c r="AO51" s="18">
        <f>+SUM(AO38:AO49)</f>
        <v>176189</v>
      </c>
      <c r="AP51" s="32"/>
      <c r="AQ51" s="18">
        <f>+SUM(AQ38:AQ49)</f>
        <v>424320</v>
      </c>
      <c r="AR51" s="18">
        <f>+SUM(AR38:AR49)</f>
        <v>247155</v>
      </c>
      <c r="AS51" s="18">
        <f>+SUM(AS38:AS49)</f>
        <v>184208</v>
      </c>
      <c r="AT51" s="18">
        <f>+SUM(AT38:AT49)</f>
        <v>253979</v>
      </c>
      <c r="AU51" s="32"/>
      <c r="AV51" s="18">
        <f>+SUM(AV38:AV49)</f>
        <v>686352</v>
      </c>
      <c r="AW51" s="18">
        <f>+SUM(AW38:AW49)</f>
        <v>576143</v>
      </c>
      <c r="AX51" s="18">
        <f>+SUM(AX38:AX49)</f>
        <v>437898</v>
      </c>
      <c r="AY51" s="18">
        <f>+SUM(AY38:AY49)</f>
        <v>368735</v>
      </c>
      <c r="AZ51" s="18"/>
      <c r="BA51" s="18">
        <f>+SUM(BA38:BA49)</f>
        <v>766480</v>
      </c>
      <c r="BB51" s="18">
        <f>+SUM(BB38:BB49)</f>
        <v>630978</v>
      </c>
      <c r="BC51" s="18">
        <f>+SUM(BC38:BC49)</f>
        <v>644204</v>
      </c>
      <c r="BD51" s="18">
        <f>+SUM(BD38:BD49)</f>
        <v>514757</v>
      </c>
      <c r="BE51" s="18"/>
      <c r="BF51" s="18">
        <f>+SUM(BF38:BF49)</f>
        <v>1167739</v>
      </c>
      <c r="BG51" s="18">
        <f>+SUM(BG38:BG49)</f>
        <v>1063578</v>
      </c>
      <c r="BH51" s="18">
        <f>+SUM(BH38:BH49)</f>
        <v>918610</v>
      </c>
      <c r="BI51" s="18">
        <f>+SUM(BI38:BI49)</f>
        <v>742641</v>
      </c>
      <c r="BJ51" s="18"/>
      <c r="BK51" s="18">
        <f>+SUM(BK38:BK49)</f>
        <v>1383746</v>
      </c>
      <c r="BL51" s="133">
        <f>+BK51-'ESF GA separado'!C50</f>
        <v>0</v>
      </c>
      <c r="BM51" s="133">
        <f>+BI51-'ESF GA separado'!D50</f>
        <v>0</v>
      </c>
    </row>
    <row r="52" spans="1:65" ht="6" customHeight="1" x14ac:dyDescent="0.25">
      <c r="B52" s="17"/>
      <c r="C52" s="18"/>
      <c r="D52" s="17"/>
      <c r="E52" s="18"/>
      <c r="F52" s="18"/>
      <c r="G52" s="18"/>
      <c r="H52" s="18"/>
      <c r="I52" s="137"/>
      <c r="J52" s="18"/>
      <c r="K52" s="18"/>
      <c r="L52" s="18"/>
      <c r="M52" s="18"/>
      <c r="N52" s="18"/>
      <c r="P52" s="18"/>
      <c r="Q52" s="18"/>
      <c r="R52" s="18"/>
      <c r="S52" s="18"/>
      <c r="T52" s="18"/>
      <c r="U52" s="18"/>
      <c r="W52" s="18"/>
      <c r="AB52" s="18"/>
      <c r="AF52" s="32"/>
      <c r="AG52" s="18"/>
      <c r="AK52" s="32"/>
      <c r="AL52" s="18"/>
      <c r="AP52" s="32"/>
      <c r="AQ52" s="18"/>
      <c r="AU52" s="32"/>
      <c r="BA52" s="18"/>
      <c r="BB52" s="18"/>
      <c r="BC52" s="18"/>
      <c r="BD52" s="18"/>
      <c r="BE52" s="18"/>
      <c r="BF52" s="18"/>
      <c r="BG52" s="18"/>
      <c r="BH52" s="18"/>
      <c r="BI52" s="18"/>
      <c r="BJ52" s="18"/>
      <c r="BK52" s="18"/>
      <c r="BL52" s="133"/>
      <c r="BM52" s="133"/>
    </row>
    <row r="53" spans="1:65" ht="16.5" customHeight="1" x14ac:dyDescent="0.2">
      <c r="B53" s="21" t="s">
        <v>36</v>
      </c>
      <c r="C53" s="20">
        <v>418952</v>
      </c>
      <c r="D53" s="21"/>
      <c r="E53" s="20">
        <v>418953</v>
      </c>
      <c r="F53" s="20">
        <v>401454</v>
      </c>
      <c r="G53" s="20">
        <v>23955</v>
      </c>
      <c r="H53" s="20">
        <v>23</v>
      </c>
      <c r="J53" s="20">
        <v>24</v>
      </c>
      <c r="K53" s="20">
        <v>550025</v>
      </c>
      <c r="L53" s="20">
        <v>551187</v>
      </c>
      <c r="M53" s="20">
        <v>550028</v>
      </c>
      <c r="N53" s="20">
        <v>550028</v>
      </c>
      <c r="P53" s="20">
        <v>550029</v>
      </c>
      <c r="Q53" s="20">
        <v>550030</v>
      </c>
      <c r="R53" s="20">
        <v>550031</v>
      </c>
      <c r="S53" s="20">
        <v>550031</v>
      </c>
      <c r="T53" s="20">
        <v>550033</v>
      </c>
      <c r="U53" s="20">
        <v>550033</v>
      </c>
      <c r="W53" s="20">
        <v>655035</v>
      </c>
      <c r="X53" s="20">
        <v>865036</v>
      </c>
      <c r="Y53" s="20">
        <v>458038</v>
      </c>
      <c r="Z53" s="20">
        <v>458039</v>
      </c>
      <c r="AB53" s="20">
        <v>738040</v>
      </c>
      <c r="AC53" s="20">
        <v>738043</v>
      </c>
      <c r="AD53" s="20">
        <v>738045</v>
      </c>
      <c r="AE53" s="20">
        <v>738047</v>
      </c>
      <c r="AF53" s="32"/>
      <c r="AG53" s="20">
        <v>658049</v>
      </c>
      <c r="AH53" s="20">
        <v>618552</v>
      </c>
      <c r="AI53" s="20">
        <v>487754</v>
      </c>
      <c r="AJ53" s="20">
        <v>497757</v>
      </c>
      <c r="AK53" s="32"/>
      <c r="AL53" s="20">
        <v>622759</v>
      </c>
      <c r="AM53" s="20">
        <v>647762</v>
      </c>
      <c r="AN53" s="20">
        <v>647765</v>
      </c>
      <c r="AO53" s="20">
        <v>479768</v>
      </c>
      <c r="AP53" s="32"/>
      <c r="AQ53" s="20">
        <v>479771</v>
      </c>
      <c r="AR53" s="20">
        <v>479774</v>
      </c>
      <c r="AS53" s="20">
        <v>479777</v>
      </c>
      <c r="AT53" s="20">
        <v>392281</v>
      </c>
      <c r="AU53" s="32"/>
      <c r="AV53" s="20">
        <v>392285</v>
      </c>
      <c r="AW53" s="20">
        <v>392288</v>
      </c>
      <c r="AX53" s="20">
        <v>392293</v>
      </c>
      <c r="AY53" s="20">
        <v>392297</v>
      </c>
      <c r="AZ53" s="20"/>
      <c r="BA53" s="20">
        <v>622667</v>
      </c>
      <c r="BB53" s="20">
        <v>622693</v>
      </c>
      <c r="BC53" s="20">
        <v>575962</v>
      </c>
      <c r="BD53" s="20">
        <v>620814</v>
      </c>
      <c r="BE53" s="20"/>
      <c r="BF53" s="20">
        <v>620814</v>
      </c>
      <c r="BG53" s="20">
        <v>672658</v>
      </c>
      <c r="BH53" s="20">
        <v>892491</v>
      </c>
      <c r="BI53" s="20">
        <v>892491</v>
      </c>
      <c r="BJ53" s="20"/>
      <c r="BK53" s="336">
        <v>753895</v>
      </c>
      <c r="BL53" s="133">
        <f>+BK53-'ESF GA separado'!C52</f>
        <v>0</v>
      </c>
      <c r="BM53" s="133">
        <f>+BI53-'ESF GA separado'!D52</f>
        <v>0</v>
      </c>
    </row>
    <row r="54" spans="1:65" ht="16.5" customHeight="1" x14ac:dyDescent="0.2">
      <c r="B54" s="21" t="s">
        <v>191</v>
      </c>
      <c r="C54" s="20"/>
      <c r="D54" s="21"/>
      <c r="E54" s="20"/>
      <c r="F54" s="20"/>
      <c r="G54" s="20"/>
      <c r="H54" s="20"/>
      <c r="J54" s="20"/>
      <c r="K54" s="20"/>
      <c r="L54" s="20"/>
      <c r="M54" s="20"/>
      <c r="N54" s="20"/>
      <c r="P54" s="20"/>
      <c r="Q54" s="20"/>
      <c r="R54" s="20"/>
      <c r="S54" s="20"/>
      <c r="T54" s="20"/>
      <c r="U54" s="20"/>
      <c r="W54" s="20"/>
      <c r="X54" s="20"/>
      <c r="Y54" s="20"/>
      <c r="Z54" s="20"/>
      <c r="AB54" s="20"/>
      <c r="AC54" s="20"/>
      <c r="AD54" s="20"/>
      <c r="AE54" s="20"/>
      <c r="AF54" s="32"/>
      <c r="AG54" s="20">
        <v>11204</v>
      </c>
      <c r="AH54" s="20">
        <v>12229</v>
      </c>
      <c r="AI54" s="20">
        <v>12230</v>
      </c>
      <c r="AJ54" s="20">
        <v>10264</v>
      </c>
      <c r="AK54" s="32"/>
      <c r="AL54" s="20">
        <v>9311</v>
      </c>
      <c r="AM54" s="20">
        <v>8575</v>
      </c>
      <c r="AN54" s="20">
        <v>8712</v>
      </c>
      <c r="AO54" s="20">
        <v>6763</v>
      </c>
      <c r="AP54" s="32"/>
      <c r="AQ54" s="20">
        <v>6836</v>
      </c>
      <c r="AR54" s="20">
        <v>5305</v>
      </c>
      <c r="AS54" s="20">
        <v>5303</v>
      </c>
      <c r="AT54" s="20">
        <v>4679</v>
      </c>
      <c r="AU54" s="32"/>
      <c r="AV54" s="20">
        <v>6946</v>
      </c>
      <c r="AW54" s="20">
        <v>5754</v>
      </c>
      <c r="AX54" s="20">
        <v>5786</v>
      </c>
      <c r="AY54" s="20">
        <v>3617</v>
      </c>
      <c r="AZ54" s="20"/>
      <c r="BA54" s="20">
        <v>4703</v>
      </c>
      <c r="BB54" s="20">
        <v>4046</v>
      </c>
      <c r="BC54" s="20">
        <v>4069</v>
      </c>
      <c r="BD54" s="20">
        <v>4149</v>
      </c>
      <c r="BE54" s="20"/>
      <c r="BF54" s="20">
        <v>3717</v>
      </c>
      <c r="BG54" s="20">
        <v>3000</v>
      </c>
      <c r="BH54" s="20">
        <v>3121</v>
      </c>
      <c r="BI54" s="20">
        <v>2813</v>
      </c>
      <c r="BJ54" s="20"/>
      <c r="BK54" s="20">
        <v>2231</v>
      </c>
      <c r="BL54" s="133">
        <f>+BK54-'ESF GA separado'!C53</f>
        <v>0</v>
      </c>
      <c r="BM54" s="133">
        <f>+BI54-'ESF GA separado'!D53</f>
        <v>0</v>
      </c>
    </row>
    <row r="55" spans="1:65" ht="16.5" customHeight="1" x14ac:dyDescent="0.25">
      <c r="A55" s="32"/>
      <c r="B55" s="11" t="s">
        <v>189</v>
      </c>
      <c r="C55" s="20">
        <v>31474</v>
      </c>
      <c r="D55" s="11"/>
      <c r="E55" s="20">
        <v>4135</v>
      </c>
      <c r="F55" s="20">
        <v>-9705</v>
      </c>
      <c r="G55" s="20">
        <v>997978</v>
      </c>
      <c r="H55" s="20">
        <v>997825</v>
      </c>
      <c r="J55" s="20">
        <v>975442</v>
      </c>
      <c r="K55" s="20">
        <v>997932</v>
      </c>
      <c r="L55" s="20">
        <v>997932</v>
      </c>
      <c r="M55" s="20">
        <v>1006588</v>
      </c>
      <c r="N55" s="20">
        <v>1006588</v>
      </c>
      <c r="P55" s="20">
        <v>997932</v>
      </c>
      <c r="Q55" s="20">
        <v>889749</v>
      </c>
      <c r="R55" s="20">
        <v>766155</v>
      </c>
      <c r="S55" s="20">
        <v>766155</v>
      </c>
      <c r="T55" s="20">
        <v>766243</v>
      </c>
      <c r="U55" s="20">
        <v>766243</v>
      </c>
      <c r="W55" s="20">
        <v>766243</v>
      </c>
      <c r="X55" s="20">
        <v>766243</v>
      </c>
      <c r="Y55" s="20">
        <v>766243</v>
      </c>
      <c r="Z55" s="20">
        <v>769075</v>
      </c>
      <c r="AB55" s="20">
        <v>769075</v>
      </c>
      <c r="AC55" s="20">
        <v>769075</v>
      </c>
      <c r="AD55" s="20">
        <v>769075</v>
      </c>
      <c r="AE55" s="20">
        <v>655517</v>
      </c>
      <c r="AF55" s="32"/>
      <c r="AG55" s="20">
        <v>655517</v>
      </c>
      <c r="AH55" s="20">
        <v>655517</v>
      </c>
      <c r="AI55" s="20">
        <v>1104482</v>
      </c>
      <c r="AJ55" s="20">
        <v>1105207</v>
      </c>
      <c r="AK55" s="32"/>
      <c r="AL55" s="20">
        <v>1105207</v>
      </c>
      <c r="AM55" s="20">
        <v>1104244</v>
      </c>
      <c r="AN55" s="20">
        <v>1104243</v>
      </c>
      <c r="AO55" s="20">
        <v>1125849</v>
      </c>
      <c r="AP55" s="32"/>
      <c r="AQ55" s="20">
        <v>1125849</v>
      </c>
      <c r="AR55" s="20">
        <v>1125850</v>
      </c>
      <c r="AS55" s="20">
        <v>1125850</v>
      </c>
      <c r="AT55" s="20">
        <v>1003177</v>
      </c>
      <c r="AU55" s="32"/>
      <c r="AV55" s="20">
        <v>1003178</v>
      </c>
      <c r="AW55" s="20">
        <v>1003177</v>
      </c>
      <c r="AX55" s="20">
        <v>1000683</v>
      </c>
      <c r="AY55" s="20">
        <v>994367</v>
      </c>
      <c r="AZ55" s="20"/>
      <c r="BA55" s="20">
        <v>994363</v>
      </c>
      <c r="BB55" s="20">
        <v>995339</v>
      </c>
      <c r="BC55" s="20">
        <v>860799</v>
      </c>
      <c r="BD55" s="20">
        <v>860778</v>
      </c>
      <c r="BE55" s="20"/>
      <c r="BF55" s="20">
        <v>860760</v>
      </c>
      <c r="BG55" s="20">
        <v>860731</v>
      </c>
      <c r="BH55" s="20">
        <v>703112</v>
      </c>
      <c r="BI55" s="20">
        <v>671105</v>
      </c>
      <c r="BJ55" s="20"/>
      <c r="BK55" s="20">
        <v>651101</v>
      </c>
      <c r="BL55" s="133">
        <f>+BK55-'ESF GA separado'!C54</f>
        <v>0</v>
      </c>
      <c r="BM55" s="133">
        <f>+BI55-'ESF GA separado'!D54</f>
        <v>0</v>
      </c>
    </row>
    <row r="56" spans="1:65" ht="16.5" customHeight="1" x14ac:dyDescent="0.25">
      <c r="A56" s="32"/>
      <c r="B56" s="11" t="s">
        <v>49</v>
      </c>
      <c r="C56" s="20">
        <v>119193</v>
      </c>
      <c r="D56" s="11"/>
      <c r="E56" s="20">
        <v>172089</v>
      </c>
      <c r="F56" s="20">
        <v>165726</v>
      </c>
      <c r="G56" s="20">
        <v>170973</v>
      </c>
      <c r="H56" s="20">
        <v>109859</v>
      </c>
      <c r="J56" s="22">
        <v>161794</v>
      </c>
      <c r="K56" s="20">
        <v>148819</v>
      </c>
      <c r="L56" s="20">
        <v>140849</v>
      </c>
      <c r="M56" s="20">
        <v>119431</v>
      </c>
      <c r="N56" s="20">
        <v>132852</v>
      </c>
      <c r="P56" s="20">
        <v>115271</v>
      </c>
      <c r="Q56" s="20">
        <v>121450</v>
      </c>
      <c r="R56" s="20">
        <v>136493</v>
      </c>
      <c r="S56" s="20">
        <v>149914</v>
      </c>
      <c r="T56" s="20">
        <v>132865</v>
      </c>
      <c r="U56" s="20">
        <v>176657</v>
      </c>
      <c r="W56" s="20">
        <v>132295</v>
      </c>
      <c r="X56" s="20">
        <v>127688</v>
      </c>
      <c r="Y56" s="20">
        <v>142173</v>
      </c>
      <c r="Z56" s="20">
        <v>162692</v>
      </c>
      <c r="AB56" s="20">
        <v>164054</v>
      </c>
      <c r="AC56" s="20">
        <v>167688</v>
      </c>
      <c r="AD56" s="20">
        <v>167150</v>
      </c>
      <c r="AE56" s="20">
        <v>182086</v>
      </c>
      <c r="AF56" s="32"/>
      <c r="AG56" s="20">
        <v>182575</v>
      </c>
      <c r="AH56" s="20">
        <v>187680</v>
      </c>
      <c r="AI56" s="20">
        <v>196794</v>
      </c>
      <c r="AJ56" s="20">
        <v>195402</v>
      </c>
      <c r="AK56" s="32"/>
      <c r="AL56" s="20">
        <v>194569</v>
      </c>
      <c r="AM56" s="20">
        <v>199221</v>
      </c>
      <c r="AN56" s="20">
        <v>203807</v>
      </c>
      <c r="AO56" s="20">
        <v>207369</v>
      </c>
      <c r="AP56" s="32"/>
      <c r="AQ56" s="20">
        <v>209350</v>
      </c>
      <c r="AR56" s="20">
        <v>201896</v>
      </c>
      <c r="AS56" s="20">
        <v>198784</v>
      </c>
      <c r="AT56" s="20">
        <v>185302</v>
      </c>
      <c r="AU56" s="32"/>
      <c r="AV56" s="20">
        <v>185404</v>
      </c>
      <c r="AW56" s="20">
        <v>192992</v>
      </c>
      <c r="AX56" s="20">
        <v>190841</v>
      </c>
      <c r="AY56" s="20">
        <v>557402</v>
      </c>
      <c r="AZ56" s="20"/>
      <c r="BA56" s="20">
        <v>601069</v>
      </c>
      <c r="BB56" s="20">
        <v>620845</v>
      </c>
      <c r="BC56" s="20">
        <v>618841</v>
      </c>
      <c r="BD56" s="20">
        <v>622842</v>
      </c>
      <c r="BE56" s="20"/>
      <c r="BF56" s="20">
        <v>784375</v>
      </c>
      <c r="BG56" s="20">
        <v>787280</v>
      </c>
      <c r="BH56" s="20">
        <v>792390</v>
      </c>
      <c r="BI56" s="20">
        <v>934868</v>
      </c>
      <c r="BJ56" s="20"/>
      <c r="BK56" s="20">
        <v>944918</v>
      </c>
      <c r="BL56" s="133">
        <f>+BK56-'ESF GA separado'!C55</f>
        <v>0</v>
      </c>
      <c r="BM56" s="133">
        <f>+BI56-'ESF GA separado'!D55</f>
        <v>0</v>
      </c>
    </row>
    <row r="57" spans="1:65" ht="16.5" customHeight="1" x14ac:dyDescent="0.25">
      <c r="A57" s="32"/>
      <c r="B57" s="11" t="s">
        <v>40</v>
      </c>
      <c r="C57" s="22">
        <v>0</v>
      </c>
      <c r="D57" s="11"/>
      <c r="E57" s="22">
        <v>0</v>
      </c>
      <c r="F57" s="22">
        <v>0</v>
      </c>
      <c r="G57" s="22">
        <v>0</v>
      </c>
      <c r="H57" s="22">
        <v>0</v>
      </c>
      <c r="J57" s="22">
        <v>0</v>
      </c>
      <c r="K57" s="22">
        <v>0</v>
      </c>
      <c r="L57" s="22">
        <v>0</v>
      </c>
      <c r="M57" s="22">
        <v>0</v>
      </c>
      <c r="N57" s="22">
        <v>0</v>
      </c>
      <c r="P57" s="22">
        <v>0</v>
      </c>
      <c r="Q57" s="22">
        <v>0</v>
      </c>
      <c r="R57" s="22">
        <v>0</v>
      </c>
      <c r="S57" s="22">
        <v>0</v>
      </c>
      <c r="T57" s="22">
        <v>0</v>
      </c>
      <c r="U57" s="22">
        <v>0</v>
      </c>
      <c r="W57" s="22">
        <v>0</v>
      </c>
      <c r="X57" s="22">
        <v>0</v>
      </c>
      <c r="Y57" s="22">
        <v>0</v>
      </c>
      <c r="Z57" s="22">
        <v>0</v>
      </c>
      <c r="AB57" s="22">
        <v>0</v>
      </c>
      <c r="AC57" s="22">
        <v>0</v>
      </c>
      <c r="AD57" s="22">
        <v>0</v>
      </c>
      <c r="AE57" s="22">
        <v>0</v>
      </c>
      <c r="AF57" s="32"/>
      <c r="AG57" s="22">
        <v>0</v>
      </c>
      <c r="AH57" s="22">
        <v>0</v>
      </c>
      <c r="AI57" s="22">
        <v>0</v>
      </c>
      <c r="AJ57" s="22">
        <v>0</v>
      </c>
      <c r="AK57" s="32"/>
      <c r="AL57" s="22">
        <v>0</v>
      </c>
      <c r="AM57" s="22">
        <v>0</v>
      </c>
      <c r="AN57" s="22">
        <v>0</v>
      </c>
      <c r="AO57" s="22">
        <v>0</v>
      </c>
      <c r="AP57" s="32"/>
      <c r="AQ57" s="22">
        <v>0</v>
      </c>
      <c r="AR57" s="22">
        <v>0</v>
      </c>
      <c r="AS57" s="22">
        <v>0</v>
      </c>
      <c r="AT57" s="22">
        <v>0</v>
      </c>
      <c r="AU57" s="32"/>
      <c r="AV57" s="22">
        <v>0</v>
      </c>
      <c r="AW57" s="22">
        <v>0</v>
      </c>
      <c r="AX57" s="22"/>
      <c r="AY57" s="22">
        <v>0</v>
      </c>
      <c r="AZ57" s="22"/>
      <c r="BA57" s="22"/>
      <c r="BB57" s="22">
        <v>0</v>
      </c>
      <c r="BC57" s="22">
        <v>0</v>
      </c>
      <c r="BD57" s="22">
        <v>0</v>
      </c>
      <c r="BE57" s="22"/>
      <c r="BF57" s="22">
        <v>0</v>
      </c>
      <c r="BG57" s="22">
        <v>0</v>
      </c>
      <c r="BH57" s="22">
        <v>0</v>
      </c>
      <c r="BI57" s="22">
        <v>0</v>
      </c>
      <c r="BJ57" s="22"/>
      <c r="BK57" s="22">
        <v>0</v>
      </c>
      <c r="BL57" s="133">
        <f>+BK57-'ESF GA separado'!C56</f>
        <v>0</v>
      </c>
      <c r="BM57" s="133">
        <f>+BI57-'ESF GA separado'!D56</f>
        <v>0</v>
      </c>
    </row>
    <row r="58" spans="1:65" ht="16.5" customHeight="1" x14ac:dyDescent="0.2">
      <c r="B58" s="21" t="s">
        <v>50</v>
      </c>
      <c r="C58" s="20">
        <v>8285</v>
      </c>
      <c r="D58" s="21"/>
      <c r="E58" s="20">
        <v>6890</v>
      </c>
      <c r="F58" s="20">
        <v>6890</v>
      </c>
      <c r="G58" s="20">
        <v>6890</v>
      </c>
      <c r="H58" s="20">
        <v>8406</v>
      </c>
      <c r="J58" s="20">
        <v>6890</v>
      </c>
      <c r="K58" s="20">
        <v>6890</v>
      </c>
      <c r="L58" s="20">
        <v>6891</v>
      </c>
      <c r="M58" s="22">
        <v>0</v>
      </c>
      <c r="N58" s="22">
        <v>0</v>
      </c>
      <c r="P58" s="20">
        <v>8656</v>
      </c>
      <c r="Q58" s="20">
        <v>8656</v>
      </c>
      <c r="R58" s="22">
        <v>0</v>
      </c>
      <c r="S58" s="22">
        <v>0</v>
      </c>
      <c r="T58" s="22">
        <v>0</v>
      </c>
      <c r="U58" s="22">
        <v>0</v>
      </c>
      <c r="W58" s="22">
        <v>0</v>
      </c>
      <c r="X58" s="22">
        <v>0</v>
      </c>
      <c r="Y58" s="22">
        <v>0</v>
      </c>
      <c r="Z58" s="22">
        <v>0</v>
      </c>
      <c r="AB58" s="22">
        <v>0</v>
      </c>
      <c r="AC58" s="22">
        <v>0</v>
      </c>
      <c r="AD58" s="22">
        <v>0</v>
      </c>
      <c r="AE58" s="22">
        <v>0</v>
      </c>
      <c r="AF58" s="32"/>
      <c r="AG58" s="22">
        <v>0</v>
      </c>
      <c r="AH58" s="22">
        <v>0</v>
      </c>
      <c r="AI58" s="22">
        <v>0</v>
      </c>
      <c r="AJ58" s="22">
        <v>0</v>
      </c>
      <c r="AK58" s="32"/>
      <c r="AL58" s="22">
        <v>0</v>
      </c>
      <c r="AM58" s="22">
        <v>0</v>
      </c>
      <c r="AN58" s="22">
        <v>0</v>
      </c>
      <c r="AO58" s="22">
        <v>0</v>
      </c>
      <c r="AP58" s="32"/>
      <c r="AQ58" s="22">
        <v>0</v>
      </c>
      <c r="AR58" s="22">
        <v>0</v>
      </c>
      <c r="AS58" s="22">
        <v>0</v>
      </c>
      <c r="AT58" s="22">
        <v>0</v>
      </c>
      <c r="AU58" s="32"/>
      <c r="AV58" s="22">
        <v>0</v>
      </c>
      <c r="AW58" s="22">
        <v>0</v>
      </c>
      <c r="AX58" s="22">
        <v>0</v>
      </c>
      <c r="AY58" s="22">
        <v>0</v>
      </c>
      <c r="AZ58" s="22"/>
      <c r="BA58" s="22">
        <v>0</v>
      </c>
      <c r="BB58" s="22">
        <v>0</v>
      </c>
      <c r="BC58" s="22">
        <v>0</v>
      </c>
      <c r="BD58" s="22">
        <v>0</v>
      </c>
      <c r="BE58" s="22"/>
      <c r="BF58" s="22"/>
      <c r="BG58" s="22"/>
      <c r="BH58" s="22"/>
      <c r="BI58" s="22"/>
      <c r="BJ58" s="22"/>
      <c r="BK58" s="22">
        <v>0</v>
      </c>
      <c r="BL58" s="133">
        <f>+BK58-'ESF GA separado'!C57</f>
        <v>0</v>
      </c>
      <c r="BM58" s="133">
        <f>+BI58-'ESF GA separado'!D57</f>
        <v>0</v>
      </c>
    </row>
    <row r="59" spans="1:65" ht="16.5" customHeight="1" x14ac:dyDescent="0.2">
      <c r="B59" s="136" t="s">
        <v>42</v>
      </c>
      <c r="C59" s="143">
        <v>16480</v>
      </c>
      <c r="D59" s="145"/>
      <c r="E59" s="65">
        <v>16695</v>
      </c>
      <c r="F59" s="143">
        <v>17131</v>
      </c>
      <c r="G59" s="143">
        <v>18081</v>
      </c>
      <c r="H59" s="143">
        <v>23744</v>
      </c>
      <c r="I59" s="144"/>
      <c r="J59" s="65">
        <v>23804</v>
      </c>
      <c r="K59" s="143">
        <v>24732</v>
      </c>
      <c r="L59" s="143">
        <v>26552</v>
      </c>
      <c r="M59" s="143">
        <v>6819</v>
      </c>
      <c r="N59" s="143">
        <v>6819</v>
      </c>
      <c r="O59" s="144"/>
      <c r="P59" s="143">
        <v>6819</v>
      </c>
      <c r="Q59" s="65">
        <f>1600+6819</f>
        <v>8419</v>
      </c>
      <c r="R59" s="65">
        <f>2840+6819</f>
        <v>9659</v>
      </c>
      <c r="S59" s="65">
        <v>9659</v>
      </c>
      <c r="T59" s="65">
        <v>13075</v>
      </c>
      <c r="U59" s="65">
        <v>13075</v>
      </c>
      <c r="W59" s="65">
        <v>13075</v>
      </c>
      <c r="X59" s="65">
        <v>13075</v>
      </c>
      <c r="Y59" s="65">
        <v>13075</v>
      </c>
      <c r="Z59" s="65">
        <v>11908</v>
      </c>
      <c r="AB59" s="65">
        <v>11735</v>
      </c>
      <c r="AC59" s="65">
        <v>11062</v>
      </c>
      <c r="AD59" s="65">
        <v>9389</v>
      </c>
      <c r="AE59" s="65">
        <v>1865</v>
      </c>
      <c r="AF59" s="32"/>
      <c r="AG59" s="65">
        <v>1691</v>
      </c>
      <c r="AH59" s="65">
        <v>0</v>
      </c>
      <c r="AI59" s="65"/>
      <c r="AJ59" s="65">
        <v>2785</v>
      </c>
      <c r="AK59" s="32"/>
      <c r="AL59" s="65">
        <v>2785</v>
      </c>
      <c r="AM59" s="65">
        <v>2785</v>
      </c>
      <c r="AN59" s="65">
        <v>2785</v>
      </c>
      <c r="AO59" s="65">
        <v>2760</v>
      </c>
      <c r="AP59" s="32"/>
      <c r="AQ59" s="65">
        <v>2760</v>
      </c>
      <c r="AR59" s="65">
        <v>2760</v>
      </c>
      <c r="AS59" s="65">
        <v>2760</v>
      </c>
      <c r="AT59" s="65">
        <v>2122</v>
      </c>
      <c r="AU59" s="32"/>
      <c r="AV59" s="65">
        <v>2122</v>
      </c>
      <c r="AW59" s="65">
        <v>2122</v>
      </c>
      <c r="AX59" s="65">
        <v>2122</v>
      </c>
      <c r="AY59" s="65">
        <v>1647</v>
      </c>
      <c r="AZ59" s="22"/>
      <c r="BA59" s="65">
        <v>1647</v>
      </c>
      <c r="BB59" s="65">
        <v>1647</v>
      </c>
      <c r="BC59" s="65">
        <v>1647</v>
      </c>
      <c r="BD59" s="65">
        <v>2040</v>
      </c>
      <c r="BE59" s="22"/>
      <c r="BF59" s="65">
        <v>2039</v>
      </c>
      <c r="BG59" s="65">
        <v>2039</v>
      </c>
      <c r="BH59" s="65">
        <v>2039</v>
      </c>
      <c r="BI59" s="65">
        <v>1897</v>
      </c>
      <c r="BJ59" s="22"/>
      <c r="BK59" s="65">
        <v>1897</v>
      </c>
      <c r="BL59" s="133">
        <f>+BK59-'ESF GA separado'!C58</f>
        <v>0</v>
      </c>
      <c r="BM59" s="133">
        <f>+BI59-'ESF GA separado'!D58</f>
        <v>0</v>
      </c>
    </row>
    <row r="60" spans="1:65" ht="16.5" customHeight="1" x14ac:dyDescent="0.2">
      <c r="B60" s="145" t="s">
        <v>43</v>
      </c>
      <c r="C60" s="65">
        <v>0</v>
      </c>
      <c r="D60" s="145"/>
      <c r="E60" s="65">
        <v>0</v>
      </c>
      <c r="F60" s="65">
        <v>0</v>
      </c>
      <c r="G60" s="65">
        <v>0</v>
      </c>
      <c r="H60" s="65">
        <v>0</v>
      </c>
      <c r="I60" s="144"/>
      <c r="J60" s="65">
        <v>0</v>
      </c>
      <c r="K60" s="65">
        <v>0</v>
      </c>
      <c r="L60" s="65">
        <v>0</v>
      </c>
      <c r="M60" s="65">
        <v>0</v>
      </c>
      <c r="N60" s="65">
        <v>0</v>
      </c>
      <c r="O60" s="144"/>
      <c r="P60" s="65">
        <v>0</v>
      </c>
      <c r="Q60" s="65">
        <v>0</v>
      </c>
      <c r="R60" s="65">
        <v>0</v>
      </c>
      <c r="S60" s="65">
        <v>0</v>
      </c>
      <c r="T60" s="65">
        <v>0</v>
      </c>
      <c r="U60" s="65">
        <v>0</v>
      </c>
      <c r="W60" s="65">
        <v>0</v>
      </c>
      <c r="X60" s="65">
        <v>0</v>
      </c>
      <c r="Y60" s="65">
        <v>0</v>
      </c>
      <c r="Z60" s="65">
        <v>0</v>
      </c>
      <c r="AB60" s="65">
        <v>0</v>
      </c>
      <c r="AC60" s="65">
        <v>0</v>
      </c>
      <c r="AD60" s="65">
        <v>0</v>
      </c>
      <c r="AE60" s="65">
        <v>0</v>
      </c>
      <c r="AF60" s="32"/>
      <c r="AG60" s="65">
        <v>0</v>
      </c>
      <c r="AH60" s="65">
        <v>0</v>
      </c>
      <c r="AI60" s="65">
        <v>0</v>
      </c>
      <c r="AJ60" s="65">
        <v>0</v>
      </c>
      <c r="AK60" s="32"/>
      <c r="AL60" s="65">
        <v>0</v>
      </c>
      <c r="AM60" s="65">
        <v>0</v>
      </c>
      <c r="AN60" s="65">
        <v>0</v>
      </c>
      <c r="AO60" s="65">
        <v>0</v>
      </c>
      <c r="AP60" s="32"/>
      <c r="AQ60" s="65">
        <v>0</v>
      </c>
      <c r="AR60" s="65">
        <v>0</v>
      </c>
      <c r="AS60" s="65">
        <v>0</v>
      </c>
      <c r="AT60" s="65">
        <v>0</v>
      </c>
      <c r="AU60" s="32"/>
      <c r="AV60" s="65"/>
      <c r="AW60" s="65"/>
      <c r="AX60" s="65"/>
      <c r="AY60" s="65"/>
      <c r="AZ60" s="22"/>
      <c r="BA60" s="65"/>
      <c r="BB60" s="65"/>
      <c r="BC60" s="65"/>
      <c r="BD60" s="65"/>
      <c r="BE60" s="22"/>
      <c r="BF60" s="65"/>
      <c r="BG60" s="65"/>
      <c r="BH60" s="65"/>
      <c r="BI60" s="65"/>
      <c r="BJ60" s="22"/>
      <c r="BK60" s="65">
        <v>0</v>
      </c>
      <c r="BL60" s="133">
        <f>+BK60-'ESF GA separado'!C59</f>
        <v>0</v>
      </c>
      <c r="BM60" s="133">
        <f>+BI60-'ESF GA separado'!D59</f>
        <v>0</v>
      </c>
    </row>
    <row r="61" spans="1:65" ht="16.5" customHeight="1" x14ac:dyDescent="0.2">
      <c r="B61" s="21" t="s">
        <v>31</v>
      </c>
      <c r="C61" s="22">
        <v>0</v>
      </c>
      <c r="D61" s="21"/>
      <c r="E61" s="22">
        <v>0</v>
      </c>
      <c r="F61" s="22">
        <v>0</v>
      </c>
      <c r="G61" s="22">
        <v>0</v>
      </c>
      <c r="H61" s="22">
        <v>0</v>
      </c>
      <c r="J61" s="22">
        <v>0</v>
      </c>
      <c r="K61" s="22">
        <v>0</v>
      </c>
      <c r="L61" s="22">
        <v>0</v>
      </c>
      <c r="M61" s="22">
        <v>0</v>
      </c>
      <c r="N61" s="22">
        <v>0</v>
      </c>
      <c r="P61" s="22">
        <v>0</v>
      </c>
      <c r="Q61" s="22">
        <v>0</v>
      </c>
      <c r="R61" s="22">
        <v>0</v>
      </c>
      <c r="S61" s="22">
        <v>0</v>
      </c>
      <c r="T61" s="22">
        <v>0</v>
      </c>
      <c r="U61" s="22">
        <v>0</v>
      </c>
      <c r="W61" s="22">
        <v>0</v>
      </c>
      <c r="X61" s="22">
        <v>0</v>
      </c>
      <c r="Y61" s="22">
        <v>0</v>
      </c>
      <c r="Z61" s="22">
        <v>0</v>
      </c>
      <c r="AB61" s="22">
        <v>0</v>
      </c>
      <c r="AC61" s="22">
        <v>0</v>
      </c>
      <c r="AD61" s="22">
        <v>0</v>
      </c>
      <c r="AE61" s="22">
        <v>85</v>
      </c>
      <c r="AF61" s="32"/>
      <c r="AG61" s="22">
        <v>74</v>
      </c>
      <c r="AH61" s="22">
        <v>0</v>
      </c>
      <c r="AI61" s="22">
        <v>0</v>
      </c>
      <c r="AJ61" s="22">
        <v>0</v>
      </c>
      <c r="AK61" s="32"/>
      <c r="AL61" s="22">
        <v>0</v>
      </c>
      <c r="AM61" s="22">
        <v>0</v>
      </c>
      <c r="AN61" s="22">
        <v>0</v>
      </c>
      <c r="AO61" s="22">
        <v>0</v>
      </c>
      <c r="AP61" s="32"/>
      <c r="AQ61" s="22">
        <v>0</v>
      </c>
      <c r="AR61" s="22">
        <v>0</v>
      </c>
      <c r="AS61" s="22">
        <v>0</v>
      </c>
      <c r="AT61" s="22">
        <v>921</v>
      </c>
      <c r="AU61" s="32"/>
      <c r="AV61" s="22">
        <v>327</v>
      </c>
      <c r="AW61" s="22">
        <v>0</v>
      </c>
      <c r="AX61" s="22">
        <v>598</v>
      </c>
      <c r="AY61" s="22">
        <v>0</v>
      </c>
      <c r="AZ61" s="22"/>
      <c r="BA61" s="22"/>
      <c r="BB61" s="22">
        <v>2290</v>
      </c>
      <c r="BC61" s="22">
        <v>858</v>
      </c>
      <c r="BD61" s="22">
        <v>1805</v>
      </c>
      <c r="BE61" s="22"/>
      <c r="BF61" s="22">
        <v>2928</v>
      </c>
      <c r="BG61" s="22">
        <v>2345</v>
      </c>
      <c r="BH61" s="22">
        <v>1964</v>
      </c>
      <c r="BI61" s="22">
        <v>1167</v>
      </c>
      <c r="BJ61" s="22"/>
      <c r="BK61" s="22">
        <v>2705</v>
      </c>
      <c r="BL61" s="133">
        <f>+BK61-'ESF GA separado'!C60</f>
        <v>0</v>
      </c>
      <c r="BM61" s="133">
        <f>+BI61-'ESF GA separado'!D60</f>
        <v>0</v>
      </c>
    </row>
    <row r="62" spans="1:65" ht="16.5" customHeight="1" x14ac:dyDescent="0.2">
      <c r="A62" s="32"/>
      <c r="B62" s="21" t="s">
        <v>51</v>
      </c>
      <c r="C62" s="22">
        <v>0</v>
      </c>
      <c r="D62" s="21"/>
      <c r="E62" s="22">
        <v>0</v>
      </c>
      <c r="F62" s="20">
        <f>53595-1</f>
        <v>53594</v>
      </c>
      <c r="G62" s="20">
        <v>-53594</v>
      </c>
      <c r="H62" s="22">
        <v>0</v>
      </c>
      <c r="J62" s="22">
        <v>0</v>
      </c>
      <c r="K62" s="22">
        <v>0</v>
      </c>
      <c r="L62" s="22">
        <v>0</v>
      </c>
      <c r="M62" s="22">
        <v>0</v>
      </c>
      <c r="N62" s="22">
        <v>0</v>
      </c>
      <c r="P62" s="22">
        <v>0</v>
      </c>
      <c r="Q62" s="22">
        <v>0</v>
      </c>
      <c r="R62" s="22">
        <v>0</v>
      </c>
      <c r="S62" s="22">
        <v>0</v>
      </c>
      <c r="T62" s="22">
        <v>0</v>
      </c>
      <c r="U62" s="22">
        <v>0</v>
      </c>
      <c r="W62" s="22">
        <v>0</v>
      </c>
      <c r="X62" s="22">
        <v>0</v>
      </c>
      <c r="Y62" s="22">
        <v>0</v>
      </c>
      <c r="Z62" s="22">
        <v>0</v>
      </c>
      <c r="AB62" s="22">
        <v>0</v>
      </c>
      <c r="AC62" s="22">
        <v>0</v>
      </c>
      <c r="AD62" s="22">
        <v>0</v>
      </c>
      <c r="AE62" s="22">
        <v>0</v>
      </c>
      <c r="AF62" s="32"/>
      <c r="AG62" s="22">
        <v>0</v>
      </c>
      <c r="AH62" s="22">
        <v>0</v>
      </c>
      <c r="AI62" s="22">
        <v>0</v>
      </c>
      <c r="AJ62" s="22">
        <v>0</v>
      </c>
      <c r="AK62" s="32"/>
      <c r="AL62" s="22">
        <v>0</v>
      </c>
      <c r="AM62" s="22">
        <v>0</v>
      </c>
      <c r="AN62" s="22">
        <v>0</v>
      </c>
      <c r="AO62" s="22">
        <v>0</v>
      </c>
      <c r="AP62" s="32"/>
      <c r="AQ62" s="22">
        <v>0</v>
      </c>
      <c r="AR62" s="22">
        <v>0</v>
      </c>
      <c r="AS62" s="22">
        <v>0</v>
      </c>
      <c r="AT62" s="22">
        <v>0</v>
      </c>
      <c r="AU62" s="32"/>
      <c r="AV62" s="22">
        <v>7949</v>
      </c>
      <c r="AW62" s="22">
        <v>0</v>
      </c>
      <c r="AX62" s="22">
        <v>0</v>
      </c>
      <c r="AY62" s="22">
        <v>0</v>
      </c>
      <c r="AZ62" s="22"/>
      <c r="BA62" s="22"/>
      <c r="BB62" s="22">
        <v>0</v>
      </c>
      <c r="BC62" s="22">
        <v>0</v>
      </c>
      <c r="BD62" s="22"/>
      <c r="BE62" s="22"/>
      <c r="BF62" s="22">
        <v>0</v>
      </c>
      <c r="BG62" s="22">
        <v>0</v>
      </c>
      <c r="BH62" s="22">
        <v>0</v>
      </c>
      <c r="BI62" s="22"/>
      <c r="BJ62" s="22"/>
      <c r="BK62" s="22">
        <v>0</v>
      </c>
      <c r="BL62" s="133">
        <f>+BK62-'ESF GA separado'!C61</f>
        <v>0</v>
      </c>
      <c r="BM62" s="133">
        <f>+BI62-'ESF GA separado'!D61</f>
        <v>0</v>
      </c>
    </row>
    <row r="63" spans="1:65" ht="12" customHeight="1" x14ac:dyDescent="0.2">
      <c r="B63" s="21"/>
      <c r="C63" s="20"/>
      <c r="D63" s="21"/>
      <c r="E63" s="20"/>
      <c r="F63" s="20"/>
      <c r="G63" s="20"/>
      <c r="H63" s="20"/>
      <c r="J63" s="20"/>
      <c r="K63" s="20"/>
      <c r="L63" s="20"/>
      <c r="M63" s="20"/>
      <c r="N63" s="20"/>
      <c r="P63" s="20"/>
      <c r="Q63" s="20"/>
      <c r="R63" s="20"/>
      <c r="S63" s="20"/>
      <c r="T63" s="20"/>
      <c r="U63" s="20"/>
      <c r="W63" s="20"/>
      <c r="AB63" s="20"/>
      <c r="AF63" s="32"/>
      <c r="AG63" s="20"/>
      <c r="AK63" s="32"/>
      <c r="AL63" s="20"/>
      <c r="AP63" s="32"/>
      <c r="AQ63" s="20"/>
      <c r="AU63" s="32"/>
      <c r="BA63" s="20"/>
      <c r="BB63" s="20"/>
      <c r="BC63" s="20"/>
      <c r="BD63" s="20"/>
      <c r="BE63" s="20"/>
      <c r="BF63" s="20"/>
      <c r="BG63" s="20"/>
      <c r="BH63" s="20"/>
      <c r="BI63" s="20"/>
      <c r="BJ63" s="20"/>
      <c r="BK63" s="20"/>
      <c r="BL63" s="133"/>
      <c r="BM63" s="133"/>
    </row>
    <row r="64" spans="1:65" x14ac:dyDescent="0.25">
      <c r="B64" s="17" t="s">
        <v>52</v>
      </c>
      <c r="C64" s="18">
        <f>SUM(C53:C63)</f>
        <v>594384</v>
      </c>
      <c r="D64" s="17"/>
      <c r="E64" s="18">
        <f>SUM(E53:E63)</f>
        <v>618762</v>
      </c>
      <c r="F64" s="18">
        <f>SUM(F53:F63)</f>
        <v>635090</v>
      </c>
      <c r="G64" s="18">
        <f>SUM(G53:G63)</f>
        <v>1164283</v>
      </c>
      <c r="H64" s="18">
        <f>SUM(H53:H63)</f>
        <v>1139857</v>
      </c>
      <c r="I64" s="137"/>
      <c r="J64" s="18">
        <f>SUM(J53:J63)</f>
        <v>1167954</v>
      </c>
      <c r="K64" s="18">
        <f>SUM(K53:K63)</f>
        <v>1728398</v>
      </c>
      <c r="L64" s="18">
        <f>SUM(L53:L63)</f>
        <v>1723411</v>
      </c>
      <c r="M64" s="18">
        <f>SUM(M53:M63)</f>
        <v>1682866</v>
      </c>
      <c r="N64" s="18">
        <f>SUM(N53:N63)</f>
        <v>1696287</v>
      </c>
      <c r="P64" s="18">
        <f t="shared" ref="P64:U64" si="7">SUM(P53:P63)</f>
        <v>1678707</v>
      </c>
      <c r="Q64" s="18">
        <f t="shared" si="7"/>
        <v>1578304</v>
      </c>
      <c r="R64" s="18">
        <f t="shared" si="7"/>
        <v>1462338</v>
      </c>
      <c r="S64" s="18">
        <f t="shared" si="7"/>
        <v>1475759</v>
      </c>
      <c r="T64" s="18">
        <f t="shared" si="7"/>
        <v>1462216</v>
      </c>
      <c r="U64" s="18">
        <f t="shared" si="7"/>
        <v>1506008</v>
      </c>
      <c r="W64" s="18">
        <f>SUM(W53:W63)</f>
        <v>1566648</v>
      </c>
      <c r="X64" s="18">
        <f>SUM(X53:X63)</f>
        <v>1772042</v>
      </c>
      <c r="Y64" s="18">
        <f>SUM(Y53:Y63)</f>
        <v>1379529</v>
      </c>
      <c r="Z64" s="18">
        <f>SUM(Z53:Z63)</f>
        <v>1401714</v>
      </c>
      <c r="AB64" s="18">
        <f>SUM(AB53:AB63)</f>
        <v>1682904</v>
      </c>
      <c r="AC64" s="18">
        <f>SUM(AC53:AC63)</f>
        <v>1685868</v>
      </c>
      <c r="AD64" s="18">
        <f>SUM(AD53:AD63)</f>
        <v>1683659</v>
      </c>
      <c r="AE64" s="18">
        <f>SUM(AE53:AE63)</f>
        <v>1577600</v>
      </c>
      <c r="AF64" s="32"/>
      <c r="AG64" s="18">
        <f>SUM(AG53:AG63)</f>
        <v>1509110</v>
      </c>
      <c r="AH64" s="18">
        <f>SUM(AH53:AH63)</f>
        <v>1473978</v>
      </c>
      <c r="AI64" s="18">
        <f>SUM(AI53:AI63)</f>
        <v>1801260</v>
      </c>
      <c r="AJ64" s="18">
        <f>SUM(AJ53:AJ63)</f>
        <v>1811415</v>
      </c>
      <c r="AK64" s="32"/>
      <c r="AL64" s="18">
        <f>SUM(AL53:AL63)</f>
        <v>1934631</v>
      </c>
      <c r="AM64" s="18">
        <f>SUM(AM53:AM63)</f>
        <v>1962587</v>
      </c>
      <c r="AN64" s="18">
        <f>SUM(AN53:AN63)</f>
        <v>1967312</v>
      </c>
      <c r="AO64" s="18">
        <f>SUM(AO53:AO63)</f>
        <v>1822509</v>
      </c>
      <c r="AP64" s="32"/>
      <c r="AQ64" s="18">
        <f>SUM(AQ53:AQ63)</f>
        <v>1824566</v>
      </c>
      <c r="AR64" s="18">
        <f>SUM(AR53:AR63)</f>
        <v>1815585</v>
      </c>
      <c r="AS64" s="18">
        <f>SUM(AS53:AS63)</f>
        <v>1812474</v>
      </c>
      <c r="AT64" s="18">
        <f>SUM(AT53:AT63)</f>
        <v>1588482</v>
      </c>
      <c r="AU64" s="32"/>
      <c r="AV64" s="18">
        <f>SUM(AV53:AV63)</f>
        <v>1598211</v>
      </c>
      <c r="AW64" s="18">
        <f>SUM(AW53:AW63)</f>
        <v>1596333</v>
      </c>
      <c r="AX64" s="18">
        <f>SUM(AX53:AX63)</f>
        <v>1592323</v>
      </c>
      <c r="AY64" s="18">
        <f>SUM(AY53:AY63)</f>
        <v>1949330</v>
      </c>
      <c r="AZ64" s="18"/>
      <c r="BA64" s="18">
        <f>SUM(BA53:BA63)</f>
        <v>2224449</v>
      </c>
      <c r="BB64" s="18">
        <f>SUM(BB53:BB63)</f>
        <v>2246860</v>
      </c>
      <c r="BC64" s="18">
        <f>SUM(BC53:BC63)</f>
        <v>2062176</v>
      </c>
      <c r="BD64" s="18">
        <f>SUM(BD53:BD63)</f>
        <v>2112428</v>
      </c>
      <c r="BE64" s="18"/>
      <c r="BF64" s="18">
        <f>SUM(BF53:BF63)</f>
        <v>2274633</v>
      </c>
      <c r="BG64" s="18">
        <f>SUM(BG53:BG63)</f>
        <v>2328053</v>
      </c>
      <c r="BH64" s="18">
        <f>SUM(BH53:BH63)</f>
        <v>2395117</v>
      </c>
      <c r="BI64" s="18">
        <f>SUM(BI53:BI63)</f>
        <v>2504341</v>
      </c>
      <c r="BJ64" s="18"/>
      <c r="BK64" s="18">
        <f>SUM(BK53:BK63)</f>
        <v>2356747</v>
      </c>
      <c r="BL64" s="133">
        <f>+BK64-'ESF GA separado'!C64</f>
        <v>0</v>
      </c>
      <c r="BM64" s="133">
        <f>+BI64-'ESF GA separado'!D64</f>
        <v>0</v>
      </c>
    </row>
    <row r="65" spans="2:65" x14ac:dyDescent="0.2">
      <c r="B65" s="21"/>
      <c r="C65" s="20"/>
      <c r="D65" s="21"/>
      <c r="E65" s="20"/>
      <c r="F65" s="20"/>
      <c r="G65" s="20"/>
      <c r="H65" s="20"/>
      <c r="J65" s="20"/>
      <c r="K65" s="20"/>
      <c r="L65" s="20"/>
      <c r="M65" s="20"/>
      <c r="N65" s="20"/>
      <c r="P65" s="20"/>
      <c r="Q65" s="20"/>
      <c r="R65" s="20"/>
      <c r="S65" s="20"/>
      <c r="T65" s="20"/>
      <c r="U65" s="20"/>
      <c r="W65" s="20"/>
      <c r="AB65" s="20"/>
      <c r="AF65" s="32"/>
      <c r="AG65" s="20"/>
      <c r="AK65" s="32"/>
      <c r="AL65" s="20"/>
      <c r="AP65" s="32"/>
      <c r="AQ65" s="20"/>
      <c r="AU65" s="32"/>
      <c r="BA65" s="20"/>
      <c r="BK65" s="20"/>
      <c r="BL65" s="133"/>
      <c r="BM65" s="133"/>
    </row>
    <row r="66" spans="2:65" ht="20.25" customHeight="1" x14ac:dyDescent="0.25">
      <c r="B66" s="138" t="s">
        <v>53</v>
      </c>
      <c r="C66" s="139">
        <f>+C51+C64</f>
        <v>1204472</v>
      </c>
      <c r="D66" s="17"/>
      <c r="E66" s="139">
        <f>+E51+E64</f>
        <v>1548214</v>
      </c>
      <c r="F66" s="139">
        <f>+F51+F64</f>
        <v>1332019</v>
      </c>
      <c r="G66" s="139">
        <f>+G51+G64</f>
        <v>1643137</v>
      </c>
      <c r="H66" s="139">
        <f>+H51+H64</f>
        <v>1345985</v>
      </c>
      <c r="J66" s="139">
        <f>+J51+J64</f>
        <v>1661133</v>
      </c>
      <c r="K66" s="139">
        <f>+K51+K64</f>
        <v>2224002</v>
      </c>
      <c r="L66" s="139">
        <f>+L51+L64</f>
        <v>2132564</v>
      </c>
      <c r="M66" s="139">
        <f>+M51+M64</f>
        <v>2031213</v>
      </c>
      <c r="N66" s="139">
        <f>+N51+N64</f>
        <v>2044634</v>
      </c>
      <c r="P66" s="139">
        <f t="shared" ref="P66:U66" si="8">+P51+P64</f>
        <v>2075906</v>
      </c>
      <c r="Q66" s="139">
        <f t="shared" si="8"/>
        <v>1972580</v>
      </c>
      <c r="R66" s="139">
        <f t="shared" si="8"/>
        <v>1829234</v>
      </c>
      <c r="S66" s="139">
        <f t="shared" si="8"/>
        <v>1842655</v>
      </c>
      <c r="T66" s="139">
        <f t="shared" si="8"/>
        <v>1765301</v>
      </c>
      <c r="U66" s="139">
        <f t="shared" si="8"/>
        <v>1853573</v>
      </c>
      <c r="W66" s="139">
        <f>+W51+W64</f>
        <v>2346713</v>
      </c>
      <c r="X66" s="139">
        <f>+X51+X64</f>
        <v>2220637</v>
      </c>
      <c r="Y66" s="139">
        <f>+Y51+Y64</f>
        <v>2003900</v>
      </c>
      <c r="Z66" s="139">
        <f>+Z51+Z64</f>
        <v>1978407</v>
      </c>
      <c r="AB66" s="139">
        <f>+AB51+AB64</f>
        <v>2172480</v>
      </c>
      <c r="AC66" s="139">
        <f>+AC51+AC64</f>
        <v>2259228</v>
      </c>
      <c r="AD66" s="139">
        <f>+AD51+AD64</f>
        <v>2159940</v>
      </c>
      <c r="AE66" s="139">
        <f>+AE51+AE64</f>
        <v>1970469</v>
      </c>
      <c r="AF66" s="32"/>
      <c r="AG66" s="139">
        <f>+AG51+AG64</f>
        <v>2122691</v>
      </c>
      <c r="AH66" s="139">
        <f>+AH51+AH64</f>
        <v>1993561</v>
      </c>
      <c r="AI66" s="139">
        <f>+AI51+AI64</f>
        <v>2022684</v>
      </c>
      <c r="AJ66" s="139">
        <f>+AJ51+AJ64</f>
        <v>1987815</v>
      </c>
      <c r="AK66" s="32"/>
      <c r="AL66" s="139">
        <f>+AL51+AL64</f>
        <v>2390015</v>
      </c>
      <c r="AM66" s="139">
        <f>+AM51+AM64</f>
        <v>2341613</v>
      </c>
      <c r="AN66" s="139">
        <f>+AN51+AN64</f>
        <v>2236703</v>
      </c>
      <c r="AO66" s="139">
        <f>+AO51+AO64</f>
        <v>1998698</v>
      </c>
      <c r="AP66" s="32"/>
      <c r="AQ66" s="139">
        <f>+AQ51+AQ64</f>
        <v>2248886</v>
      </c>
      <c r="AR66" s="139">
        <f>+AR51+AR64</f>
        <v>2062740</v>
      </c>
      <c r="AS66" s="139">
        <f>+AS51+AS64</f>
        <v>1996682</v>
      </c>
      <c r="AT66" s="139">
        <f>+AT51+AT64</f>
        <v>1842461</v>
      </c>
      <c r="AU66" s="32"/>
      <c r="AV66" s="139">
        <f>+AV51+AV64</f>
        <v>2284563</v>
      </c>
      <c r="AW66" s="139">
        <f>+AW51+AW64</f>
        <v>2172476</v>
      </c>
      <c r="AX66" s="139">
        <f>+AX51+AX64</f>
        <v>2030221</v>
      </c>
      <c r="AY66" s="139">
        <f>+AY51+AY64</f>
        <v>2318065</v>
      </c>
      <c r="AZ66" s="18"/>
      <c r="BA66" s="139">
        <f>+BA51+BA64</f>
        <v>2990929</v>
      </c>
      <c r="BB66" s="139">
        <f>+BB51+BB64</f>
        <v>2877838</v>
      </c>
      <c r="BC66" s="139">
        <f>+BC51+BC64</f>
        <v>2706380</v>
      </c>
      <c r="BD66" s="139">
        <f>+BD51+BD64</f>
        <v>2627185</v>
      </c>
      <c r="BE66" s="18"/>
      <c r="BF66" s="139">
        <f>+BF51+BF64</f>
        <v>3442372</v>
      </c>
      <c r="BG66" s="139">
        <f>+BG51+BG64</f>
        <v>3391631</v>
      </c>
      <c r="BH66" s="139">
        <f>+BH51+BH64</f>
        <v>3313727</v>
      </c>
      <c r="BI66" s="139">
        <f>+BI51+BI64</f>
        <v>3246982</v>
      </c>
      <c r="BJ66" s="18"/>
      <c r="BK66" s="139">
        <f>+BK51+BK64</f>
        <v>3740493</v>
      </c>
      <c r="BL66" s="133">
        <f>+BK66-'ESF GA separado'!C66</f>
        <v>0</v>
      </c>
      <c r="BM66" s="133">
        <f>+BI66-'ESF GA separado'!D66</f>
        <v>0</v>
      </c>
    </row>
    <row r="67" spans="2:65" ht="20.25" customHeight="1" x14ac:dyDescent="0.25">
      <c r="B67" s="140" t="s">
        <v>35</v>
      </c>
      <c r="C67" s="141">
        <v>625.10548413715799</v>
      </c>
      <c r="D67" s="142"/>
      <c r="E67" s="141">
        <v>787.76687765860015</v>
      </c>
      <c r="F67" s="141">
        <v>708.07254982218694</v>
      </c>
      <c r="G67" s="141">
        <v>810.03362123363308</v>
      </c>
      <c r="H67" s="141">
        <v>562.59456793426011</v>
      </c>
      <c r="J67" s="141">
        <v>644.83725082975866</v>
      </c>
      <c r="K67" s="141">
        <v>860.31232713501549</v>
      </c>
      <c r="L67" s="141">
        <v>683.08936110239142</v>
      </c>
      <c r="M67" s="141">
        <v>644.93803719355958</v>
      </c>
      <c r="N67" s="141">
        <v>649.19938910356348</v>
      </c>
      <c r="P67" s="141">
        <v>686.85162208215468</v>
      </c>
      <c r="Q67" s="141">
        <v>676.43296812578228</v>
      </c>
      <c r="R67" s="141">
        <v>635.16172155766594</v>
      </c>
      <c r="S67" s="141">
        <v>640</v>
      </c>
      <c r="T67" s="141">
        <f>+T66/3000.71</f>
        <v>588.29443698324724</v>
      </c>
      <c r="U67" s="141">
        <v>617.71147495092828</v>
      </c>
      <c r="W67" s="141">
        <v>814.7630058606228</v>
      </c>
      <c r="X67" s="141">
        <v>731</v>
      </c>
      <c r="Y67" s="141">
        <v>682</v>
      </c>
      <c r="Z67" s="141">
        <f>+Z66/2984</f>
        <v>663.00502680965144</v>
      </c>
      <c r="AB67" s="141">
        <f>+AB66/2780.47</f>
        <v>781.33552960470718</v>
      </c>
      <c r="AC67" s="141">
        <f>+AC66/2930.8</f>
        <v>770.85710386242658</v>
      </c>
      <c r="AD67" s="141">
        <f>+AD66/2972.18</f>
        <v>726.71910853313057</v>
      </c>
      <c r="AE67" s="141">
        <f>+AE66/3249.75</f>
        <v>606.34479575351952</v>
      </c>
      <c r="AF67" s="32"/>
      <c r="AG67" s="141">
        <f>+AG66/3174.79</f>
        <v>668.60831740052095</v>
      </c>
      <c r="AH67" s="141">
        <f>+AH66/3205.67</f>
        <v>621.88590840604297</v>
      </c>
      <c r="AI67" s="141">
        <f>+AI66/3462.01</f>
        <v>584.25134531673791</v>
      </c>
      <c r="AJ67" s="141">
        <f>+AJ66/3277.14</f>
        <v>606.57005803841162</v>
      </c>
      <c r="AK67" s="32"/>
      <c r="AL67" s="141">
        <f>+AL66/4064.81</f>
        <v>587.97705181792014</v>
      </c>
      <c r="AM67" s="141">
        <f>+AM66/3758.91</f>
        <v>622.95000412353579</v>
      </c>
      <c r="AN67" s="141">
        <f>+AN66/3878.94</f>
        <v>576.62737758253547</v>
      </c>
      <c r="AO67" s="141">
        <f>+AO66/3432.5</f>
        <v>582.28638018936635</v>
      </c>
      <c r="AP67" s="32"/>
      <c r="AQ67" s="141">
        <f>+AQ66/3736.91</f>
        <v>601.80362920166669</v>
      </c>
      <c r="AR67" s="141">
        <f>+AR66/3756.67</f>
        <v>549.08735662168885</v>
      </c>
      <c r="AS67" s="141">
        <f>+AS66/3834.68</f>
        <v>520.69064433016581</v>
      </c>
      <c r="AT67" s="141">
        <f>+AT66/3981.16</f>
        <v>462.79501451838161</v>
      </c>
      <c r="AU67" s="32"/>
      <c r="AV67" s="141">
        <f>+AV66/3748.15</f>
        <v>609.51749529768017</v>
      </c>
      <c r="AW67" s="141">
        <f>+AW66/4127.47</f>
        <v>526.34567907216763</v>
      </c>
      <c r="AX67" s="141">
        <f>+AX66/4532.07</f>
        <v>447.96770570622255</v>
      </c>
      <c r="AY67" s="141">
        <f>+AY66/4810.2</f>
        <v>481.90615774811857</v>
      </c>
      <c r="AZ67" s="30"/>
      <c r="BA67" s="141">
        <f>+BA66/4627.27</f>
        <v>646.37010591558294</v>
      </c>
      <c r="BB67" s="141">
        <f>+BB66/4191.28</f>
        <v>686.62508827852116</v>
      </c>
      <c r="BC67" s="141">
        <f>+BC66/4053.76</f>
        <v>667.62215819387427</v>
      </c>
      <c r="BD67" s="141">
        <f>+BD66/3822.05</f>
        <v>687.37588466922193</v>
      </c>
      <c r="BE67" s="30"/>
      <c r="BF67" s="141">
        <f>+BF66/3842.3</f>
        <v>895.91442625510763</v>
      </c>
      <c r="BG67" s="141">
        <f>+BG66/4148.04</f>
        <v>817.64664757331172</v>
      </c>
      <c r="BH67" s="141">
        <f>+BH66/4164.21</f>
        <v>795.76366225526567</v>
      </c>
      <c r="BI67" s="141">
        <f>+BI66/4409.15</f>
        <v>736.41903768300017</v>
      </c>
      <c r="BJ67" s="30"/>
      <c r="BK67" s="141">
        <f>+BK66/4192.57</f>
        <v>892.17186594380064</v>
      </c>
      <c r="BL67" s="133">
        <f>+BK67-'ESF GA separado'!C67</f>
        <v>0</v>
      </c>
      <c r="BM67" s="133">
        <f>+BI67-'ESF GA separado'!D67</f>
        <v>0</v>
      </c>
    </row>
    <row r="68" spans="2:65" ht="12" customHeight="1" x14ac:dyDescent="0.25">
      <c r="B68" s="146"/>
      <c r="C68" s="147"/>
      <c r="D68" s="146"/>
      <c r="E68" s="147"/>
      <c r="F68" s="147"/>
      <c r="G68" s="147"/>
      <c r="H68" s="147"/>
      <c r="J68" s="147"/>
      <c r="K68" s="147"/>
      <c r="L68" s="147"/>
      <c r="M68" s="147"/>
      <c r="N68" s="147"/>
      <c r="P68" s="147"/>
      <c r="Q68" s="147"/>
      <c r="R68" s="147"/>
      <c r="S68" s="147"/>
      <c r="T68" s="147"/>
      <c r="U68" s="147"/>
      <c r="W68" s="147"/>
      <c r="AB68" s="147"/>
      <c r="AF68" s="32"/>
      <c r="AG68" s="147"/>
      <c r="AK68" s="32"/>
      <c r="AL68" s="147"/>
      <c r="AP68" s="32"/>
      <c r="AQ68" s="147"/>
      <c r="AU68" s="32"/>
      <c r="BA68" s="147"/>
      <c r="BB68" s="147"/>
      <c r="BC68" s="147"/>
      <c r="BD68" s="147"/>
      <c r="BE68" s="147"/>
      <c r="BF68" s="147"/>
      <c r="BG68" s="147"/>
      <c r="BH68" s="147"/>
      <c r="BI68" s="147"/>
      <c r="BJ68" s="147"/>
      <c r="BK68" s="147"/>
      <c r="BL68" s="133"/>
      <c r="BM68" s="133"/>
    </row>
    <row r="69" spans="2:65" ht="20.25" customHeight="1" x14ac:dyDescent="0.25">
      <c r="B69" s="138" t="s">
        <v>54</v>
      </c>
      <c r="C69" s="139">
        <f>SUM(C74:C81)</f>
        <v>13138349</v>
      </c>
      <c r="D69" s="17"/>
      <c r="E69" s="139">
        <f>SUM(E74:E81)</f>
        <v>13306293</v>
      </c>
      <c r="F69" s="139">
        <f>SUM(F74:F81)</f>
        <v>13542505</v>
      </c>
      <c r="G69" s="139">
        <f>SUM(G74:G81)</f>
        <v>13681450</v>
      </c>
      <c r="H69" s="139">
        <f>SUM(H74:H81)</f>
        <v>13866451</v>
      </c>
      <c r="J69" s="139">
        <f>SUM(J74:J81)</f>
        <v>13291031</v>
      </c>
      <c r="K69" s="139">
        <f>SUM(K74:K81)</f>
        <v>13747522</v>
      </c>
      <c r="L69" s="139">
        <f>SUM(L74:L81)</f>
        <v>14333589</v>
      </c>
      <c r="M69" s="139">
        <f>SUM(M74:M81)</f>
        <v>14138212</v>
      </c>
      <c r="N69" s="139">
        <f>SUM(N74:N81)</f>
        <v>14283203</v>
      </c>
      <c r="P69" s="139">
        <f t="shared" ref="P69:U69" si="9">SUM(P74:P81)</f>
        <v>14134958</v>
      </c>
      <c r="Q69" s="139">
        <f t="shared" si="9"/>
        <v>14033125</v>
      </c>
      <c r="R69" s="139">
        <f t="shared" si="9"/>
        <v>14090713</v>
      </c>
      <c r="S69" s="139">
        <f t="shared" si="9"/>
        <v>14208975</v>
      </c>
      <c r="T69" s="139">
        <f t="shared" si="9"/>
        <v>15229898</v>
      </c>
      <c r="U69" s="139">
        <f t="shared" si="9"/>
        <v>15229898</v>
      </c>
      <c r="W69" s="139">
        <f>SUM(W74:W81)</f>
        <v>14942821</v>
      </c>
      <c r="X69" s="139">
        <f>SUM(X74:X81)</f>
        <v>15248447</v>
      </c>
      <c r="Y69" s="139">
        <f>SUM(Y74:Y81)</f>
        <v>15500361</v>
      </c>
      <c r="Z69" s="139">
        <f>SUM(Z74:Z81)</f>
        <v>15545143</v>
      </c>
      <c r="AB69" s="139">
        <f>SUM(AB74:AB81)</f>
        <v>15425553</v>
      </c>
      <c r="AC69" s="139">
        <f>SUM(AC74:AC81)</f>
        <v>15453214</v>
      </c>
      <c r="AD69" s="139">
        <f>SUM(AD74:AD81)</f>
        <v>15541536</v>
      </c>
      <c r="AE69" s="139">
        <f>SUM(AE74:AE81)</f>
        <v>15975935</v>
      </c>
      <c r="AF69" s="32"/>
      <c r="AG69" s="139">
        <f>SUM(AG74:AG81)</f>
        <v>15838299</v>
      </c>
      <c r="AH69" s="139">
        <f>SUM(AH74:AH81)</f>
        <v>15847486</v>
      </c>
      <c r="AI69" s="139">
        <f>SUM(AI74:AI81)</f>
        <v>16431732</v>
      </c>
      <c r="AJ69" s="139">
        <f>SUM(AJ74:AJ81)</f>
        <v>16172697</v>
      </c>
      <c r="AK69" s="32"/>
      <c r="AL69" s="139">
        <f>SUM(AL74:AL81)</f>
        <v>16508621</v>
      </c>
      <c r="AM69" s="139">
        <f>SUM(AM74:AM81)</f>
        <v>16142086</v>
      </c>
      <c r="AN69" s="139">
        <f>SUM(AN74:AN81)</f>
        <v>16413626</v>
      </c>
      <c r="AO69" s="139">
        <f>SUM(AO74:AO81)</f>
        <v>15792776</v>
      </c>
      <c r="AP69" s="32"/>
      <c r="AQ69" s="139">
        <f>SUM(AQ74:AQ81)</f>
        <v>15978484</v>
      </c>
      <c r="AR69" s="139">
        <f>SUM(AR74:AR81)</f>
        <v>16242354</v>
      </c>
      <c r="AS69" s="139">
        <f>SUM(AS74:AS81)</f>
        <v>16400325</v>
      </c>
      <c r="AT69" s="139">
        <f>SUM(AT74:AT81)</f>
        <v>17109631</v>
      </c>
      <c r="AU69" s="32"/>
      <c r="AV69" s="139">
        <f>SUM(AV74:AV81)</f>
        <v>17332623</v>
      </c>
      <c r="AW69" s="139">
        <f>SUM(AW74:AW81)</f>
        <v>17773810</v>
      </c>
      <c r="AX69" s="139">
        <f>SUM(AX74:AX81)</f>
        <v>18300948</v>
      </c>
      <c r="AY69" s="139">
        <f>SUM(AY74:AY81)</f>
        <v>18646770</v>
      </c>
      <c r="AZ69" s="18"/>
      <c r="BA69" s="139">
        <f>SUM(BA74:BA81)</f>
        <v>18476300</v>
      </c>
      <c r="BB69" s="139">
        <f>SUM(BB74:BB81)</f>
        <v>18083377</v>
      </c>
      <c r="BC69" s="139">
        <f>SUM(BC74:BC81)</f>
        <v>17803277</v>
      </c>
      <c r="BD69" s="139">
        <f>SUM(BD74:BD81)</f>
        <v>16982948</v>
      </c>
      <c r="BE69" s="18"/>
      <c r="BF69" s="139">
        <f>SUM(BF74:BF81)</f>
        <v>18075082</v>
      </c>
      <c r="BG69" s="139">
        <f>SUM(BG74:BG81)</f>
        <v>18763737</v>
      </c>
      <c r="BH69" s="139">
        <f>SUM(BH74:BH81)</f>
        <v>18728696</v>
      </c>
      <c r="BI69" s="139">
        <f>SUM(BI74:BI81)</f>
        <v>18767690</v>
      </c>
      <c r="BJ69" s="18"/>
      <c r="BK69" s="139">
        <f>SUM(BK74:BK81)</f>
        <v>19318356</v>
      </c>
      <c r="BL69" s="133">
        <f>+BK69-'ESF GA separado'!C69</f>
        <v>0</v>
      </c>
      <c r="BM69" s="133">
        <f>+BI69-'ESF GA separado'!D69</f>
        <v>0</v>
      </c>
    </row>
    <row r="70" spans="2:65" ht="20.25" customHeight="1" x14ac:dyDescent="0.25">
      <c r="B70" s="140" t="s">
        <v>35</v>
      </c>
      <c r="C70" s="141">
        <v>6818.634233430038</v>
      </c>
      <c r="D70" s="142"/>
      <c r="E70" s="141">
        <v>6770.5477988317425</v>
      </c>
      <c r="F70" s="141">
        <v>7198.9033537282248</v>
      </c>
      <c r="G70" s="141">
        <v>6744.6807461744756</v>
      </c>
      <c r="H70" s="141">
        <v>5795.8966921077053</v>
      </c>
      <c r="J70" s="141">
        <v>5159.4615787737039</v>
      </c>
      <c r="K70" s="141">
        <v>5317.9640324783086</v>
      </c>
      <c r="L70" s="141">
        <v>4591.2442263464382</v>
      </c>
      <c r="M70" s="141">
        <v>4489.0765747887745</v>
      </c>
      <c r="N70" s="141">
        <v>4535.1132095241428</v>
      </c>
      <c r="P70" s="141">
        <v>4676.8104289708344</v>
      </c>
      <c r="Q70" s="141">
        <v>4812.2095914133361</v>
      </c>
      <c r="R70" s="141">
        <v>4892.6936231531799</v>
      </c>
      <c r="S70" s="141">
        <v>4934</v>
      </c>
      <c r="T70" s="141">
        <f>+T69/3000.71</f>
        <v>5075.4314812161119</v>
      </c>
      <c r="U70" s="141">
        <v>5075.4314812161119</v>
      </c>
      <c r="W70" s="141">
        <v>5188.0471766241708</v>
      </c>
      <c r="X70" s="141">
        <v>5019</v>
      </c>
      <c r="Y70" s="141">
        <v>5278</v>
      </c>
      <c r="Z70" s="141">
        <f>+Z69/2984</f>
        <v>5209.4983243967827</v>
      </c>
      <c r="AB70" s="141">
        <f>+AB69/2780.47</f>
        <v>5547.8221307908379</v>
      </c>
      <c r="AC70" s="141">
        <f>+AC69/2930.8</f>
        <v>5272.6948273508933</v>
      </c>
      <c r="AD70" s="141">
        <f>+AD69/2972.18</f>
        <v>5229.0022811539011</v>
      </c>
      <c r="AE70" s="141">
        <f>+AE69/3249.75</f>
        <v>4916.0504654204169</v>
      </c>
      <c r="AF70" s="32"/>
      <c r="AG70" s="141">
        <f>+AG69/3174.79</f>
        <v>4988.7705958504339</v>
      </c>
      <c r="AH70" s="141">
        <f>+AH69/3205.67</f>
        <v>4943.5799692419996</v>
      </c>
      <c r="AI70" s="141">
        <f>+AI69/3462.01</f>
        <v>4746.2982487052313</v>
      </c>
      <c r="AJ70" s="141">
        <f>+AJ69/3277.14</f>
        <v>4935.0033870997277</v>
      </c>
      <c r="AK70" s="32"/>
      <c r="AL70" s="141">
        <f>+AL69/4064.81</f>
        <v>4061.3512070674892</v>
      </c>
      <c r="AM70" s="141">
        <f>+AM69/3758.91</f>
        <v>4294.3528842137748</v>
      </c>
      <c r="AN70" s="141">
        <f>+AN69/3878.94</f>
        <v>4231.4720000824964</v>
      </c>
      <c r="AO70" s="141">
        <f>+AO69/3432.5</f>
        <v>4600.9544064093225</v>
      </c>
      <c r="AP70" s="32"/>
      <c r="AQ70" s="141">
        <f>+AQ69/3736.91</f>
        <v>4275.854649964811</v>
      </c>
      <c r="AR70" s="141">
        <f>+AR69/3756.67</f>
        <v>4323.6041494195661</v>
      </c>
      <c r="AS70" s="141">
        <f>+AS69/3834.68</f>
        <v>4276.8431785703115</v>
      </c>
      <c r="AT70" s="141">
        <f>+AT69/3981.16</f>
        <v>4297.6496799927663</v>
      </c>
      <c r="AU70" s="32"/>
      <c r="AV70" s="141">
        <f>+AV69/3748.15</f>
        <v>4624.3141283032965</v>
      </c>
      <c r="AW70" s="141">
        <f>+AW69/4127.47</f>
        <v>4306.2239095620316</v>
      </c>
      <c r="AX70" s="141">
        <f>+AX69/4532.07</f>
        <v>4038.0991467475128</v>
      </c>
      <c r="AY70" s="141">
        <f>+AY69/4810.2</f>
        <v>3876.506174379444</v>
      </c>
      <c r="AZ70" s="30"/>
      <c r="BA70" s="141">
        <f>+BA69/4627.27</f>
        <v>3992.9159093806929</v>
      </c>
      <c r="BB70" s="141">
        <f>+BB69/4191.28</f>
        <v>4314.5237254490276</v>
      </c>
      <c r="BC70" s="141">
        <f>+BC69/4053.76</f>
        <v>4391.7935447584459</v>
      </c>
      <c r="BD70" s="141">
        <f>+BD69/3822.05</f>
        <v>4443.413351473685</v>
      </c>
      <c r="BE70" s="30"/>
      <c r="BF70" s="141">
        <f>+BF69/3842.3</f>
        <v>4704.2349634333596</v>
      </c>
      <c r="BG70" s="141">
        <f>+BG69/4148.04</f>
        <v>4523.5188185263405</v>
      </c>
      <c r="BH70" s="141">
        <f>+BH69/4164.21</f>
        <v>4497.5387888699179</v>
      </c>
      <c r="BI70" s="141">
        <f>+BI69/4409.15</f>
        <v>4256.5324382250546</v>
      </c>
      <c r="BJ70" s="30"/>
      <c r="BK70" s="141">
        <f>+BK69/4192.57</f>
        <v>4607.7599181409023</v>
      </c>
      <c r="BL70" s="133">
        <f>+BK70-'ESF GA separado'!C70</f>
        <v>0</v>
      </c>
      <c r="BM70" s="133">
        <f>+BI70-'ESF GA separado'!D70</f>
        <v>0</v>
      </c>
    </row>
    <row r="71" spans="2:65" x14ac:dyDescent="0.25">
      <c r="C71" s="20"/>
      <c r="E71" s="20"/>
      <c r="F71" s="20"/>
      <c r="G71" s="20"/>
      <c r="H71" s="20"/>
      <c r="J71" s="20"/>
      <c r="K71" s="20"/>
      <c r="L71" s="20"/>
      <c r="M71" s="20"/>
      <c r="N71" s="20"/>
      <c r="P71" s="20"/>
      <c r="Q71" s="20"/>
      <c r="R71" s="20"/>
      <c r="S71" s="20"/>
      <c r="T71" s="20"/>
      <c r="U71" s="20"/>
      <c r="W71" s="20"/>
      <c r="AB71" s="20"/>
      <c r="AF71" s="32"/>
      <c r="AG71" s="20"/>
      <c r="AK71" s="32"/>
      <c r="AL71" s="20"/>
      <c r="AP71" s="32"/>
      <c r="AQ71" s="20"/>
      <c r="AU71" s="32"/>
      <c r="BA71" s="20"/>
      <c r="BB71" s="20"/>
      <c r="BC71" s="20"/>
      <c r="BD71" s="20"/>
      <c r="BE71" s="20"/>
      <c r="BF71" s="20"/>
      <c r="BG71" s="20"/>
      <c r="BH71" s="20"/>
      <c r="BI71" s="20"/>
      <c r="BJ71" s="20"/>
      <c r="BK71" s="20"/>
      <c r="BL71" s="133"/>
      <c r="BM71" s="133"/>
    </row>
    <row r="72" spans="2:65" x14ac:dyDescent="0.25">
      <c r="B72" s="17" t="s">
        <v>55</v>
      </c>
      <c r="C72" s="18">
        <f>+C66+C69</f>
        <v>14342821</v>
      </c>
      <c r="D72" s="17"/>
      <c r="E72" s="18">
        <f>+E66+E69</f>
        <v>14854507</v>
      </c>
      <c r="F72" s="18">
        <f>+F66+F69</f>
        <v>14874524</v>
      </c>
      <c r="G72" s="18">
        <f>+G66+G69</f>
        <v>15324587</v>
      </c>
      <c r="H72" s="18">
        <f>+H66+H69</f>
        <v>15212436</v>
      </c>
      <c r="I72" s="137"/>
      <c r="J72" s="18">
        <f>+J66+J69</f>
        <v>14952164</v>
      </c>
      <c r="K72" s="18">
        <f>+K66+K69</f>
        <v>15971524</v>
      </c>
      <c r="L72" s="18">
        <f>+L66+L69</f>
        <v>16466153</v>
      </c>
      <c r="M72" s="18">
        <f>+M66+M69</f>
        <v>16169425</v>
      </c>
      <c r="N72" s="18">
        <f>+N66+N69</f>
        <v>16327837</v>
      </c>
      <c r="P72" s="18">
        <f t="shared" ref="P72:U72" si="10">+P66+P69</f>
        <v>16210864</v>
      </c>
      <c r="Q72" s="18">
        <f t="shared" si="10"/>
        <v>16005705</v>
      </c>
      <c r="R72" s="18">
        <f t="shared" si="10"/>
        <v>15919947</v>
      </c>
      <c r="S72" s="18">
        <f t="shared" si="10"/>
        <v>16051630</v>
      </c>
      <c r="T72" s="18">
        <f t="shared" si="10"/>
        <v>16995199</v>
      </c>
      <c r="U72" s="18">
        <f t="shared" si="10"/>
        <v>17083471</v>
      </c>
      <c r="W72" s="18">
        <f>+W66+W69</f>
        <v>17289534</v>
      </c>
      <c r="X72" s="18">
        <f>+X66+X69</f>
        <v>17469084</v>
      </c>
      <c r="Y72" s="18">
        <f>+Y66+Y69</f>
        <v>17504261</v>
      </c>
      <c r="Z72" s="18">
        <f>+Z66+Z69</f>
        <v>17523550</v>
      </c>
      <c r="AB72" s="18">
        <f>+AB66+AB69</f>
        <v>17598033</v>
      </c>
      <c r="AC72" s="18">
        <f>+AC66+AC69</f>
        <v>17712442</v>
      </c>
      <c r="AD72" s="18">
        <f>+AD66+AD69</f>
        <v>17701476</v>
      </c>
      <c r="AE72" s="18">
        <f>+AE66+AE69</f>
        <v>17946404</v>
      </c>
      <c r="AF72" s="32"/>
      <c r="AG72" s="18">
        <f>+AG66+AG69</f>
        <v>17960990</v>
      </c>
      <c r="AH72" s="18">
        <f>+AH66+AH69</f>
        <v>17841047</v>
      </c>
      <c r="AI72" s="18">
        <f>+AI66+AI69</f>
        <v>18454416</v>
      </c>
      <c r="AJ72" s="18">
        <f>+AJ66+AJ69</f>
        <v>18160512</v>
      </c>
      <c r="AK72" s="32"/>
      <c r="AL72" s="18">
        <f>+AL66+AL69</f>
        <v>18898636</v>
      </c>
      <c r="AM72" s="18">
        <f>+AM66+AM69</f>
        <v>18483699</v>
      </c>
      <c r="AN72" s="18">
        <f>+AN66+AN69</f>
        <v>18650329</v>
      </c>
      <c r="AO72" s="18">
        <f>+AO66+AO69</f>
        <v>17791474</v>
      </c>
      <c r="AP72" s="32"/>
      <c r="AQ72" s="18">
        <f>+AQ66+AQ69</f>
        <v>18227370</v>
      </c>
      <c r="AR72" s="18">
        <f>+AR66+AR69</f>
        <v>18305094</v>
      </c>
      <c r="AS72" s="18">
        <f>+AS66+AS69</f>
        <v>18397007</v>
      </c>
      <c r="AT72" s="18">
        <f>+AT66+AT69</f>
        <v>18952092</v>
      </c>
      <c r="AU72" s="32"/>
      <c r="AV72" s="18">
        <f>+AV66+AV69</f>
        <v>19617186</v>
      </c>
      <c r="AW72" s="18">
        <f>+AW66+AW69</f>
        <v>19946286</v>
      </c>
      <c r="AX72" s="18">
        <f>+AX66+AX69</f>
        <v>20331169</v>
      </c>
      <c r="AY72" s="18">
        <f>+AY66+AY69</f>
        <v>20964835</v>
      </c>
      <c r="AZ72" s="18"/>
      <c r="BA72" s="18">
        <f>+BA66+BA69</f>
        <v>21467229</v>
      </c>
      <c r="BB72" s="18">
        <f>+BB66+BB69</f>
        <v>20961215</v>
      </c>
      <c r="BC72" s="18">
        <f>+BC66+BC69</f>
        <v>20509657</v>
      </c>
      <c r="BD72" s="18">
        <f>+BD66+BD69</f>
        <v>19610133</v>
      </c>
      <c r="BE72" s="18"/>
      <c r="BF72" s="18">
        <f>+BF66+BF69</f>
        <v>21517454</v>
      </c>
      <c r="BG72" s="18">
        <f>+BG66+BG69</f>
        <v>22155368</v>
      </c>
      <c r="BH72" s="18">
        <f>+BH66+BH69</f>
        <v>22042423</v>
      </c>
      <c r="BI72" s="18">
        <f>+BI66+BI69</f>
        <v>22014672</v>
      </c>
      <c r="BJ72" s="18"/>
      <c r="BK72" s="18">
        <f>+BK66+BK69</f>
        <v>23058849</v>
      </c>
      <c r="BL72" s="133">
        <f>+BK72-'ESF GA separado'!C72</f>
        <v>0</v>
      </c>
      <c r="BM72" s="133">
        <f>+BI72-'ESF GA separado'!D72</f>
        <v>0</v>
      </c>
    </row>
    <row r="73" spans="2:65" x14ac:dyDescent="0.25">
      <c r="C73" s="20"/>
      <c r="E73" s="20"/>
      <c r="F73" s="20"/>
      <c r="G73" s="20"/>
      <c r="H73" s="20"/>
      <c r="J73" s="20"/>
      <c r="K73" s="20"/>
      <c r="L73" s="20"/>
      <c r="M73" s="20"/>
      <c r="N73" s="20"/>
      <c r="P73" s="20"/>
      <c r="Q73" s="20"/>
      <c r="R73" s="20"/>
      <c r="S73" s="20"/>
      <c r="T73" s="20"/>
      <c r="U73" s="20"/>
      <c r="W73" s="20"/>
      <c r="AB73" s="20"/>
      <c r="AF73" s="32"/>
      <c r="AG73" s="20"/>
      <c r="AK73" s="32"/>
      <c r="AL73" s="20"/>
      <c r="AP73" s="32"/>
      <c r="AQ73" s="20"/>
      <c r="AU73" s="32"/>
      <c r="BA73" s="20"/>
      <c r="BB73" s="20"/>
      <c r="BC73" s="20"/>
      <c r="BD73" s="20"/>
      <c r="BE73" s="20"/>
      <c r="BF73" s="20"/>
      <c r="BG73" s="20"/>
      <c r="BH73" s="20"/>
      <c r="BI73" s="20"/>
      <c r="BJ73" s="20"/>
      <c r="BK73" s="20"/>
      <c r="BL73" s="133"/>
      <c r="BM73" s="133"/>
    </row>
    <row r="74" spans="2:65" s="10" customFormat="1" ht="16.5" customHeight="1" x14ac:dyDescent="0.2">
      <c r="B74" s="21" t="s">
        <v>56</v>
      </c>
      <c r="C74" s="20">
        <v>51510</v>
      </c>
      <c r="D74" s="21"/>
      <c r="E74" s="20">
        <v>51481</v>
      </c>
      <c r="F74" s="20">
        <v>51481</v>
      </c>
      <c r="G74" s="20">
        <v>51481</v>
      </c>
      <c r="H74" s="20">
        <v>51510</v>
      </c>
      <c r="I74" s="2"/>
      <c r="J74" s="20">
        <v>51481</v>
      </c>
      <c r="K74" s="20">
        <v>50744</v>
      </c>
      <c r="L74" s="20">
        <v>50744</v>
      </c>
      <c r="M74" s="20">
        <v>51510</v>
      </c>
      <c r="N74" s="20">
        <v>51510</v>
      </c>
      <c r="P74" s="20">
        <v>51510</v>
      </c>
      <c r="Q74" s="20">
        <v>51510</v>
      </c>
      <c r="R74" s="20">
        <v>51510</v>
      </c>
      <c r="S74" s="20">
        <v>51510</v>
      </c>
      <c r="T74" s="20">
        <v>53933</v>
      </c>
      <c r="U74" s="20">
        <v>53933</v>
      </c>
      <c r="W74" s="20">
        <v>53933</v>
      </c>
      <c r="X74" s="22">
        <v>53933</v>
      </c>
      <c r="Y74" s="148">
        <v>53933</v>
      </c>
      <c r="Z74" s="149">
        <v>53933</v>
      </c>
      <c r="AA74" s="129"/>
      <c r="AB74" s="20">
        <v>53933</v>
      </c>
      <c r="AC74" s="22">
        <v>53933</v>
      </c>
      <c r="AD74" s="148">
        <v>53933</v>
      </c>
      <c r="AE74" s="149">
        <v>53933</v>
      </c>
      <c r="AF74" s="32"/>
      <c r="AG74" s="20">
        <v>53933</v>
      </c>
      <c r="AH74" s="22">
        <v>53933</v>
      </c>
      <c r="AI74" s="148">
        <v>53933</v>
      </c>
      <c r="AJ74" s="149">
        <v>53933</v>
      </c>
      <c r="AK74" s="32"/>
      <c r="AL74" s="20">
        <v>53933</v>
      </c>
      <c r="AM74" s="22">
        <v>53933</v>
      </c>
      <c r="AN74" s="148">
        <v>53933</v>
      </c>
      <c r="AO74" s="149">
        <v>53933</v>
      </c>
      <c r="AP74" s="32"/>
      <c r="AQ74" s="20">
        <v>53933</v>
      </c>
      <c r="AR74" s="22">
        <v>54697</v>
      </c>
      <c r="AS74" s="22">
        <v>54697</v>
      </c>
      <c r="AT74" s="22">
        <v>54697</v>
      </c>
      <c r="AU74" s="32"/>
      <c r="AV74" s="22">
        <v>54697</v>
      </c>
      <c r="AW74" s="22">
        <v>54697</v>
      </c>
      <c r="AX74" s="22">
        <v>54697</v>
      </c>
      <c r="AY74" s="22">
        <v>54697</v>
      </c>
      <c r="AZ74" s="22"/>
      <c r="BA74" s="20">
        <v>54697</v>
      </c>
      <c r="BB74" s="20">
        <v>54697</v>
      </c>
      <c r="BC74" s="20">
        <v>54697</v>
      </c>
      <c r="BD74" s="20">
        <v>54697</v>
      </c>
      <c r="BE74" s="20"/>
      <c r="BF74" s="20">
        <v>54697</v>
      </c>
      <c r="BG74" s="20">
        <v>54697</v>
      </c>
      <c r="BH74" s="20">
        <v>54697</v>
      </c>
      <c r="BI74" s="20">
        <v>54697</v>
      </c>
      <c r="BJ74" s="20"/>
      <c r="BK74" s="20">
        <v>54697</v>
      </c>
      <c r="BL74" s="133">
        <f>+BK74-'ESF GA separado'!C78</f>
        <v>0</v>
      </c>
      <c r="BM74" s="133">
        <f>+BI74-'ESF GA separado'!D78</f>
        <v>0</v>
      </c>
    </row>
    <row r="75" spans="2:65" s="10" customFormat="1" ht="16.5" customHeight="1" x14ac:dyDescent="0.2">
      <c r="B75" s="21" t="s">
        <v>57</v>
      </c>
      <c r="C75" s="20">
        <v>667459</v>
      </c>
      <c r="D75" s="21"/>
      <c r="E75" s="20">
        <v>687062</v>
      </c>
      <c r="F75" s="20">
        <v>697292</v>
      </c>
      <c r="G75" s="20">
        <v>680690</v>
      </c>
      <c r="H75" s="20">
        <v>680051</v>
      </c>
      <c r="I75" s="2"/>
      <c r="J75" s="20">
        <v>689585</v>
      </c>
      <c r="K75" s="20">
        <v>681444</v>
      </c>
      <c r="L75" s="20">
        <v>680280</v>
      </c>
      <c r="M75" s="20">
        <v>680218</v>
      </c>
      <c r="N75" s="20">
        <v>680218</v>
      </c>
      <c r="P75" s="20">
        <v>680218</v>
      </c>
      <c r="Q75" s="20">
        <v>680218</v>
      </c>
      <c r="R75" s="20">
        <v>680218</v>
      </c>
      <c r="S75" s="20">
        <v>680218</v>
      </c>
      <c r="T75" s="20">
        <f>1354760-1</f>
        <v>1354759</v>
      </c>
      <c r="U75" s="20">
        <v>1354759</v>
      </c>
      <c r="W75" s="20">
        <f>1354760-1</f>
        <v>1354759</v>
      </c>
      <c r="X75" s="20">
        <f>1354760-1</f>
        <v>1354759</v>
      </c>
      <c r="Y75" s="20">
        <v>1354759</v>
      </c>
      <c r="Z75" s="149">
        <v>1354759</v>
      </c>
      <c r="AA75" s="129"/>
      <c r="AB75" s="20">
        <v>1354759</v>
      </c>
      <c r="AC75" s="20">
        <v>1354759</v>
      </c>
      <c r="AD75" s="20">
        <v>1354759</v>
      </c>
      <c r="AE75" s="149">
        <v>1354759</v>
      </c>
      <c r="AF75" s="32"/>
      <c r="AG75" s="20">
        <v>1354759</v>
      </c>
      <c r="AH75" s="20">
        <v>1354759</v>
      </c>
      <c r="AI75" s="20">
        <v>1354759</v>
      </c>
      <c r="AJ75" s="149">
        <v>1354759</v>
      </c>
      <c r="AK75" s="32"/>
      <c r="AL75" s="20">
        <v>1354759</v>
      </c>
      <c r="AM75" s="20">
        <v>1354759</v>
      </c>
      <c r="AN75" s="20">
        <v>1354759</v>
      </c>
      <c r="AO75" s="149">
        <v>1354759</v>
      </c>
      <c r="AP75" s="32"/>
      <c r="AQ75" s="20">
        <v>1354759</v>
      </c>
      <c r="AR75" s="20">
        <v>1503373</v>
      </c>
      <c r="AS75" s="20">
        <v>1503373</v>
      </c>
      <c r="AT75" s="20">
        <v>1503373</v>
      </c>
      <c r="AU75" s="32"/>
      <c r="AV75" s="20">
        <v>1503373</v>
      </c>
      <c r="AW75" s="20">
        <v>1503373</v>
      </c>
      <c r="AX75" s="20">
        <v>1503373</v>
      </c>
      <c r="AY75" s="20">
        <v>1503373</v>
      </c>
      <c r="AZ75" s="20"/>
      <c r="BA75" s="20">
        <v>1503373</v>
      </c>
      <c r="BB75" s="20">
        <v>1503373</v>
      </c>
      <c r="BC75" s="20">
        <v>1503373</v>
      </c>
      <c r="BD75" s="20">
        <v>1503373</v>
      </c>
      <c r="BE75" s="20"/>
      <c r="BF75" s="20">
        <v>1503373</v>
      </c>
      <c r="BG75" s="20">
        <v>1503373</v>
      </c>
      <c r="BH75" s="20">
        <v>1503373</v>
      </c>
      <c r="BI75" s="20">
        <v>1503373</v>
      </c>
      <c r="BJ75" s="20"/>
      <c r="BK75" s="20">
        <v>1503373</v>
      </c>
      <c r="BL75" s="133">
        <f>+BK75-'ESF GA separado'!C79</f>
        <v>0</v>
      </c>
      <c r="BM75" s="133">
        <f>+BI75-'ESF GA separado'!D79</f>
        <v>0</v>
      </c>
    </row>
    <row r="76" spans="2:65" s="10" customFormat="1" ht="16.5" customHeight="1" x14ac:dyDescent="0.2">
      <c r="B76" s="21" t="s">
        <v>233</v>
      </c>
      <c r="C76" s="20"/>
      <c r="D76" s="21"/>
      <c r="E76" s="20"/>
      <c r="F76" s="20"/>
      <c r="G76" s="20"/>
      <c r="H76" s="20"/>
      <c r="I76" s="2"/>
      <c r="J76" s="20"/>
      <c r="K76" s="20"/>
      <c r="L76" s="20"/>
      <c r="M76" s="20"/>
      <c r="N76" s="20"/>
      <c r="P76" s="20"/>
      <c r="Q76" s="20"/>
      <c r="R76" s="20"/>
      <c r="S76" s="20"/>
      <c r="T76" s="20"/>
      <c r="U76" s="20"/>
      <c r="W76" s="20"/>
      <c r="X76" s="20"/>
      <c r="Y76" s="20"/>
      <c r="Z76" s="149"/>
      <c r="AA76" s="129"/>
      <c r="AB76" s="20"/>
      <c r="AC76" s="20"/>
      <c r="AD76" s="20"/>
      <c r="AE76" s="149"/>
      <c r="AF76" s="32"/>
      <c r="AG76" s="20"/>
      <c r="AH76" s="20"/>
      <c r="AI76" s="20"/>
      <c r="AJ76" s="149"/>
      <c r="AK76" s="32"/>
      <c r="AL76" s="20"/>
      <c r="AM76" s="20"/>
      <c r="AN76" s="20"/>
      <c r="AO76" s="149"/>
      <c r="AP76" s="32"/>
      <c r="AQ76" s="20"/>
      <c r="AR76" s="20"/>
      <c r="AS76" s="20"/>
      <c r="AT76" s="20"/>
      <c r="AU76" s="32"/>
      <c r="AV76" s="20"/>
      <c r="AW76" s="20"/>
      <c r="AX76" s="20"/>
      <c r="AY76" s="20"/>
      <c r="AZ76" s="20"/>
      <c r="BA76" s="20">
        <v>-11611</v>
      </c>
      <c r="BB76" s="20">
        <v>-13392</v>
      </c>
      <c r="BC76" s="20">
        <v>-34094</v>
      </c>
      <c r="BD76" s="20">
        <v>-68994</v>
      </c>
      <c r="BE76" s="20"/>
      <c r="BF76" s="20">
        <v>-104872</v>
      </c>
      <c r="BG76" s="20">
        <v>-159866</v>
      </c>
      <c r="BH76" s="20">
        <v>-183958</v>
      </c>
      <c r="BI76" s="20">
        <v>-428360</v>
      </c>
      <c r="BJ76" s="20"/>
      <c r="BK76" s="20">
        <v>-451090</v>
      </c>
      <c r="BL76" s="133">
        <f>+BK76-'ESF GA separado'!C80</f>
        <v>0</v>
      </c>
      <c r="BM76" s="133">
        <f>+BI76-'ESF GA separado'!D80</f>
        <v>0</v>
      </c>
    </row>
    <row r="77" spans="2:65" s="10" customFormat="1" ht="16.5" customHeight="1" x14ac:dyDescent="0.2">
      <c r="B77" s="21" t="s">
        <v>58</v>
      </c>
      <c r="C77" s="150">
        <v>1143369</v>
      </c>
      <c r="D77" s="21"/>
      <c r="E77" s="150">
        <v>1347062</v>
      </c>
      <c r="F77" s="150">
        <v>1310992</v>
      </c>
      <c r="G77" s="150">
        <v>1442348</v>
      </c>
      <c r="H77" s="150">
        <v>1854084</v>
      </c>
      <c r="I77" s="2"/>
      <c r="J77" s="150">
        <v>1160573</v>
      </c>
      <c r="K77" s="150">
        <f>1517189-1</f>
        <v>1517188</v>
      </c>
      <c r="L77" s="150">
        <f>1797145-1</f>
        <v>1797144</v>
      </c>
      <c r="M77" s="150">
        <v>1694121</v>
      </c>
      <c r="N77" s="150">
        <v>1714197</v>
      </c>
      <c r="P77" s="20">
        <v>1982831</v>
      </c>
      <c r="Q77" s="20">
        <v>1835682</v>
      </c>
      <c r="R77" s="20">
        <v>1700353</v>
      </c>
      <c r="S77" s="20">
        <v>1447059</v>
      </c>
      <c r="T77" s="20">
        <v>1559137</v>
      </c>
      <c r="U77" s="20">
        <v>1559137</v>
      </c>
      <c r="W77" s="20">
        <v>1288659</v>
      </c>
      <c r="X77" s="148">
        <v>1561959</v>
      </c>
      <c r="Y77" s="148">
        <v>1479092</v>
      </c>
      <c r="Z77" s="148">
        <v>1564175</v>
      </c>
      <c r="AA77" s="129"/>
      <c r="AB77" s="20">
        <v>1192509</v>
      </c>
      <c r="AC77" s="148">
        <v>1448037</v>
      </c>
      <c r="AD77" s="148">
        <v>1359357</v>
      </c>
      <c r="AE77" s="148">
        <v>1692653</v>
      </c>
      <c r="AF77" s="32"/>
      <c r="AG77" s="20">
        <v>1717615</v>
      </c>
      <c r="AH77" s="148">
        <v>1678096</v>
      </c>
      <c r="AI77" s="148">
        <v>2066962</v>
      </c>
      <c r="AJ77" s="148">
        <v>1765469</v>
      </c>
      <c r="AK77" s="32"/>
      <c r="AL77" s="20">
        <v>2315053</v>
      </c>
      <c r="AM77" s="148">
        <v>2001434</v>
      </c>
      <c r="AN77" s="148">
        <v>2299687</v>
      </c>
      <c r="AO77" s="148">
        <v>1792605</v>
      </c>
      <c r="AP77" s="32"/>
      <c r="AQ77" s="20">
        <v>2187416</v>
      </c>
      <c r="AR77" s="148">
        <v>2171185</v>
      </c>
      <c r="AS77" s="148">
        <v>2313730</v>
      </c>
      <c r="AT77" s="148">
        <v>3012156</v>
      </c>
      <c r="AU77" s="32"/>
      <c r="AV77" s="148">
        <v>3499288</v>
      </c>
      <c r="AW77" s="148">
        <v>3844267</v>
      </c>
      <c r="AX77" s="148">
        <v>4277029</v>
      </c>
      <c r="AY77" s="148">
        <v>4728224</v>
      </c>
      <c r="AZ77" s="148"/>
      <c r="BA77" s="20">
        <v>4651191</v>
      </c>
      <c r="BB77" s="20">
        <v>3883097</v>
      </c>
      <c r="BC77" s="20">
        <v>3505883</v>
      </c>
      <c r="BD77" s="20">
        <v>2777128</v>
      </c>
      <c r="BE77" s="20"/>
      <c r="BF77" s="20">
        <v>242294</v>
      </c>
      <c r="BG77" s="20">
        <v>767480</v>
      </c>
      <c r="BH77" s="20">
        <v>721320</v>
      </c>
      <c r="BI77" s="20">
        <v>1110895</v>
      </c>
      <c r="BJ77" s="20"/>
      <c r="BK77" s="20">
        <v>896365</v>
      </c>
      <c r="BL77" s="133">
        <f>+BK77-'ESF GA separado'!C81</f>
        <v>0</v>
      </c>
      <c r="BM77" s="133">
        <f>+BI77-'ESF GA separado'!D81</f>
        <v>0</v>
      </c>
    </row>
    <row r="78" spans="2:65" s="10" customFormat="1" ht="16.5" customHeight="1" x14ac:dyDescent="0.2">
      <c r="B78" s="21" t="s">
        <v>59</v>
      </c>
      <c r="C78" s="20">
        <v>2331912</v>
      </c>
      <c r="D78" s="21"/>
      <c r="E78" s="20">
        <v>2430710</v>
      </c>
      <c r="F78" s="20">
        <v>2430707</v>
      </c>
      <c r="G78" s="20">
        <v>2431796</v>
      </c>
      <c r="H78" s="20">
        <v>2430615</v>
      </c>
      <c r="I78" s="2"/>
      <c r="J78" s="20">
        <v>2543398</v>
      </c>
      <c r="K78" s="20">
        <v>2547385</v>
      </c>
      <c r="L78" s="20">
        <v>2543987</v>
      </c>
      <c r="M78" s="20">
        <f>2452117+154742</f>
        <v>2606859</v>
      </c>
      <c r="N78" s="20">
        <v>2606859</v>
      </c>
      <c r="P78" s="20">
        <v>2743765</v>
      </c>
      <c r="Q78" s="20">
        <v>2743765</v>
      </c>
      <c r="R78" s="20">
        <v>2743764</v>
      </c>
      <c r="S78" s="20">
        <v>2743765</v>
      </c>
      <c r="T78" s="20">
        <v>2743764</v>
      </c>
      <c r="U78" s="20">
        <v>2743764</v>
      </c>
      <c r="W78" s="20">
        <v>2829844</v>
      </c>
      <c r="X78" s="148">
        <v>2829844</v>
      </c>
      <c r="Y78" s="148">
        <v>2829844</v>
      </c>
      <c r="Z78" s="149">
        <v>2829844</v>
      </c>
      <c r="AA78" s="129"/>
      <c r="AB78" s="20">
        <v>2829844</v>
      </c>
      <c r="AC78" s="148">
        <v>3001515</v>
      </c>
      <c r="AD78" s="148">
        <v>3001515</v>
      </c>
      <c r="AE78" s="149">
        <v>3001515</v>
      </c>
      <c r="AF78" s="32"/>
      <c r="AG78" s="20">
        <v>3513161</v>
      </c>
      <c r="AH78" s="148">
        <v>3513162</v>
      </c>
      <c r="AI78" s="148">
        <v>3513161</v>
      </c>
      <c r="AJ78" s="149">
        <v>3513161</v>
      </c>
      <c r="AK78" s="32"/>
      <c r="AL78" s="20">
        <v>3673583</v>
      </c>
      <c r="AM78" s="148">
        <v>3673583</v>
      </c>
      <c r="AN78" s="148">
        <v>3673584</v>
      </c>
      <c r="AO78" s="149">
        <v>3673583</v>
      </c>
      <c r="AP78" s="32"/>
      <c r="AQ78" s="20">
        <v>3339623</v>
      </c>
      <c r="AR78" s="148">
        <v>3339623</v>
      </c>
      <c r="AS78" s="148">
        <v>3339623</v>
      </c>
      <c r="AT78" s="148">
        <v>3339623</v>
      </c>
      <c r="AU78" s="32"/>
      <c r="AV78" s="148">
        <v>3241099</v>
      </c>
      <c r="AW78" s="148">
        <v>3241099</v>
      </c>
      <c r="AX78" s="148">
        <v>3241097</v>
      </c>
      <c r="AY78" s="148">
        <v>3241097</v>
      </c>
      <c r="AZ78" s="148"/>
      <c r="BA78" s="20">
        <v>3093300</v>
      </c>
      <c r="BB78" s="20">
        <v>3093387</v>
      </c>
      <c r="BC78" s="20">
        <v>3094102</v>
      </c>
      <c r="BD78" s="20">
        <v>3094653</v>
      </c>
      <c r="BE78" s="20"/>
      <c r="BF78" s="20">
        <v>3337154</v>
      </c>
      <c r="BG78" s="20">
        <v>3338842</v>
      </c>
      <c r="BH78" s="20">
        <v>3339332</v>
      </c>
      <c r="BI78" s="20">
        <v>3344004</v>
      </c>
      <c r="BJ78" s="20"/>
      <c r="BK78" s="20">
        <v>5299320</v>
      </c>
      <c r="BL78" s="133">
        <f>+BK78-'ESF GA separado'!C82</f>
        <v>0</v>
      </c>
      <c r="BM78" s="133">
        <f>+BI78-'ESF GA separado'!D82</f>
        <v>0</v>
      </c>
    </row>
    <row r="79" spans="2:65" s="10" customFormat="1" ht="16.5" customHeight="1" x14ac:dyDescent="0.2">
      <c r="B79" s="21" t="s">
        <v>60</v>
      </c>
      <c r="C79" s="22">
        <v>0</v>
      </c>
      <c r="D79" s="21"/>
      <c r="E79" s="22">
        <v>0</v>
      </c>
      <c r="F79" s="22">
        <v>0</v>
      </c>
      <c r="G79" s="22">
        <v>0</v>
      </c>
      <c r="H79" s="22">
        <v>0</v>
      </c>
      <c r="I79" s="2"/>
      <c r="J79" s="22">
        <v>0</v>
      </c>
      <c r="K79" s="22">
        <v>0</v>
      </c>
      <c r="L79" s="22">
        <v>0</v>
      </c>
      <c r="M79" s="22">
        <v>130033</v>
      </c>
      <c r="N79" s="22">
        <f>127591+3739+37788</f>
        <v>169118</v>
      </c>
      <c r="P79" s="22">
        <v>0</v>
      </c>
      <c r="Q79" s="22">
        <v>0</v>
      </c>
      <c r="R79" s="22">
        <v>0</v>
      </c>
      <c r="S79" s="22">
        <v>248090</v>
      </c>
      <c r="T79" s="22">
        <f>428834+37788</f>
        <v>466622</v>
      </c>
      <c r="U79" s="22">
        <v>466622</v>
      </c>
      <c r="W79" s="22">
        <v>628793</v>
      </c>
      <c r="X79" s="22">
        <v>599700</v>
      </c>
      <c r="Y79" s="22">
        <v>601328</v>
      </c>
      <c r="Z79" s="149">
        <v>592604</v>
      </c>
      <c r="AA79" s="129"/>
      <c r="AB79" s="22">
        <v>366085</v>
      </c>
      <c r="AC79" s="22">
        <v>379442</v>
      </c>
      <c r="AD79" s="22">
        <v>367883</v>
      </c>
      <c r="AE79" s="148">
        <v>374968</v>
      </c>
      <c r="AF79" s="32"/>
      <c r="AG79" s="22">
        <v>340018</v>
      </c>
      <c r="AH79" s="22">
        <v>338899</v>
      </c>
      <c r="AI79" s="22">
        <v>335143</v>
      </c>
      <c r="AJ79" s="148">
        <v>301188</v>
      </c>
      <c r="AK79" s="32"/>
      <c r="AL79" s="22">
        <v>301095</v>
      </c>
      <c r="AM79" s="22">
        <v>303971</v>
      </c>
      <c r="AN79" s="22">
        <v>305926</v>
      </c>
      <c r="AO79" s="148">
        <v>301186</v>
      </c>
      <c r="AP79" s="32"/>
      <c r="AQ79" s="22">
        <v>301499</v>
      </c>
      <c r="AR79" s="22">
        <v>317308</v>
      </c>
      <c r="AS79" s="22">
        <v>281070</v>
      </c>
      <c r="AT79" s="22">
        <v>275290</v>
      </c>
      <c r="AU79" s="32"/>
      <c r="AV79" s="22">
        <v>274684</v>
      </c>
      <c r="AW79" s="22">
        <v>287187</v>
      </c>
      <c r="AX79" s="22">
        <v>299141</v>
      </c>
      <c r="AY79" s="22">
        <v>300068</v>
      </c>
      <c r="AZ79" s="22"/>
      <c r="BA79" s="22">
        <v>366190</v>
      </c>
      <c r="BB79" s="22">
        <v>387025</v>
      </c>
      <c r="BC79" s="22">
        <v>386580</v>
      </c>
      <c r="BD79" s="22">
        <v>352533</v>
      </c>
      <c r="BE79" s="22"/>
      <c r="BF79" s="22">
        <v>361504</v>
      </c>
      <c r="BG79" s="22">
        <v>477955</v>
      </c>
      <c r="BH79" s="22">
        <v>389877</v>
      </c>
      <c r="BI79" s="22">
        <v>396439</v>
      </c>
      <c r="BJ79" s="22"/>
      <c r="BK79" s="20">
        <v>273310</v>
      </c>
      <c r="BL79" s="133">
        <f>+BK79-'ESF GA separado'!C83</f>
        <v>0</v>
      </c>
      <c r="BM79" s="133">
        <f>+BI79-'ESF GA separado'!D83</f>
        <v>0</v>
      </c>
    </row>
    <row r="80" spans="2:65" ht="16.5" customHeight="1" x14ac:dyDescent="0.2">
      <c r="B80" s="33" t="s">
        <v>61</v>
      </c>
      <c r="C80" s="20">
        <v>8649149</v>
      </c>
      <c r="D80" s="33"/>
      <c r="E80" s="20">
        <v>8811355</v>
      </c>
      <c r="F80" s="20">
        <v>8811355</v>
      </c>
      <c r="G80" s="20">
        <v>8811355</v>
      </c>
      <c r="H80" s="20">
        <v>8649149</v>
      </c>
      <c r="J80" s="20">
        <v>8811355</v>
      </c>
      <c r="K80" s="20">
        <f>8811355</f>
        <v>8811355</v>
      </c>
      <c r="L80" s="20">
        <f>8811355</f>
        <v>8811355</v>
      </c>
      <c r="M80" s="20">
        <v>8603670</v>
      </c>
      <c r="N80" s="20">
        <f>8703627-37788</f>
        <v>8665839</v>
      </c>
      <c r="P80" s="20">
        <v>8585838</v>
      </c>
      <c r="Q80" s="20">
        <v>8585838</v>
      </c>
      <c r="R80" s="20">
        <v>8752011</v>
      </c>
      <c r="S80" s="20">
        <v>8854990</v>
      </c>
      <c r="T80" s="20">
        <f>8737650+1-37788</f>
        <v>8699863</v>
      </c>
      <c r="U80" s="20">
        <v>8699863</v>
      </c>
      <c r="W80" s="20">
        <v>8699862</v>
      </c>
      <c r="X80" s="22">
        <v>8699863</v>
      </c>
      <c r="Y80" s="22">
        <v>8699863</v>
      </c>
      <c r="Z80" s="129">
        <v>8696987</v>
      </c>
      <c r="AB80" s="20">
        <v>9148034</v>
      </c>
      <c r="AC80" s="22">
        <v>8695192</v>
      </c>
      <c r="AD80" s="22">
        <v>8693237</v>
      </c>
      <c r="AE80" s="22">
        <v>8686431</v>
      </c>
      <c r="AF80" s="32"/>
      <c r="AG80" s="20">
        <v>8686625</v>
      </c>
      <c r="AH80" s="22">
        <v>8702920</v>
      </c>
      <c r="AI80" s="22">
        <v>8702956</v>
      </c>
      <c r="AJ80" s="22">
        <v>8701448</v>
      </c>
      <c r="AK80" s="32"/>
      <c r="AL80" s="20">
        <v>8710802</v>
      </c>
      <c r="AM80" s="22">
        <v>8710838</v>
      </c>
      <c r="AN80" s="22">
        <v>8710874</v>
      </c>
      <c r="AO80" s="22">
        <v>8675833</v>
      </c>
      <c r="AP80" s="32"/>
      <c r="AQ80" s="20">
        <v>8623072</v>
      </c>
      <c r="AR80" s="22">
        <v>8623109</v>
      </c>
      <c r="AS80" s="22">
        <v>8562511</v>
      </c>
      <c r="AT80" s="22">
        <v>8588287</v>
      </c>
      <c r="AU80" s="32"/>
      <c r="AV80" s="22">
        <v>8588356</v>
      </c>
      <c r="AW80" s="22">
        <v>8589044</v>
      </c>
      <c r="AX80" s="22">
        <v>8588829</v>
      </c>
      <c r="AY80" s="22">
        <v>8473522</v>
      </c>
      <c r="AZ80" s="22"/>
      <c r="BA80" s="20">
        <v>8472878</v>
      </c>
      <c r="BB80" s="20">
        <v>8471640</v>
      </c>
      <c r="BC80" s="20">
        <v>8470697</v>
      </c>
      <c r="BD80" s="20">
        <v>8480217</v>
      </c>
      <c r="BE80" s="20"/>
      <c r="BF80" s="20">
        <v>10106080</v>
      </c>
      <c r="BG80" s="20">
        <v>10098044</v>
      </c>
      <c r="BH80" s="20">
        <v>10095904</v>
      </c>
      <c r="BI80" s="20">
        <v>10254655</v>
      </c>
      <c r="BJ80" s="20"/>
      <c r="BK80" s="20">
        <v>10252349</v>
      </c>
      <c r="BL80" s="133">
        <f>+BK80-'ESF GA separado'!C84</f>
        <v>0</v>
      </c>
      <c r="BM80" s="133">
        <f>+BI80-'ESF GA separado'!D84</f>
        <v>0</v>
      </c>
    </row>
    <row r="81" spans="1:67" ht="16.5" customHeight="1" x14ac:dyDescent="0.2">
      <c r="B81" s="21" t="s">
        <v>63</v>
      </c>
      <c r="C81" s="151">
        <v>294950</v>
      </c>
      <c r="D81" s="21"/>
      <c r="E81" s="152">
        <v>-21377</v>
      </c>
      <c r="F81" s="151">
        <v>240678</v>
      </c>
      <c r="G81" s="151">
        <v>263780</v>
      </c>
      <c r="H81" s="151">
        <v>201042</v>
      </c>
      <c r="J81" s="151">
        <v>34639</v>
      </c>
      <c r="K81" s="151">
        <v>139406</v>
      </c>
      <c r="L81" s="151">
        <v>450079</v>
      </c>
      <c r="M81" s="151">
        <v>371801</v>
      </c>
      <c r="N81" s="153">
        <v>395462</v>
      </c>
      <c r="P81" s="151">
        <v>90796</v>
      </c>
      <c r="Q81" s="151">
        <v>136112</v>
      </c>
      <c r="R81" s="151">
        <v>162857</v>
      </c>
      <c r="S81" s="151">
        <v>183343</v>
      </c>
      <c r="T81" s="151">
        <v>351820</v>
      </c>
      <c r="U81" s="151">
        <v>351820</v>
      </c>
      <c r="W81" s="151">
        <v>86971</v>
      </c>
      <c r="X81" s="129">
        <v>148389</v>
      </c>
      <c r="Y81" s="129">
        <v>481542</v>
      </c>
      <c r="Z81" s="129">
        <v>452841</v>
      </c>
      <c r="AB81" s="151">
        <v>480389</v>
      </c>
      <c r="AC81" s="129">
        <v>520336</v>
      </c>
      <c r="AD81" s="129">
        <v>710852</v>
      </c>
      <c r="AE81" s="129">
        <v>811676</v>
      </c>
      <c r="AF81" s="32"/>
      <c r="AG81" s="151">
        <v>172188</v>
      </c>
      <c r="AH81" s="129">
        <v>205717</v>
      </c>
      <c r="AI81" s="129">
        <v>404818</v>
      </c>
      <c r="AJ81" s="129">
        <v>482739</v>
      </c>
      <c r="AK81" s="32"/>
      <c r="AL81" s="153">
        <v>99396</v>
      </c>
      <c r="AM81" s="134">
        <v>43568</v>
      </c>
      <c r="AN81" s="129">
        <v>14863</v>
      </c>
      <c r="AO81" s="129">
        <v>-59123</v>
      </c>
      <c r="AP81" s="32"/>
      <c r="AQ81" s="153">
        <v>118182</v>
      </c>
      <c r="AR81" s="134">
        <v>233059</v>
      </c>
      <c r="AS81" s="134">
        <v>345321</v>
      </c>
      <c r="AT81" s="134">
        <v>336205</v>
      </c>
      <c r="AU81" s="32"/>
      <c r="AV81" s="134">
        <v>171126</v>
      </c>
      <c r="AW81" s="134">
        <v>254143</v>
      </c>
      <c r="AX81" s="134">
        <v>336782</v>
      </c>
      <c r="AY81" s="134">
        <v>345789</v>
      </c>
      <c r="AZ81" s="134"/>
      <c r="BA81" s="153">
        <v>346282</v>
      </c>
      <c r="BB81" s="153">
        <v>703550</v>
      </c>
      <c r="BC81" s="153">
        <v>822039</v>
      </c>
      <c r="BD81" s="153">
        <v>789341</v>
      </c>
      <c r="BE81" s="153"/>
      <c r="BF81" s="153">
        <v>2574852</v>
      </c>
      <c r="BG81" s="153">
        <v>2683212</v>
      </c>
      <c r="BH81" s="153">
        <v>2808151</v>
      </c>
      <c r="BI81" s="153">
        <v>2531987</v>
      </c>
      <c r="BJ81" s="153"/>
      <c r="BK81" s="20">
        <v>1490032</v>
      </c>
      <c r="BL81" s="133">
        <f>+BK81-'ESF GA separado'!C85</f>
        <v>0</v>
      </c>
      <c r="BM81" s="133">
        <f>+BI81-'ESF GA separado'!D85</f>
        <v>0</v>
      </c>
      <c r="BN81" s="34" t="e">
        <f>+BK81-#REF!</f>
        <v>#REF!</v>
      </c>
      <c r="BO81" s="34" t="e">
        <f>+BF81-#REF!</f>
        <v>#REF!</v>
      </c>
    </row>
    <row r="82" spans="1:67" ht="7.5" customHeight="1" x14ac:dyDescent="0.2">
      <c r="B82" s="21"/>
      <c r="C82" s="151"/>
      <c r="D82" s="21"/>
      <c r="E82" s="151"/>
      <c r="F82" s="151"/>
      <c r="G82" s="151"/>
      <c r="H82" s="151"/>
      <c r="J82" s="151"/>
      <c r="K82" s="151"/>
      <c r="L82" s="151"/>
      <c r="M82" s="151"/>
      <c r="N82" s="151"/>
      <c r="P82" s="151"/>
      <c r="Q82" s="151"/>
      <c r="R82" s="151"/>
      <c r="S82" s="151"/>
      <c r="T82" s="151"/>
      <c r="U82" s="151"/>
      <c r="W82" s="151"/>
      <c r="AB82" s="151"/>
      <c r="AF82" s="32"/>
      <c r="AG82" s="151"/>
      <c r="AK82" s="32"/>
      <c r="AL82" s="151"/>
      <c r="AP82" s="32"/>
      <c r="AQ82" s="151"/>
      <c r="AU82" s="32"/>
      <c r="BA82" s="151"/>
      <c r="BB82" s="151"/>
      <c r="BC82" s="151"/>
      <c r="BD82" s="151"/>
      <c r="BE82" s="153"/>
      <c r="BF82" s="151"/>
      <c r="BG82" s="151"/>
      <c r="BH82" s="151"/>
      <c r="BI82" s="151"/>
      <c r="BJ82" s="153"/>
      <c r="BK82" s="151"/>
      <c r="BL82" s="133"/>
      <c r="BM82" s="133"/>
    </row>
    <row r="83" spans="1:67" ht="20.25" customHeight="1" x14ac:dyDescent="0.25">
      <c r="B83" s="138" t="s">
        <v>54</v>
      </c>
      <c r="C83" s="139">
        <f>SUM(C74:C81)</f>
        <v>13138349</v>
      </c>
      <c r="D83" s="17"/>
      <c r="E83" s="139">
        <f>SUM(E74:E81)</f>
        <v>13306293</v>
      </c>
      <c r="F83" s="139">
        <f>SUM(F74:F81)</f>
        <v>13542505</v>
      </c>
      <c r="G83" s="139">
        <f>SUM(G74:G81)</f>
        <v>13681450</v>
      </c>
      <c r="H83" s="139">
        <f>SUM(H74:H81)</f>
        <v>13866451</v>
      </c>
      <c r="J83" s="139">
        <f>SUM(J74:J81)</f>
        <v>13291031</v>
      </c>
      <c r="K83" s="139">
        <f>SUM(K74:K81)</f>
        <v>13747522</v>
      </c>
      <c r="L83" s="139">
        <f>SUM(L74:L81)</f>
        <v>14333589</v>
      </c>
      <c r="M83" s="139">
        <f>SUM(M74:M81)</f>
        <v>14138212</v>
      </c>
      <c r="N83" s="139">
        <f>SUM(N74:N81)</f>
        <v>14283203</v>
      </c>
      <c r="P83" s="139">
        <f t="shared" ref="P83:U83" si="11">SUM(P74:P81)</f>
        <v>14134958</v>
      </c>
      <c r="Q83" s="139">
        <f t="shared" si="11"/>
        <v>14033125</v>
      </c>
      <c r="R83" s="139">
        <f t="shared" si="11"/>
        <v>14090713</v>
      </c>
      <c r="S83" s="139">
        <f t="shared" si="11"/>
        <v>14208975</v>
      </c>
      <c r="T83" s="139">
        <f t="shared" si="11"/>
        <v>15229898</v>
      </c>
      <c r="U83" s="139">
        <f t="shared" si="11"/>
        <v>15229898</v>
      </c>
      <c r="W83" s="139">
        <f>SUM(W74:W81)</f>
        <v>14942821</v>
      </c>
      <c r="X83" s="139">
        <f>SUM(X74:X81)</f>
        <v>15248447</v>
      </c>
      <c r="Y83" s="139">
        <f>SUM(Y74:Y81)</f>
        <v>15500361</v>
      </c>
      <c r="Z83" s="139">
        <f>SUM(Z74:Z81)</f>
        <v>15545143</v>
      </c>
      <c r="AB83" s="139">
        <f>SUM(AB74:AB81)</f>
        <v>15425553</v>
      </c>
      <c r="AC83" s="139">
        <f>SUM(AC74:AC81)</f>
        <v>15453214</v>
      </c>
      <c r="AD83" s="139">
        <f>SUM(AD74:AD81)</f>
        <v>15541536</v>
      </c>
      <c r="AE83" s="139">
        <f>SUM(AE74:AE81)</f>
        <v>15975935</v>
      </c>
      <c r="AF83" s="32"/>
      <c r="AG83" s="139">
        <f>SUM(AG74:AG81)</f>
        <v>15838299</v>
      </c>
      <c r="AH83" s="139">
        <f>SUM(AH74:AH81)</f>
        <v>15847486</v>
      </c>
      <c r="AI83" s="139">
        <f>SUM(AI74:AI81)</f>
        <v>16431732</v>
      </c>
      <c r="AJ83" s="139">
        <f>SUM(AJ74:AJ81)</f>
        <v>16172697</v>
      </c>
      <c r="AK83" s="32"/>
      <c r="AL83" s="139">
        <f>SUM(AL74:AL81)</f>
        <v>16508621</v>
      </c>
      <c r="AM83" s="139">
        <f>SUM(AM74:AM81)</f>
        <v>16142086</v>
      </c>
      <c r="AN83" s="139">
        <f>SUM(AN74:AN81)</f>
        <v>16413626</v>
      </c>
      <c r="AO83" s="139">
        <f>SUM(AO74:AO81)</f>
        <v>15792776</v>
      </c>
      <c r="AP83" s="32"/>
      <c r="AQ83" s="139">
        <f>SUM(AQ74:AQ81)</f>
        <v>15978484</v>
      </c>
      <c r="AR83" s="139">
        <f>SUM(AR74:AR81)</f>
        <v>16242354</v>
      </c>
      <c r="AS83" s="139">
        <f>SUM(AS74:AS81)</f>
        <v>16400325</v>
      </c>
      <c r="AT83" s="139">
        <f>SUM(AT74:AT81)</f>
        <v>17109631</v>
      </c>
      <c r="AU83" s="32"/>
      <c r="AV83" s="139">
        <f>SUM(AV74:AV81)</f>
        <v>17332623</v>
      </c>
      <c r="AW83" s="139">
        <f>SUM(AW74:AW81)</f>
        <v>17773810</v>
      </c>
      <c r="AX83" s="139">
        <f>SUM(AX74:AX81)</f>
        <v>18300948</v>
      </c>
      <c r="AY83" s="139">
        <f>SUM(AY74:AY81)</f>
        <v>18646770</v>
      </c>
      <c r="AZ83" s="18"/>
      <c r="BA83" s="139">
        <f>SUM(BA74:BA81)</f>
        <v>18476300</v>
      </c>
      <c r="BB83" s="139">
        <f>SUM(BB74:BB81)</f>
        <v>18083377</v>
      </c>
      <c r="BC83" s="139">
        <f>SUM(BC74:BC81)</f>
        <v>17803277</v>
      </c>
      <c r="BD83" s="139">
        <f>SUM(BD74:BD81)</f>
        <v>16982948</v>
      </c>
      <c r="BE83" s="18"/>
      <c r="BF83" s="139">
        <f>SUM(BF74:BF81)</f>
        <v>18075082</v>
      </c>
      <c r="BG83" s="139">
        <f>SUM(BG74:BG81)</f>
        <v>18763737</v>
      </c>
      <c r="BH83" s="139">
        <f>SUM(BH74:BH81)</f>
        <v>18728696</v>
      </c>
      <c r="BI83" s="139">
        <f>SUM(BI74:BI81)</f>
        <v>18767690</v>
      </c>
      <c r="BJ83" s="18"/>
      <c r="BK83" s="139">
        <f>SUM(BK74:BK81)</f>
        <v>19318356</v>
      </c>
      <c r="BL83" s="133">
        <f>+BK83-'ESF GA separado'!C87</f>
        <v>0</v>
      </c>
      <c r="BM83" s="133">
        <f>+BI83-'ESF GA separado'!D87</f>
        <v>0</v>
      </c>
    </row>
    <row r="84" spans="1:67" ht="11.25" customHeight="1" x14ac:dyDescent="0.2">
      <c r="B84" s="21"/>
      <c r="C84" s="20"/>
      <c r="D84" s="21"/>
      <c r="E84" s="20"/>
      <c r="F84" s="20"/>
      <c r="G84" s="20"/>
      <c r="H84" s="20"/>
      <c r="J84" s="20"/>
      <c r="K84" s="20"/>
      <c r="L84" s="20"/>
      <c r="M84" s="20"/>
      <c r="N84" s="20"/>
      <c r="P84" s="20"/>
      <c r="Q84" s="20"/>
      <c r="R84" s="20"/>
      <c r="S84" s="20"/>
    </row>
    <row r="85" spans="1:67" x14ac:dyDescent="0.25">
      <c r="C85" s="10"/>
    </row>
    <row r="86" spans="1:67" ht="21" customHeight="1" x14ac:dyDescent="0.25">
      <c r="C86" s="10"/>
      <c r="E86" s="20"/>
    </row>
    <row r="87" spans="1:67" x14ac:dyDescent="0.25">
      <c r="B87" s="154"/>
      <c r="C87" s="154">
        <f>+C35-C66-C69</f>
        <v>0</v>
      </c>
      <c r="D87" s="135"/>
      <c r="E87" s="154">
        <f t="shared" ref="E87:H88" si="12">+E35-E66-E69</f>
        <v>0</v>
      </c>
      <c r="F87" s="154">
        <f t="shared" si="12"/>
        <v>0</v>
      </c>
      <c r="G87" s="154">
        <f t="shared" si="12"/>
        <v>0</v>
      </c>
      <c r="H87" s="154">
        <f t="shared" si="12"/>
        <v>0</v>
      </c>
      <c r="I87" s="154"/>
      <c r="J87" s="154">
        <f t="shared" ref="J87:N88" si="13">+J35-J66-J69</f>
        <v>0</v>
      </c>
      <c r="K87" s="154">
        <f t="shared" si="13"/>
        <v>0</v>
      </c>
      <c r="L87" s="154">
        <f t="shared" si="13"/>
        <v>0</v>
      </c>
      <c r="M87" s="154">
        <f t="shared" si="13"/>
        <v>0</v>
      </c>
      <c r="N87" s="154">
        <f t="shared" si="13"/>
        <v>0</v>
      </c>
      <c r="O87" s="154"/>
      <c r="P87" s="154">
        <f t="shared" ref="P87:U88" si="14">+P35-P66-P69</f>
        <v>0</v>
      </c>
      <c r="Q87" s="154">
        <f t="shared" si="14"/>
        <v>0</v>
      </c>
      <c r="R87" s="154">
        <f t="shared" si="14"/>
        <v>0</v>
      </c>
      <c r="S87" s="154">
        <f t="shared" si="14"/>
        <v>0</v>
      </c>
      <c r="T87" s="154">
        <f t="shared" si="14"/>
        <v>0</v>
      </c>
      <c r="U87" s="154">
        <f t="shared" si="14"/>
        <v>0</v>
      </c>
      <c r="W87" s="154">
        <f t="shared" ref="W87:Z88" si="15">+W35-W66-W69</f>
        <v>0</v>
      </c>
      <c r="X87" s="154">
        <f t="shared" si="15"/>
        <v>0</v>
      </c>
      <c r="Y87" s="154">
        <f t="shared" si="15"/>
        <v>0</v>
      </c>
      <c r="Z87" s="154">
        <f t="shared" si="15"/>
        <v>0</v>
      </c>
      <c r="AB87" s="154">
        <f t="shared" ref="AB87:AE88" si="16">+AB35-AB66-AB69</f>
        <v>0</v>
      </c>
      <c r="AC87" s="154">
        <f t="shared" si="16"/>
        <v>0</v>
      </c>
      <c r="AD87" s="154">
        <f t="shared" si="16"/>
        <v>0</v>
      </c>
      <c r="AE87" s="154">
        <f t="shared" si="16"/>
        <v>0</v>
      </c>
      <c r="AG87" s="154">
        <f t="shared" ref="AG87:AJ88" si="17">+AG35-AG66-AG69</f>
        <v>0</v>
      </c>
      <c r="AH87" s="154">
        <f t="shared" si="17"/>
        <v>0</v>
      </c>
      <c r="AI87" s="154">
        <f t="shared" si="17"/>
        <v>0</v>
      </c>
      <c r="AJ87" s="154">
        <f t="shared" si="17"/>
        <v>0</v>
      </c>
      <c r="AL87" s="154">
        <f t="shared" ref="AL87:AO88" si="18">+AL35-AL66-AL69</f>
        <v>0</v>
      </c>
      <c r="AM87" s="154">
        <f t="shared" si="18"/>
        <v>0</v>
      </c>
      <c r="AN87" s="154">
        <f t="shared" si="18"/>
        <v>0</v>
      </c>
      <c r="AO87" s="154">
        <f t="shared" si="18"/>
        <v>0</v>
      </c>
      <c r="AQ87" s="154">
        <f t="shared" ref="AQ87:AT88" si="19">+AQ35-AQ66-AQ69</f>
        <v>0</v>
      </c>
      <c r="AR87" s="154">
        <f t="shared" si="19"/>
        <v>0</v>
      </c>
      <c r="AS87" s="154">
        <f t="shared" si="19"/>
        <v>0</v>
      </c>
      <c r="AT87" s="154">
        <f t="shared" si="19"/>
        <v>0</v>
      </c>
      <c r="AV87" s="154">
        <f>+AV35-AV66-AV69</f>
        <v>0</v>
      </c>
      <c r="AW87" s="154">
        <f t="shared" ref="AW87:AX88" si="20">+AW35-AW66-AW69</f>
        <v>0</v>
      </c>
      <c r="AX87" s="154">
        <f t="shared" si="20"/>
        <v>0</v>
      </c>
      <c r="AY87" s="154">
        <f t="shared" ref="AY87:BA87" si="21">+AY35-AY66-AY69</f>
        <v>0</v>
      </c>
      <c r="AZ87" s="135"/>
      <c r="BA87" s="154">
        <f t="shared" si="21"/>
        <v>0</v>
      </c>
      <c r="BB87" s="154">
        <f>+BB35-BB66-BB69</f>
        <v>0</v>
      </c>
      <c r="BC87" s="154">
        <f t="shared" ref="BC87:BD88" si="22">+BC35-BC66-BC69</f>
        <v>0</v>
      </c>
      <c r="BD87" s="154">
        <f t="shared" si="22"/>
        <v>0</v>
      </c>
      <c r="BE87" s="135"/>
      <c r="BF87" s="154">
        <f t="shared" ref="BF87:BG87" si="23">+BF35-BF66-BF69</f>
        <v>0</v>
      </c>
      <c r="BG87" s="154">
        <f t="shared" si="23"/>
        <v>0</v>
      </c>
      <c r="BH87" s="154">
        <f t="shared" ref="BH87:BI87" si="24">+BH35-BH66-BH69</f>
        <v>0</v>
      </c>
      <c r="BI87" s="154">
        <f t="shared" si="24"/>
        <v>0</v>
      </c>
      <c r="BJ87" s="135"/>
      <c r="BK87" s="154">
        <f t="shared" ref="BK87:BK88" si="25">+BK35-BK66-BK69</f>
        <v>0</v>
      </c>
    </row>
    <row r="88" spans="1:67" ht="16.5" customHeight="1" x14ac:dyDescent="0.25">
      <c r="C88" s="154">
        <f>+C36-C67-C70</f>
        <v>0</v>
      </c>
      <c r="E88" s="154">
        <f t="shared" si="12"/>
        <v>0</v>
      </c>
      <c r="F88" s="154">
        <f t="shared" si="12"/>
        <v>0</v>
      </c>
      <c r="G88" s="154">
        <f t="shared" si="12"/>
        <v>0</v>
      </c>
      <c r="H88" s="154">
        <f t="shared" si="12"/>
        <v>0</v>
      </c>
      <c r="I88" s="154"/>
      <c r="J88" s="154">
        <f t="shared" si="13"/>
        <v>0</v>
      </c>
      <c r="K88" s="154">
        <f t="shared" si="13"/>
        <v>0</v>
      </c>
      <c r="L88" s="154">
        <f t="shared" si="13"/>
        <v>0</v>
      </c>
      <c r="M88" s="154">
        <f t="shared" si="13"/>
        <v>0</v>
      </c>
      <c r="N88" s="154">
        <f t="shared" si="13"/>
        <v>0</v>
      </c>
      <c r="P88" s="154">
        <f t="shared" si="14"/>
        <v>0</v>
      </c>
      <c r="Q88" s="154">
        <f t="shared" si="14"/>
        <v>0</v>
      </c>
      <c r="R88" s="154">
        <f t="shared" si="14"/>
        <v>0</v>
      </c>
      <c r="S88" s="154">
        <f t="shared" si="14"/>
        <v>0</v>
      </c>
      <c r="T88" s="154">
        <f t="shared" si="14"/>
        <v>0</v>
      </c>
      <c r="U88" s="154">
        <f t="shared" si="14"/>
        <v>0</v>
      </c>
      <c r="W88" s="154">
        <f t="shared" si="15"/>
        <v>0</v>
      </c>
      <c r="X88" s="154">
        <f t="shared" si="15"/>
        <v>0</v>
      </c>
      <c r="Y88" s="154">
        <f t="shared" si="15"/>
        <v>0</v>
      </c>
      <c r="Z88" s="154">
        <f t="shared" si="15"/>
        <v>0</v>
      </c>
      <c r="AB88" s="154">
        <f t="shared" si="16"/>
        <v>0</v>
      </c>
      <c r="AC88" s="154">
        <f t="shared" si="16"/>
        <v>0</v>
      </c>
      <c r="AD88" s="154">
        <f t="shared" si="16"/>
        <v>0</v>
      </c>
      <c r="AE88" s="154">
        <f t="shared" si="16"/>
        <v>0</v>
      </c>
      <c r="AG88" s="154">
        <f t="shared" si="17"/>
        <v>0</v>
      </c>
      <c r="AH88" s="154">
        <f t="shared" si="17"/>
        <v>0</v>
      </c>
      <c r="AI88" s="154">
        <f t="shared" si="17"/>
        <v>0</v>
      </c>
      <c r="AJ88" s="154">
        <f t="shared" si="17"/>
        <v>0</v>
      </c>
      <c r="AL88" s="154">
        <f t="shared" si="18"/>
        <v>0</v>
      </c>
      <c r="AM88" s="154">
        <f t="shared" si="18"/>
        <v>0</v>
      </c>
      <c r="AN88" s="154">
        <f t="shared" si="18"/>
        <v>0</v>
      </c>
      <c r="AO88" s="154">
        <f t="shared" si="18"/>
        <v>0</v>
      </c>
      <c r="AQ88" s="154">
        <f t="shared" si="19"/>
        <v>0</v>
      </c>
      <c r="AR88" s="154">
        <f t="shared" si="19"/>
        <v>0</v>
      </c>
      <c r="AS88" s="154">
        <f t="shared" si="19"/>
        <v>0</v>
      </c>
      <c r="AT88" s="154">
        <f t="shared" si="19"/>
        <v>0</v>
      </c>
      <c r="AV88" s="154">
        <f>+AV36-AV67-AV70</f>
        <v>0</v>
      </c>
      <c r="AW88" s="154">
        <f t="shared" si="20"/>
        <v>0</v>
      </c>
      <c r="AX88" s="154">
        <f t="shared" si="20"/>
        <v>0</v>
      </c>
      <c r="AY88" s="154">
        <f t="shared" ref="AY88:BB88" si="26">+AY36-AY67-AY70</f>
        <v>0</v>
      </c>
      <c r="AZ88" s="135"/>
      <c r="BA88" s="154">
        <f t="shared" si="26"/>
        <v>0</v>
      </c>
      <c r="BB88" s="154">
        <f t="shared" si="26"/>
        <v>0</v>
      </c>
      <c r="BC88" s="154">
        <f t="shared" si="22"/>
        <v>0</v>
      </c>
      <c r="BD88" s="154">
        <f t="shared" si="22"/>
        <v>0</v>
      </c>
      <c r="BE88" s="135"/>
      <c r="BF88" s="154">
        <f t="shared" ref="BF88:BG88" si="27">+BF36-BF67-BF70</f>
        <v>0</v>
      </c>
      <c r="BG88" s="154">
        <f t="shared" si="27"/>
        <v>0</v>
      </c>
      <c r="BH88" s="154">
        <f t="shared" ref="BH88:BI88" si="28">+BH36-BH67-BH70</f>
        <v>0</v>
      </c>
      <c r="BI88" s="154">
        <f t="shared" si="28"/>
        <v>0</v>
      </c>
      <c r="BJ88" s="135"/>
      <c r="BK88" s="154">
        <f t="shared" si="25"/>
        <v>0</v>
      </c>
    </row>
    <row r="89" spans="1:67" ht="16.5" customHeight="1" x14ac:dyDescent="0.25">
      <c r="A89" s="154"/>
      <c r="B89" s="154"/>
      <c r="C89" s="154"/>
      <c r="D89" s="135"/>
      <c r="E89" s="154"/>
      <c r="F89" s="154"/>
      <c r="G89" s="154"/>
      <c r="H89" s="154"/>
      <c r="I89" s="154"/>
      <c r="J89" s="154"/>
      <c r="K89" s="154"/>
      <c r="L89" s="154"/>
      <c r="M89" s="154"/>
      <c r="N89" s="154"/>
    </row>
    <row r="90" spans="1:67" ht="16.5" customHeight="1" x14ac:dyDescent="0.25"/>
    <row r="91" spans="1:67" ht="16.5" customHeight="1" x14ac:dyDescent="0.25"/>
    <row r="92" spans="1:67" ht="14.25" customHeight="1" x14ac:dyDescent="0.25"/>
    <row r="93" spans="1:67" ht="16.5" customHeight="1" x14ac:dyDescent="0.25"/>
    <row r="94" spans="1:67" ht="3.75" customHeight="1" x14ac:dyDescent="0.25"/>
    <row r="95" spans="1:67" ht="16.5" customHeight="1" x14ac:dyDescent="0.25"/>
    <row r="97" spans="2:8" ht="14.25" customHeight="1" x14ac:dyDescent="0.25">
      <c r="B97" s="348"/>
      <c r="C97" s="348"/>
      <c r="D97" s="348"/>
      <c r="E97" s="348"/>
      <c r="F97" s="348"/>
      <c r="G97" s="2"/>
      <c r="H97" s="2"/>
    </row>
    <row r="101" spans="2:8" ht="15" x14ac:dyDescent="0.25">
      <c r="B101" s="45"/>
      <c r="C101" s="45"/>
      <c r="D101" s="45"/>
      <c r="E101" s="46"/>
      <c r="F101" s="46"/>
      <c r="G101" s="46"/>
      <c r="H101" s="46"/>
    </row>
    <row r="102" spans="2:8" ht="15" x14ac:dyDescent="0.25">
      <c r="B102" s="47"/>
      <c r="C102" s="47"/>
      <c r="D102" s="47"/>
      <c r="E102" s="155"/>
      <c r="F102" s="156"/>
      <c r="G102" s="156"/>
      <c r="H102" s="156"/>
    </row>
    <row r="103" spans="2:8" ht="15" x14ac:dyDescent="0.25">
      <c r="B103" s="47"/>
      <c r="C103" s="47"/>
      <c r="D103" s="47"/>
      <c r="E103" s="46"/>
      <c r="F103" s="48"/>
      <c r="G103" s="48"/>
      <c r="H103" s="48"/>
    </row>
    <row r="104" spans="2:8" ht="15" x14ac:dyDescent="0.25">
      <c r="B104" s="47"/>
      <c r="C104" s="47"/>
      <c r="D104" s="47"/>
      <c r="E104" s="46"/>
      <c r="F104" s="48"/>
      <c r="G104" s="48"/>
      <c r="H104" s="48"/>
    </row>
    <row r="105" spans="2:8" ht="15" x14ac:dyDescent="0.25">
      <c r="B105" s="47"/>
      <c r="C105" s="47"/>
      <c r="D105" s="47"/>
      <c r="E105" s="46"/>
      <c r="F105" s="48"/>
      <c r="G105" s="48"/>
      <c r="H105" s="48"/>
    </row>
    <row r="106" spans="2:8" ht="15" x14ac:dyDescent="0.25">
      <c r="B106" s="47"/>
      <c r="C106" s="47"/>
      <c r="D106" s="47"/>
      <c r="E106" s="46"/>
      <c r="F106" s="48"/>
      <c r="G106" s="48"/>
      <c r="H106" s="48"/>
    </row>
    <row r="107" spans="2:8" ht="15" x14ac:dyDescent="0.25">
      <c r="B107" s="47"/>
      <c r="C107" s="47"/>
      <c r="D107" s="47"/>
      <c r="E107" s="46"/>
      <c r="F107" s="48"/>
      <c r="G107" s="48"/>
      <c r="H107" s="48"/>
    </row>
    <row r="108" spans="2:8" ht="15" x14ac:dyDescent="0.25">
      <c r="B108" s="47"/>
      <c r="C108" s="47"/>
      <c r="D108" s="47"/>
      <c r="E108" s="46"/>
      <c r="F108" s="48"/>
      <c r="G108" s="48"/>
      <c r="H108" s="48"/>
    </row>
    <row r="109" spans="2:8" ht="15" x14ac:dyDescent="0.25">
      <c r="B109" s="47"/>
      <c r="C109" s="47"/>
      <c r="D109" s="47"/>
      <c r="E109" s="46"/>
      <c r="F109" s="48"/>
      <c r="G109" s="48"/>
      <c r="H109" s="48"/>
    </row>
    <row r="110" spans="2:8" ht="15" x14ac:dyDescent="0.25">
      <c r="B110" s="47"/>
      <c r="C110" s="47"/>
      <c r="D110" s="47"/>
      <c r="E110" s="46"/>
      <c r="F110" s="48"/>
      <c r="G110" s="48"/>
      <c r="H110" s="48"/>
    </row>
    <row r="111" spans="2:8" ht="15" x14ac:dyDescent="0.25">
      <c r="B111" s="45"/>
      <c r="C111" s="45"/>
      <c r="D111" s="45"/>
      <c r="E111" s="49"/>
      <c r="F111" s="49"/>
      <c r="G111" s="49"/>
      <c r="H111" s="49"/>
    </row>
  </sheetData>
  <mergeCells count="15">
    <mergeCell ref="B1:K1"/>
    <mergeCell ref="B2:K2"/>
    <mergeCell ref="B3:K3"/>
    <mergeCell ref="E6:H6"/>
    <mergeCell ref="J6:N6"/>
    <mergeCell ref="BF6:BI6"/>
    <mergeCell ref="BA6:BD6"/>
    <mergeCell ref="AQ6:AT6"/>
    <mergeCell ref="AV6:AX6"/>
    <mergeCell ref="B97:F97"/>
    <mergeCell ref="W6:Z6"/>
    <mergeCell ref="AB6:AE6"/>
    <mergeCell ref="AG6:AJ6"/>
    <mergeCell ref="AL6:AO6"/>
    <mergeCell ref="P6:U6"/>
  </mergeCells>
  <pageMargins left="0.7" right="0.7" top="0.75" bottom="0.75" header="0.3" footer="0.3"/>
  <ignoredErrors>
    <ignoredError sqref="BA6 BF6" numberStoredAsText="1"/>
  </ignoredErrors>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6D56D-2147-41A1-9DC8-BDA1FE3E9D97}">
  <sheetPr codeName="Hoja1"/>
  <dimension ref="B1:BR79"/>
  <sheetViews>
    <sheetView showGridLines="0" zoomScale="88" zoomScaleNormal="88" workbookViewId="0">
      <pane xSplit="2" ySplit="9" topLeftCell="BF60" activePane="bottomRight" state="frozen"/>
      <selection pane="topRight" activeCell="C1" sqref="C1"/>
      <selection pane="bottomLeft" activeCell="A10" sqref="A10"/>
      <selection pane="bottomRight" activeCell="BQ74" sqref="BQ74"/>
    </sheetView>
  </sheetViews>
  <sheetFormatPr baseColWidth="10" defaultColWidth="13" defaultRowHeight="15" x14ac:dyDescent="0.25"/>
  <cols>
    <col min="1" max="1" width="2.28515625" style="51" customWidth="1"/>
    <col min="2" max="2" width="49.7109375" style="51" customWidth="1"/>
    <col min="3" max="3" width="9.5703125" style="51" bestFit="1" customWidth="1"/>
    <col min="4" max="4" width="8.7109375" style="51" bestFit="1" customWidth="1"/>
    <col min="5" max="6" width="8.5703125" style="51" bestFit="1" customWidth="1"/>
    <col min="7" max="7" width="1.28515625" style="51" customWidth="1"/>
    <col min="8" max="11" width="8.5703125" style="51" bestFit="1" customWidth="1"/>
    <col min="12" max="12" width="11.7109375" style="51" bestFit="1" customWidth="1"/>
    <col min="13" max="13" width="1.28515625" style="51" customWidth="1"/>
    <col min="14" max="14" width="8.5703125" style="51" bestFit="1" customWidth="1"/>
    <col min="15" max="15" width="12.42578125" style="51" bestFit="1" customWidth="1"/>
    <col min="16" max="16" width="8.5703125" style="51" bestFit="1" customWidth="1"/>
    <col min="17" max="17" width="12.28515625" style="51" bestFit="1" customWidth="1"/>
    <col min="18" max="18" width="8.5703125" style="51" bestFit="1" customWidth="1"/>
    <col min="19" max="19" width="12.42578125" style="51" bestFit="1" customWidth="1"/>
    <col min="20" max="20" width="8.5703125" style="51" bestFit="1" customWidth="1"/>
    <col min="21" max="21" width="13" style="51"/>
    <col min="22" max="22" width="1.5703125" style="51" customWidth="1"/>
    <col min="23" max="23" width="8.5703125" style="51" bestFit="1" customWidth="1"/>
    <col min="24" max="24" width="8.5703125" style="51" customWidth="1"/>
    <col min="25" max="25" width="8.7109375" style="51" bestFit="1" customWidth="1"/>
    <col min="26" max="26" width="8.7109375" style="51" customWidth="1"/>
    <col min="27" max="27" width="8.5703125" style="157" bestFit="1" customWidth="1"/>
    <col min="28" max="28" width="8.5703125" style="157" customWidth="1"/>
    <col min="29" max="29" width="8.5703125" style="51" bestFit="1" customWidth="1"/>
    <col min="30" max="30" width="4.85546875" style="51" customWidth="1"/>
    <col min="31" max="31" width="8.5703125" style="51" bestFit="1" customWidth="1"/>
    <col min="32" max="32" width="8.7109375" style="51" bestFit="1" customWidth="1"/>
    <col min="33" max="33" width="8.5703125" style="157" bestFit="1" customWidth="1"/>
    <col min="34" max="34" width="8.5703125" style="51" bestFit="1" customWidth="1"/>
    <col min="35" max="35" width="4.42578125" style="51" customWidth="1"/>
    <col min="36" max="36" width="8.5703125" style="51" bestFit="1" customWidth="1"/>
    <col min="37" max="37" width="8.7109375" style="51" bestFit="1" customWidth="1"/>
    <col min="38" max="38" width="8.5703125" style="157" bestFit="1" customWidth="1"/>
    <col min="39" max="39" width="8.5703125" style="51" bestFit="1" customWidth="1"/>
    <col min="40" max="40" width="4.42578125" style="51" customWidth="1"/>
    <col min="41" max="41" width="8.5703125" style="51" bestFit="1" customWidth="1"/>
    <col min="42" max="42" width="8.7109375" style="51" bestFit="1" customWidth="1"/>
    <col min="43" max="43" width="8.5703125" style="157" bestFit="1" customWidth="1"/>
    <col min="44" max="44" width="10.140625" style="51" customWidth="1"/>
    <col min="45" max="45" width="4.42578125" style="51" customWidth="1"/>
    <col min="46" max="49" width="10.140625" style="51" customWidth="1"/>
    <col min="50" max="50" width="4.42578125" style="51" customWidth="1"/>
    <col min="51" max="54" width="10.140625" style="51" customWidth="1"/>
    <col min="55" max="55" width="4.42578125" style="51" customWidth="1"/>
    <col min="56" max="59" width="10.140625" style="51" customWidth="1"/>
    <col min="60" max="60" width="1.42578125" style="51" customWidth="1"/>
    <col min="61" max="61" width="10.140625" style="51" hidden="1" customWidth="1"/>
    <col min="62" max="65" width="10.140625" style="51" customWidth="1"/>
    <col min="66" max="66" width="1.28515625" style="51" customWidth="1"/>
    <col min="67" max="67" width="10.140625" style="51" customWidth="1"/>
    <col min="68" max="16384" width="13" style="51"/>
  </cols>
  <sheetData>
    <row r="1" spans="2:69" ht="16.5" customHeight="1" x14ac:dyDescent="0.25">
      <c r="B1" s="357" t="s">
        <v>0</v>
      </c>
      <c r="C1" s="357"/>
      <c r="D1" s="357"/>
      <c r="E1" s="357"/>
      <c r="F1" s="357"/>
      <c r="G1" s="357"/>
      <c r="H1" s="357"/>
      <c r="I1" s="357"/>
    </row>
    <row r="2" spans="2:69" x14ac:dyDescent="0.25">
      <c r="B2" s="357" t="s">
        <v>192</v>
      </c>
      <c r="C2" s="357"/>
      <c r="D2" s="357"/>
      <c r="E2" s="357"/>
      <c r="F2" s="357"/>
      <c r="G2" s="357"/>
      <c r="H2" s="357"/>
      <c r="I2" s="357"/>
    </row>
    <row r="3" spans="2:69" ht="12.75" customHeight="1" x14ac:dyDescent="0.25">
      <c r="B3" s="372" t="s">
        <v>193</v>
      </c>
      <c r="C3" s="372"/>
      <c r="D3" s="372"/>
      <c r="E3" s="372"/>
      <c r="F3" s="372"/>
      <c r="G3" s="372"/>
      <c r="H3" s="372"/>
      <c r="I3" s="372"/>
    </row>
    <row r="4" spans="2:69" ht="12.75" customHeight="1" x14ac:dyDescent="0.25">
      <c r="B4" s="53"/>
      <c r="C4" s="53"/>
      <c r="D4" s="53"/>
      <c r="E4" s="53"/>
      <c r="F4" s="53"/>
    </row>
    <row r="5" spans="2:69" ht="12.75" customHeight="1" thickBot="1" x14ac:dyDescent="0.3">
      <c r="B5" s="53"/>
      <c r="C5" s="53"/>
      <c r="D5" s="53"/>
      <c r="E5" s="53"/>
      <c r="F5" s="53"/>
      <c r="Z5" s="157"/>
      <c r="AF5" s="157"/>
      <c r="AK5" s="157"/>
      <c r="AP5" s="157"/>
      <c r="BI5" s="2"/>
      <c r="BJ5" s="2"/>
      <c r="BK5" s="2"/>
      <c r="BL5" s="2"/>
      <c r="BM5" s="2"/>
      <c r="BN5" s="2"/>
      <c r="BO5" s="2"/>
    </row>
    <row r="6" spans="2:69" ht="23.25" customHeight="1" thickTop="1" thickBot="1" x14ac:dyDescent="0.3">
      <c r="B6" s="53"/>
      <c r="C6" s="373" t="s">
        <v>3</v>
      </c>
      <c r="D6" s="374"/>
      <c r="E6" s="374"/>
      <c r="F6" s="375"/>
      <c r="G6" s="2"/>
      <c r="H6" s="373" t="s">
        <v>4</v>
      </c>
      <c r="I6" s="374"/>
      <c r="J6" s="374"/>
      <c r="K6" s="374"/>
      <c r="L6" s="375"/>
      <c r="N6" s="369" t="s">
        <v>5</v>
      </c>
      <c r="O6" s="370"/>
      <c r="P6" s="370"/>
      <c r="Q6" s="370"/>
      <c r="R6" s="370"/>
      <c r="S6" s="370"/>
      <c r="T6" s="370"/>
      <c r="U6" s="371"/>
      <c r="W6" s="360" t="s">
        <v>6</v>
      </c>
      <c r="X6" s="361"/>
      <c r="Y6" s="361"/>
      <c r="Z6" s="361"/>
      <c r="AA6" s="361"/>
      <c r="AB6" s="361"/>
      <c r="AC6" s="362"/>
      <c r="AE6" s="360" t="s">
        <v>7</v>
      </c>
      <c r="AF6" s="361"/>
      <c r="AG6" s="361"/>
      <c r="AH6" s="362"/>
      <c r="AJ6" s="360" t="s">
        <v>8</v>
      </c>
      <c r="AK6" s="361"/>
      <c r="AL6" s="361"/>
      <c r="AM6" s="362"/>
      <c r="AO6" s="360" t="s">
        <v>71</v>
      </c>
      <c r="AP6" s="361"/>
      <c r="AQ6" s="361"/>
      <c r="AR6" s="362"/>
      <c r="AT6" s="360" t="s">
        <v>9</v>
      </c>
      <c r="AU6" s="361"/>
      <c r="AV6" s="361"/>
      <c r="AW6" s="362"/>
      <c r="AX6" s="6"/>
      <c r="AY6" s="345" t="s">
        <v>182</v>
      </c>
      <c r="AZ6" s="346"/>
      <c r="BA6" s="346"/>
      <c r="BB6" s="346"/>
      <c r="BC6" s="6"/>
      <c r="BD6" s="346" t="s">
        <v>305</v>
      </c>
      <c r="BE6" s="346"/>
      <c r="BF6" s="346"/>
      <c r="BG6" s="346"/>
      <c r="BH6" s="6"/>
      <c r="BI6" s="345" t="s">
        <v>322</v>
      </c>
      <c r="BJ6" s="346"/>
      <c r="BK6" s="346"/>
      <c r="BL6" s="346"/>
      <c r="BM6" s="346"/>
      <c r="BN6" s="6"/>
      <c r="BO6" s="4" t="s">
        <v>351</v>
      </c>
    </row>
    <row r="7" spans="2:69" ht="5.25" customHeight="1" thickTop="1" thickBot="1" x14ac:dyDescent="0.3">
      <c r="B7" s="99"/>
      <c r="C7" s="55"/>
      <c r="D7" s="55"/>
      <c r="E7" s="55"/>
      <c r="F7" s="55"/>
      <c r="G7" s="55"/>
      <c r="H7" s="55"/>
      <c r="I7" s="55"/>
      <c r="N7" s="55"/>
      <c r="O7" s="55"/>
      <c r="AV7" s="157"/>
    </row>
    <row r="8" spans="2:69" ht="36.75" customHeight="1" thickTop="1" thickBot="1" x14ac:dyDescent="0.3">
      <c r="C8" s="7" t="s">
        <v>72</v>
      </c>
      <c r="D8" s="7" t="s">
        <v>73</v>
      </c>
      <c r="E8" s="7" t="s">
        <v>74</v>
      </c>
      <c r="F8" s="7" t="s">
        <v>75</v>
      </c>
      <c r="H8" s="7" t="s">
        <v>76</v>
      </c>
      <c r="I8" s="7" t="s">
        <v>77</v>
      </c>
      <c r="J8" s="7" t="s">
        <v>78</v>
      </c>
      <c r="K8" s="7" t="s">
        <v>79</v>
      </c>
      <c r="L8" s="7" t="s">
        <v>80</v>
      </c>
      <c r="N8" s="7" t="s">
        <v>81</v>
      </c>
      <c r="O8" s="7" t="s">
        <v>82</v>
      </c>
      <c r="P8" s="7" t="s">
        <v>83</v>
      </c>
      <c r="Q8" s="7" t="s">
        <v>194</v>
      </c>
      <c r="R8" s="7" t="s">
        <v>85</v>
      </c>
      <c r="S8" s="7" t="s">
        <v>195</v>
      </c>
      <c r="T8" s="131" t="s">
        <v>87</v>
      </c>
      <c r="U8" s="131" t="s">
        <v>196</v>
      </c>
      <c r="W8" s="7" t="s">
        <v>89</v>
      </c>
      <c r="X8" s="7" t="s">
        <v>197</v>
      </c>
      <c r="Y8" s="131" t="s">
        <v>91</v>
      </c>
      <c r="Z8" s="131" t="s">
        <v>198</v>
      </c>
      <c r="AA8" s="131" t="s">
        <v>93</v>
      </c>
      <c r="AB8" s="131" t="s">
        <v>199</v>
      </c>
      <c r="AC8" s="131" t="s">
        <v>95</v>
      </c>
      <c r="AE8" s="7" t="s">
        <v>97</v>
      </c>
      <c r="AF8" s="131" t="s">
        <v>99</v>
      </c>
      <c r="AG8" s="131" t="s">
        <v>101</v>
      </c>
      <c r="AH8" s="131" t="s">
        <v>103</v>
      </c>
      <c r="AJ8" s="7" t="s">
        <v>105</v>
      </c>
      <c r="AK8" s="131" t="s">
        <v>200</v>
      </c>
      <c r="AL8" s="131" t="s">
        <v>201</v>
      </c>
      <c r="AM8" s="131" t="s">
        <v>202</v>
      </c>
      <c r="AO8" s="7" t="s">
        <v>203</v>
      </c>
      <c r="AP8" s="131" t="s">
        <v>204</v>
      </c>
      <c r="AQ8" s="131" t="s">
        <v>205</v>
      </c>
      <c r="AR8" s="131" t="s">
        <v>206</v>
      </c>
      <c r="AT8" s="7" t="s">
        <v>207</v>
      </c>
      <c r="AU8" s="131" t="s">
        <v>208</v>
      </c>
      <c r="AV8" s="131" t="s">
        <v>209</v>
      </c>
      <c r="AW8" s="131" t="s">
        <v>210</v>
      </c>
      <c r="AX8" s="8"/>
      <c r="AY8" s="7" t="s">
        <v>211</v>
      </c>
      <c r="AZ8" s="131" t="s">
        <v>212</v>
      </c>
      <c r="BA8" s="131" t="s">
        <v>213</v>
      </c>
      <c r="BB8" s="131" t="s">
        <v>297</v>
      </c>
      <c r="BC8" s="8"/>
      <c r="BD8" s="7" t="s">
        <v>323</v>
      </c>
      <c r="BE8" s="7" t="s">
        <v>324</v>
      </c>
      <c r="BF8" s="7" t="s">
        <v>325</v>
      </c>
      <c r="BG8" s="131" t="s">
        <v>320</v>
      </c>
      <c r="BH8" s="8"/>
      <c r="BI8" s="7" t="s">
        <v>353</v>
      </c>
      <c r="BJ8" s="7" t="s">
        <v>352</v>
      </c>
      <c r="BK8" s="7" t="s">
        <v>354</v>
      </c>
      <c r="BL8" s="7" t="s">
        <v>355</v>
      </c>
      <c r="BM8" s="7" t="s">
        <v>332</v>
      </c>
      <c r="BN8" s="8"/>
      <c r="BO8" s="7" t="s">
        <v>356</v>
      </c>
    </row>
    <row r="9" spans="2:69" ht="9.75" customHeight="1" thickTop="1" x14ac:dyDescent="0.25"/>
    <row r="10" spans="2:69" ht="16.5" customHeight="1" x14ac:dyDescent="0.25">
      <c r="B10" s="56" t="s">
        <v>243</v>
      </c>
      <c r="C10" s="158">
        <f>SUM(C12:C14)</f>
        <v>235101</v>
      </c>
      <c r="D10" s="158">
        <f>SUM(D12:D14)</f>
        <v>209590</v>
      </c>
      <c r="E10" s="158">
        <f>SUM(E12:E14)</f>
        <v>117690</v>
      </c>
      <c r="F10" s="158">
        <f>SUM(F12:F14)</f>
        <v>73531</v>
      </c>
      <c r="G10" s="159"/>
      <c r="H10" s="158">
        <f>SUM(H12:H14)</f>
        <v>125842</v>
      </c>
      <c r="I10" s="158">
        <f>SUM(I12:I14)</f>
        <v>170893</v>
      </c>
      <c r="J10" s="158">
        <f>SUM(J12:J14)</f>
        <v>695413</v>
      </c>
      <c r="K10" s="158">
        <f>SUM(K12:K14)</f>
        <v>104633</v>
      </c>
      <c r="L10" s="158">
        <f>SUM(L12:L14)</f>
        <v>152209</v>
      </c>
      <c r="N10" s="158">
        <f t="shared" ref="N10:U10" si="0">SUM(N12:N14)</f>
        <v>167794</v>
      </c>
      <c r="O10" s="158">
        <f t="shared" si="0"/>
        <v>161658</v>
      </c>
      <c r="P10" s="158">
        <f t="shared" si="0"/>
        <v>114531</v>
      </c>
      <c r="Q10" s="158">
        <f t="shared" si="0"/>
        <v>120347</v>
      </c>
      <c r="R10" s="158">
        <f t="shared" si="0"/>
        <v>192922</v>
      </c>
      <c r="S10" s="158">
        <f t="shared" si="0"/>
        <v>213722</v>
      </c>
      <c r="T10" s="158">
        <f t="shared" si="0"/>
        <v>622176</v>
      </c>
      <c r="U10" s="158">
        <f t="shared" si="0"/>
        <v>615759</v>
      </c>
      <c r="W10" s="158">
        <f t="shared" ref="W10:AC10" si="1">SUM(W12:W14)</f>
        <v>175924</v>
      </c>
      <c r="X10" s="158">
        <f t="shared" si="1"/>
        <v>178603</v>
      </c>
      <c r="Y10" s="158">
        <f t="shared" si="1"/>
        <v>211148</v>
      </c>
      <c r="Z10" s="158">
        <f t="shared" si="1"/>
        <v>212572</v>
      </c>
      <c r="AA10" s="158">
        <f t="shared" si="1"/>
        <v>754550</v>
      </c>
      <c r="AB10" s="158">
        <f t="shared" si="1"/>
        <v>754879</v>
      </c>
      <c r="AC10" s="158">
        <f t="shared" si="1"/>
        <v>48575</v>
      </c>
      <c r="AD10" s="119"/>
      <c r="AE10" s="158">
        <f t="shared" ref="AE10:AH10" si="2">SUM(AE12:AE14)</f>
        <v>851032</v>
      </c>
      <c r="AF10" s="158">
        <f t="shared" si="2"/>
        <v>98531</v>
      </c>
      <c r="AG10" s="158">
        <f t="shared" si="2"/>
        <v>246268</v>
      </c>
      <c r="AH10" s="158">
        <f t="shared" si="2"/>
        <v>183871</v>
      </c>
      <c r="AI10" s="119"/>
      <c r="AJ10" s="158">
        <f t="shared" ref="AJ10:AM10" si="3">SUM(AJ12:AJ14)</f>
        <v>307663</v>
      </c>
      <c r="AK10" s="158">
        <f t="shared" si="3"/>
        <v>96284</v>
      </c>
      <c r="AL10" s="158">
        <f t="shared" si="3"/>
        <v>256360</v>
      </c>
      <c r="AM10" s="158">
        <f t="shared" si="3"/>
        <v>185302</v>
      </c>
      <c r="AN10" s="119"/>
      <c r="AO10" s="158">
        <f t="shared" ref="AO10:AQ10" si="4">SUM(AO12:AO14)</f>
        <v>200250</v>
      </c>
      <c r="AP10" s="158">
        <f t="shared" si="4"/>
        <v>28378</v>
      </c>
      <c r="AQ10" s="158">
        <f t="shared" si="4"/>
        <v>24164</v>
      </c>
      <c r="AR10" s="158">
        <f>SUM(AR12:AR14)</f>
        <v>3515</v>
      </c>
      <c r="AS10" s="119"/>
      <c r="AT10" s="158">
        <f t="shared" ref="AT10:AV10" si="5">SUM(AT12:AT14)</f>
        <v>189150</v>
      </c>
      <c r="AU10" s="158">
        <f t="shared" si="5"/>
        <v>219482</v>
      </c>
      <c r="AV10" s="158">
        <f t="shared" si="5"/>
        <v>170941</v>
      </c>
      <c r="AW10" s="158">
        <f>SUM(AW12:AW14)</f>
        <v>73187</v>
      </c>
      <c r="AX10" s="71"/>
      <c r="AY10" s="158">
        <f t="shared" ref="AY10:BA10" si="6">SUM(AY12:AY14)</f>
        <v>284711</v>
      </c>
      <c r="AZ10" s="158">
        <f t="shared" si="6"/>
        <v>172052</v>
      </c>
      <c r="BA10" s="158">
        <f t="shared" si="6"/>
        <v>166310</v>
      </c>
      <c r="BB10" s="158">
        <f>SUM(BB12:BB14)</f>
        <v>156113</v>
      </c>
      <c r="BC10" s="71"/>
      <c r="BD10" s="158">
        <f t="shared" ref="BD10" si="7">SUM(BD12:BD14)</f>
        <v>429027</v>
      </c>
      <c r="BE10" s="158">
        <f t="shared" ref="BE10" si="8">SUM(BE12:BE14)</f>
        <v>555170</v>
      </c>
      <c r="BF10" s="158">
        <f t="shared" ref="BF10" si="9">SUM(BF12:BF14)</f>
        <v>269786</v>
      </c>
      <c r="BG10" s="158">
        <f>SUM(BG12:BG14)</f>
        <v>173233</v>
      </c>
      <c r="BH10" s="71"/>
      <c r="BI10" s="71">
        <f t="shared" ref="BI10:BJ10" si="10">SUM(BI12:BI14)</f>
        <v>2973161</v>
      </c>
      <c r="BJ10" s="71">
        <f t="shared" si="10"/>
        <v>2740644</v>
      </c>
      <c r="BK10" s="158">
        <f t="shared" ref="BK10:BL10" si="11">SUM(BK12:BK14)</f>
        <v>218159</v>
      </c>
      <c r="BL10" s="158">
        <f t="shared" si="11"/>
        <v>217675</v>
      </c>
      <c r="BM10" s="158">
        <f>SUM(BM12:BM14)</f>
        <v>126665</v>
      </c>
      <c r="BN10" s="71"/>
      <c r="BO10" s="158">
        <f>SUM(BO12:BO14)</f>
        <v>1355575</v>
      </c>
      <c r="BP10" s="288" t="e">
        <f>+BO10-#REF!</f>
        <v>#REF!</v>
      </c>
      <c r="BQ10" s="122" t="e">
        <f>BJ10-#REF!</f>
        <v>#REF!</v>
      </c>
    </row>
    <row r="11" spans="2:69" s="163" customFormat="1" ht="15.75" hidden="1" customHeight="1" x14ac:dyDescent="0.25">
      <c r="B11" s="160" t="s">
        <v>35</v>
      </c>
      <c r="C11" s="161">
        <v>116</v>
      </c>
      <c r="D11" s="161">
        <v>113.54</v>
      </c>
      <c r="E11" s="161">
        <v>61.74</v>
      </c>
      <c r="F11" s="161">
        <v>32.630000000000003</v>
      </c>
      <c r="G11" s="162"/>
      <c r="H11" s="161">
        <v>47.65</v>
      </c>
      <c r="I11" s="161">
        <v>68.72</v>
      </c>
      <c r="J11" s="161">
        <v>230.82</v>
      </c>
      <c r="K11" s="161">
        <f>36.15-(3726/3244.51)</f>
        <v>35.001598546467726</v>
      </c>
      <c r="L11" s="161">
        <v>-347.18999999999994</v>
      </c>
      <c r="N11" s="161">
        <v>47.65</v>
      </c>
      <c r="O11" s="161">
        <v>47.65</v>
      </c>
      <c r="P11" s="161">
        <v>47.65</v>
      </c>
      <c r="Q11" s="161"/>
      <c r="R11" s="161">
        <v>47.65</v>
      </c>
      <c r="S11" s="161"/>
      <c r="T11" s="161">
        <v>47.65</v>
      </c>
      <c r="U11" s="161">
        <v>47.65</v>
      </c>
      <c r="W11" s="161">
        <v>47.65</v>
      </c>
      <c r="X11" s="161">
        <v>47.65</v>
      </c>
      <c r="AD11" s="119"/>
      <c r="AE11" s="161">
        <v>47.65</v>
      </c>
      <c r="AJ11" s="161">
        <v>47.65</v>
      </c>
      <c r="AO11" s="161">
        <v>47.65</v>
      </c>
      <c r="AT11" s="161">
        <v>47.65</v>
      </c>
      <c r="AY11" s="161">
        <v>47.65</v>
      </c>
      <c r="BD11" s="161"/>
      <c r="BI11" s="176"/>
      <c r="BJ11" s="176"/>
      <c r="BP11" s="164"/>
      <c r="BQ11" s="164"/>
    </row>
    <row r="12" spans="2:69" ht="16.5" customHeight="1" x14ac:dyDescent="0.25">
      <c r="B12" s="64" t="s">
        <v>123</v>
      </c>
      <c r="C12" s="119">
        <v>129401</v>
      </c>
      <c r="D12" s="119">
        <v>100450</v>
      </c>
      <c r="E12" s="119">
        <v>80766</v>
      </c>
      <c r="F12" s="119">
        <f>31086-61+1</f>
        <v>31026</v>
      </c>
      <c r="H12" s="119">
        <v>106670</v>
      </c>
      <c r="I12" s="119">
        <v>88091</v>
      </c>
      <c r="J12" s="119">
        <v>602770</v>
      </c>
      <c r="K12" s="119">
        <v>536</v>
      </c>
      <c r="L12" s="119">
        <v>536</v>
      </c>
      <c r="N12" s="119">
        <v>88813</v>
      </c>
      <c r="O12" s="119">
        <v>88813</v>
      </c>
      <c r="P12" s="119">
        <v>77</v>
      </c>
      <c r="Q12" s="119">
        <v>77</v>
      </c>
      <c r="R12" s="119">
        <v>85637</v>
      </c>
      <c r="S12" s="119">
        <v>85637</v>
      </c>
      <c r="T12" s="119">
        <v>369974</v>
      </c>
      <c r="U12" s="119">
        <v>369974</v>
      </c>
      <c r="W12" s="119">
        <v>87695</v>
      </c>
      <c r="X12" s="119">
        <v>87695</v>
      </c>
      <c r="Y12" s="165">
        <v>66801</v>
      </c>
      <c r="Z12" s="165">
        <v>66802</v>
      </c>
      <c r="AA12" s="119">
        <v>505036</v>
      </c>
      <c r="AB12" s="119">
        <f>505036-1</f>
        <v>505035</v>
      </c>
      <c r="AC12" s="165">
        <v>0</v>
      </c>
      <c r="AD12" s="119"/>
      <c r="AE12" s="119">
        <v>748656</v>
      </c>
      <c r="AF12" s="165">
        <v>0</v>
      </c>
      <c r="AG12" s="165">
        <v>0</v>
      </c>
      <c r="AH12" s="165">
        <v>2807</v>
      </c>
      <c r="AI12" s="119"/>
      <c r="AJ12" s="119">
        <v>222023</v>
      </c>
      <c r="AK12" s="165">
        <v>0</v>
      </c>
      <c r="AL12" s="165">
        <v>0</v>
      </c>
      <c r="AM12" s="165">
        <v>0</v>
      </c>
      <c r="AN12" s="119"/>
      <c r="AO12" s="119">
        <v>148038</v>
      </c>
      <c r="AP12" s="165">
        <v>49</v>
      </c>
      <c r="AQ12" s="165">
        <v>835</v>
      </c>
      <c r="AR12" s="165">
        <v>-835</v>
      </c>
      <c r="AS12" s="119"/>
      <c r="AT12" s="119">
        <v>110035</v>
      </c>
      <c r="AU12" s="165">
        <v>1194</v>
      </c>
      <c r="AV12" s="165">
        <v>0</v>
      </c>
      <c r="AW12" s="165">
        <v>10</v>
      </c>
      <c r="AX12" s="166"/>
      <c r="AY12" s="119">
        <v>142382</v>
      </c>
      <c r="AZ12" s="165">
        <v>72</v>
      </c>
      <c r="BA12" s="165">
        <v>0</v>
      </c>
      <c r="BB12" s="165">
        <v>0</v>
      </c>
      <c r="BC12" s="166"/>
      <c r="BD12" s="119">
        <v>223757</v>
      </c>
      <c r="BE12" s="165">
        <v>274588</v>
      </c>
      <c r="BF12" s="165">
        <v>0</v>
      </c>
      <c r="BG12" s="165">
        <v>119877</v>
      </c>
      <c r="BH12" s="166"/>
      <c r="BI12" s="166">
        <v>237406</v>
      </c>
      <c r="BJ12" s="166">
        <v>4889</v>
      </c>
      <c r="BK12" s="165">
        <v>22929</v>
      </c>
      <c r="BL12" s="165">
        <v>-1841</v>
      </c>
      <c r="BM12" s="165">
        <v>7229</v>
      </c>
      <c r="BN12" s="166"/>
      <c r="BO12" s="165">
        <v>7519</v>
      </c>
      <c r="BP12" s="288" t="e">
        <f>+BO12-#REF!</f>
        <v>#REF!</v>
      </c>
      <c r="BQ12" s="122" t="e">
        <f>BJ12-#REF!</f>
        <v>#REF!</v>
      </c>
    </row>
    <row r="13" spans="2:69" ht="16.5" customHeight="1" x14ac:dyDescent="0.25">
      <c r="B13" s="64" t="s">
        <v>124</v>
      </c>
      <c r="C13" s="119">
        <v>28577</v>
      </c>
      <c r="D13" s="119">
        <v>15304</v>
      </c>
      <c r="E13" s="119">
        <v>7054</v>
      </c>
      <c r="F13" s="119">
        <v>18409</v>
      </c>
      <c r="G13" s="56"/>
      <c r="H13" s="119">
        <f>12337+1</f>
        <v>12338</v>
      </c>
      <c r="I13" s="119">
        <f>17460-1</f>
        <v>17459</v>
      </c>
      <c r="J13" s="119">
        <v>46930</v>
      </c>
      <c r="K13" s="119">
        <v>53873</v>
      </c>
      <c r="L13" s="119">
        <v>98620</v>
      </c>
      <c r="N13" s="119">
        <v>38513</v>
      </c>
      <c r="O13" s="119">
        <v>38513</v>
      </c>
      <c r="P13" s="119">
        <v>8075</v>
      </c>
      <c r="Q13" s="119">
        <v>8075</v>
      </c>
      <c r="R13" s="119">
        <v>29910</v>
      </c>
      <c r="S13" s="119">
        <v>29910</v>
      </c>
      <c r="T13" s="119">
        <v>123584</v>
      </c>
      <c r="U13" s="119">
        <f>123584+7228</f>
        <v>130812</v>
      </c>
      <c r="W13" s="119">
        <v>2628</v>
      </c>
      <c r="X13" s="119">
        <v>2680</v>
      </c>
      <c r="Y13" s="165">
        <v>43623</v>
      </c>
      <c r="Z13" s="165">
        <f>43623+528</f>
        <v>44151</v>
      </c>
      <c r="AA13" s="119">
        <v>174327</v>
      </c>
      <c r="AB13" s="119">
        <f>174327+5135</f>
        <v>179462</v>
      </c>
      <c r="AC13" s="119">
        <v>39876</v>
      </c>
      <c r="AD13" s="119"/>
      <c r="AE13" s="119">
        <v>26678</v>
      </c>
      <c r="AF13" s="165">
        <v>29779</v>
      </c>
      <c r="AG13" s="165">
        <v>30591</v>
      </c>
      <c r="AH13" s="165">
        <v>105122</v>
      </c>
      <c r="AI13" s="119"/>
      <c r="AJ13" s="119">
        <v>29099</v>
      </c>
      <c r="AK13" s="165">
        <v>30889</v>
      </c>
      <c r="AL13" s="165">
        <v>43447</v>
      </c>
      <c r="AM13" s="165">
        <v>86250</v>
      </c>
      <c r="AN13" s="119"/>
      <c r="AO13" s="119">
        <v>38335</v>
      </c>
      <c r="AP13" s="165">
        <v>46479</v>
      </c>
      <c r="AQ13" s="165">
        <v>13191</v>
      </c>
      <c r="AR13" s="165">
        <v>44139</v>
      </c>
      <c r="AS13" s="119"/>
      <c r="AT13" s="119">
        <v>29032</v>
      </c>
      <c r="AU13" s="165">
        <v>111698</v>
      </c>
      <c r="AV13" s="165">
        <v>42829</v>
      </c>
      <c r="AW13" s="165">
        <v>54925</v>
      </c>
      <c r="AX13" s="166"/>
      <c r="AY13" s="119">
        <v>75266</v>
      </c>
      <c r="AZ13" s="165">
        <v>89821</v>
      </c>
      <c r="BA13" s="165">
        <v>35219</v>
      </c>
      <c r="BB13" s="165">
        <v>98545</v>
      </c>
      <c r="BC13" s="166"/>
      <c r="BD13" s="119">
        <v>115264</v>
      </c>
      <c r="BE13" s="165">
        <v>47454</v>
      </c>
      <c r="BF13" s="165">
        <v>75740</v>
      </c>
      <c r="BG13" s="165">
        <v>68322</v>
      </c>
      <c r="BH13" s="166"/>
      <c r="BI13" s="166">
        <v>-38862</v>
      </c>
      <c r="BJ13" s="166">
        <v>-38862</v>
      </c>
      <c r="BK13" s="165">
        <v>62113</v>
      </c>
      <c r="BL13" s="165">
        <v>46840</v>
      </c>
      <c r="BM13" s="165">
        <v>119098</v>
      </c>
      <c r="BN13" s="166"/>
      <c r="BO13" s="165">
        <v>63412</v>
      </c>
      <c r="BP13" s="288" t="e">
        <f>+BO13-#REF!</f>
        <v>#REF!</v>
      </c>
      <c r="BQ13" s="122" t="e">
        <f>BJ13-#REF!</f>
        <v>#REF!</v>
      </c>
    </row>
    <row r="14" spans="2:69" ht="12.75" x14ac:dyDescent="0.25">
      <c r="B14" s="64" t="s">
        <v>214</v>
      </c>
      <c r="C14" s="119">
        <v>77123</v>
      </c>
      <c r="D14" s="119">
        <v>93836</v>
      </c>
      <c r="E14" s="119">
        <v>29870</v>
      </c>
      <c r="F14" s="119">
        <v>24096</v>
      </c>
      <c r="H14" s="119">
        <f>6835-1</f>
        <v>6834</v>
      </c>
      <c r="I14" s="119">
        <f>65342+1</f>
        <v>65343</v>
      </c>
      <c r="J14" s="119">
        <v>45713</v>
      </c>
      <c r="K14" s="119">
        <f>53950-3726</f>
        <v>50224</v>
      </c>
      <c r="L14" s="119">
        <v>53053</v>
      </c>
      <c r="N14" s="119">
        <v>40468</v>
      </c>
      <c r="O14" s="119">
        <v>34332</v>
      </c>
      <c r="P14" s="119">
        <v>106379</v>
      </c>
      <c r="Q14" s="119">
        <v>112195</v>
      </c>
      <c r="R14" s="119">
        <v>77375</v>
      </c>
      <c r="S14" s="119">
        <v>98175</v>
      </c>
      <c r="T14" s="119">
        <v>128618</v>
      </c>
      <c r="U14" s="119">
        <f>108138-1229-4483+12547</f>
        <v>114973</v>
      </c>
      <c r="W14" s="119">
        <v>85601</v>
      </c>
      <c r="X14" s="119">
        <v>88228</v>
      </c>
      <c r="Y14" s="165">
        <v>100724</v>
      </c>
      <c r="Z14" s="165">
        <f>100724+895</f>
        <v>101619</v>
      </c>
      <c r="AA14" s="119">
        <v>75187</v>
      </c>
      <c r="AB14" s="119">
        <f>75187-4805</f>
        <v>70382</v>
      </c>
      <c r="AC14" s="119">
        <v>8699</v>
      </c>
      <c r="AD14" s="119"/>
      <c r="AE14" s="119">
        <v>75698</v>
      </c>
      <c r="AF14" s="165">
        <v>68752</v>
      </c>
      <c r="AG14" s="165">
        <f>198108+17569</f>
        <v>215677</v>
      </c>
      <c r="AH14" s="165">
        <v>75942</v>
      </c>
      <c r="AI14" s="119"/>
      <c r="AJ14" s="119">
        <v>56541</v>
      </c>
      <c r="AK14" s="165">
        <v>65395</v>
      </c>
      <c r="AL14" s="165">
        <v>212913</v>
      </c>
      <c r="AM14" s="166">
        <f>99053-1</f>
        <v>99052</v>
      </c>
      <c r="AN14" s="119"/>
      <c r="AO14" s="119">
        <v>13877</v>
      </c>
      <c r="AP14" s="166">
        <v>-18150</v>
      </c>
      <c r="AQ14" s="166">
        <v>10138</v>
      </c>
      <c r="AR14" s="166">
        <f>-48101+555+4929+2828</f>
        <v>-39789</v>
      </c>
      <c r="AS14" s="119"/>
      <c r="AT14" s="119">
        <v>50083</v>
      </c>
      <c r="AU14" s="166">
        <v>106590</v>
      </c>
      <c r="AV14" s="166">
        <v>128112</v>
      </c>
      <c r="AW14" s="166">
        <v>18252</v>
      </c>
      <c r="AX14" s="166"/>
      <c r="AY14" s="119">
        <v>67063</v>
      </c>
      <c r="AZ14" s="166">
        <v>82159</v>
      </c>
      <c r="BA14" s="166">
        <v>131091</v>
      </c>
      <c r="BB14" s="166">
        <v>57568</v>
      </c>
      <c r="BC14" s="166"/>
      <c r="BD14" s="119">
        <v>90006</v>
      </c>
      <c r="BE14" s="166">
        <v>233128</v>
      </c>
      <c r="BF14" s="166">
        <v>194046</v>
      </c>
      <c r="BG14" s="166">
        <v>-14966</v>
      </c>
      <c r="BH14" s="166"/>
      <c r="BI14" s="166">
        <v>2774617</v>
      </c>
      <c r="BJ14" s="166">
        <v>2774617</v>
      </c>
      <c r="BK14" s="166">
        <v>133117</v>
      </c>
      <c r="BL14" s="166">
        <v>172676</v>
      </c>
      <c r="BM14" s="166">
        <v>338</v>
      </c>
      <c r="BN14" s="166"/>
      <c r="BO14" s="166">
        <v>1284644</v>
      </c>
      <c r="BP14" s="288" t="e">
        <f>+BO14-#REF!</f>
        <v>#REF!</v>
      </c>
      <c r="BQ14" s="122" t="e">
        <f>BJ14-#REF!</f>
        <v>#REF!</v>
      </c>
    </row>
    <row r="15" spans="2:69" ht="8.25" customHeight="1" x14ac:dyDescent="0.25">
      <c r="C15" s="167"/>
      <c r="D15" s="167"/>
      <c r="E15" s="167"/>
      <c r="F15" s="167"/>
      <c r="H15" s="167"/>
      <c r="I15" s="167"/>
      <c r="J15" s="167"/>
      <c r="K15" s="167"/>
      <c r="L15" s="167"/>
      <c r="N15" s="167"/>
      <c r="O15" s="167"/>
      <c r="P15" s="167"/>
      <c r="Q15" s="167"/>
      <c r="R15" s="167"/>
      <c r="S15" s="167"/>
      <c r="T15" s="167"/>
      <c r="U15" s="167"/>
      <c r="W15" s="167"/>
      <c r="X15" s="167"/>
      <c r="AC15" s="165"/>
      <c r="AD15" s="119"/>
      <c r="AE15" s="167"/>
      <c r="AF15" s="165"/>
      <c r="AG15" s="165"/>
      <c r="AH15" s="165"/>
      <c r="AI15" s="119"/>
      <c r="AJ15" s="167"/>
      <c r="AK15" s="165"/>
      <c r="AL15" s="165"/>
      <c r="AM15" s="165"/>
      <c r="AN15" s="119"/>
      <c r="AO15" s="167"/>
      <c r="AP15" s="165"/>
      <c r="AQ15" s="165"/>
      <c r="AR15" s="165"/>
      <c r="AS15" s="119"/>
      <c r="AT15" s="167"/>
      <c r="AU15" s="165"/>
      <c r="AV15" s="165"/>
      <c r="AW15" s="165"/>
      <c r="AX15" s="166"/>
      <c r="AY15" s="167"/>
      <c r="AZ15" s="165"/>
      <c r="BA15" s="165"/>
      <c r="BB15" s="165"/>
      <c r="BC15" s="166"/>
      <c r="BD15" s="167"/>
      <c r="BE15" s="165"/>
      <c r="BF15" s="165"/>
      <c r="BG15" s="165"/>
      <c r="BH15" s="166"/>
      <c r="BI15" s="167"/>
      <c r="BJ15" s="167"/>
      <c r="BK15" s="165"/>
      <c r="BL15" s="165"/>
      <c r="BM15" s="165"/>
      <c r="BN15" s="166"/>
      <c r="BO15" s="165"/>
      <c r="BP15" s="122"/>
      <c r="BQ15" s="122"/>
    </row>
    <row r="16" spans="2:69" ht="16.5" customHeight="1" x14ac:dyDescent="0.25">
      <c r="B16" s="56" t="s">
        <v>127</v>
      </c>
      <c r="C16" s="71">
        <f>SUM(C17:C18)</f>
        <v>43387</v>
      </c>
      <c r="D16" s="71">
        <f>SUM(D17:D18)</f>
        <v>118045</v>
      </c>
      <c r="E16" s="71">
        <f>SUM(E17:E18)</f>
        <v>66308</v>
      </c>
      <c r="F16" s="71">
        <f>SUM(F17:F18)</f>
        <v>55712</v>
      </c>
      <c r="H16" s="71">
        <f>SUM(H17:H18)</f>
        <v>883</v>
      </c>
      <c r="I16" s="71">
        <f>SUM(I17:I18)</f>
        <v>45227</v>
      </c>
      <c r="J16" s="71">
        <f>SUM(J17:J18)</f>
        <v>331494</v>
      </c>
      <c r="K16" s="71">
        <f>SUM(K17:K18)</f>
        <v>92559</v>
      </c>
      <c r="L16" s="71">
        <f t="shared" ref="L16:U16" si="12">SUM(L17:L18)</f>
        <v>94234</v>
      </c>
      <c r="M16" s="71">
        <f t="shared" si="12"/>
        <v>0</v>
      </c>
      <c r="N16" s="71">
        <f t="shared" si="12"/>
        <v>2687</v>
      </c>
      <c r="O16" s="71">
        <f t="shared" si="12"/>
        <v>2687</v>
      </c>
      <c r="P16" s="71">
        <f t="shared" si="12"/>
        <v>67</v>
      </c>
      <c r="Q16" s="71">
        <f t="shared" si="12"/>
        <v>67</v>
      </c>
      <c r="R16" s="71">
        <f t="shared" si="12"/>
        <v>77774</v>
      </c>
      <c r="S16" s="71">
        <f t="shared" si="12"/>
        <v>77774</v>
      </c>
      <c r="T16" s="71">
        <f t="shared" si="12"/>
        <v>378153</v>
      </c>
      <c r="U16" s="71">
        <f t="shared" si="12"/>
        <v>378153</v>
      </c>
      <c r="W16" s="71">
        <f t="shared" ref="W16:AC16" si="13">SUM(W17:W18)</f>
        <v>492</v>
      </c>
      <c r="X16" s="71">
        <f t="shared" si="13"/>
        <v>492</v>
      </c>
      <c r="Y16" s="71">
        <f t="shared" si="13"/>
        <v>94127</v>
      </c>
      <c r="Z16" s="71">
        <f t="shared" si="13"/>
        <v>94127</v>
      </c>
      <c r="AA16" s="71">
        <f t="shared" si="13"/>
        <v>296662</v>
      </c>
      <c r="AB16" s="71">
        <f t="shared" si="13"/>
        <v>296662</v>
      </c>
      <c r="AC16" s="71">
        <f t="shared" si="13"/>
        <v>6252</v>
      </c>
      <c r="AD16" s="119"/>
      <c r="AE16" s="71">
        <f t="shared" ref="AE16:AH16" si="14">SUM(AE17:AE18)</f>
        <v>295651</v>
      </c>
      <c r="AF16" s="71">
        <f t="shared" si="14"/>
        <v>937</v>
      </c>
      <c r="AG16" s="71">
        <f t="shared" si="14"/>
        <v>811</v>
      </c>
      <c r="AH16" s="71">
        <f t="shared" si="14"/>
        <v>10997</v>
      </c>
      <c r="AI16" s="119"/>
      <c r="AJ16" s="71">
        <f t="shared" ref="AJ16:AM16" si="15">SUM(AJ17:AJ18)</f>
        <v>59008</v>
      </c>
      <c r="AK16" s="71">
        <f t="shared" si="15"/>
        <v>1000</v>
      </c>
      <c r="AL16" s="71">
        <f t="shared" si="15"/>
        <v>1652</v>
      </c>
      <c r="AM16" s="71">
        <f t="shared" si="15"/>
        <v>37820</v>
      </c>
      <c r="AN16" s="119"/>
      <c r="AO16" s="71">
        <f t="shared" ref="AO16:AR16" si="16">SUM(AO17:AO18)</f>
        <v>23386</v>
      </c>
      <c r="AP16" s="71">
        <f t="shared" si="16"/>
        <v>10243</v>
      </c>
      <c r="AQ16" s="71">
        <f t="shared" si="16"/>
        <v>1856</v>
      </c>
      <c r="AR16" s="71">
        <f t="shared" si="16"/>
        <v>19618</v>
      </c>
      <c r="AS16" s="119"/>
      <c r="AT16" s="71">
        <f t="shared" ref="AT16:AW16" si="17">SUM(AT17:AT18)</f>
        <v>1999</v>
      </c>
      <c r="AU16" s="71">
        <f t="shared" si="17"/>
        <v>60307</v>
      </c>
      <c r="AV16" s="71">
        <f t="shared" si="17"/>
        <v>15452</v>
      </c>
      <c r="AW16" s="71">
        <f t="shared" si="17"/>
        <v>25738</v>
      </c>
      <c r="AX16" s="71"/>
      <c r="AY16" s="71">
        <f t="shared" ref="AY16:BB16" si="18">SUM(AY17:AY18)</f>
        <v>22530</v>
      </c>
      <c r="AZ16" s="71">
        <f t="shared" si="18"/>
        <v>14721</v>
      </c>
      <c r="BA16" s="71">
        <f t="shared" si="18"/>
        <v>24046</v>
      </c>
      <c r="BB16" s="71">
        <f t="shared" si="18"/>
        <v>51658</v>
      </c>
      <c r="BC16" s="71"/>
      <c r="BD16" s="71">
        <f t="shared" ref="BD16" si="19">SUM(BD17:BD18)</f>
        <v>21750</v>
      </c>
      <c r="BE16" s="71">
        <f t="shared" ref="BE16:BG16" si="20">SUM(BE17:BE18)</f>
        <v>111418</v>
      </c>
      <c r="BF16" s="71">
        <f t="shared" si="20"/>
        <v>51725</v>
      </c>
      <c r="BG16" s="71">
        <f t="shared" si="20"/>
        <v>113946</v>
      </c>
      <c r="BH16" s="71"/>
      <c r="BI16" s="71">
        <f t="shared" ref="BI16:BJ16" si="21">SUM(BI17:BI18)</f>
        <v>16349</v>
      </c>
      <c r="BJ16" s="71">
        <f t="shared" si="21"/>
        <v>16349</v>
      </c>
      <c r="BK16" s="71">
        <f t="shared" ref="BK16:BL16" si="22">SUM(BK17:BK18)</f>
        <v>37622</v>
      </c>
      <c r="BL16" s="71">
        <f t="shared" si="22"/>
        <v>22583</v>
      </c>
      <c r="BM16" s="71">
        <f t="shared" ref="BM16:BO16" si="23">SUM(BM17:BM18)</f>
        <v>106995</v>
      </c>
      <c r="BN16" s="71"/>
      <c r="BO16" s="71">
        <f t="shared" si="23"/>
        <v>18364</v>
      </c>
      <c r="BP16" s="288" t="e">
        <f>+BO16-#REF!</f>
        <v>#REF!</v>
      </c>
      <c r="BQ16" s="122" t="e">
        <f>BJ16-#REF!</f>
        <v>#REF!</v>
      </c>
    </row>
    <row r="17" spans="2:70" ht="16.5" customHeight="1" x14ac:dyDescent="0.25">
      <c r="B17" s="64" t="s">
        <v>130</v>
      </c>
      <c r="C17" s="167">
        <v>32888</v>
      </c>
      <c r="D17" s="167">
        <v>116153</v>
      </c>
      <c r="E17" s="167">
        <v>65351</v>
      </c>
      <c r="F17" s="167">
        <v>41882</v>
      </c>
      <c r="H17" s="167"/>
      <c r="I17" s="167">
        <v>42075</v>
      </c>
      <c r="J17" s="167">
        <v>313850</v>
      </c>
      <c r="K17" s="167">
        <v>57364</v>
      </c>
      <c r="L17" s="167">
        <v>57365</v>
      </c>
      <c r="N17" s="68">
        <v>0</v>
      </c>
      <c r="O17" s="68">
        <v>0</v>
      </c>
      <c r="P17" s="167">
        <v>67</v>
      </c>
      <c r="Q17" s="167">
        <v>67</v>
      </c>
      <c r="R17" s="167">
        <v>77774</v>
      </c>
      <c r="S17" s="167">
        <v>77774</v>
      </c>
      <c r="T17" s="167">
        <v>357713</v>
      </c>
      <c r="U17" s="119">
        <v>357713</v>
      </c>
      <c r="W17" s="68">
        <v>0</v>
      </c>
      <c r="X17" s="68">
        <v>0</v>
      </c>
      <c r="Y17" s="165">
        <v>66801</v>
      </c>
      <c r="Z17" s="165">
        <v>66801</v>
      </c>
      <c r="AA17" s="119">
        <v>284261</v>
      </c>
      <c r="AB17" s="119">
        <v>284261</v>
      </c>
      <c r="AC17" s="168">
        <v>0</v>
      </c>
      <c r="AD17" s="119"/>
      <c r="AE17" s="68">
        <v>294773</v>
      </c>
      <c r="AF17" s="165">
        <v>0</v>
      </c>
      <c r="AG17" s="165">
        <v>0</v>
      </c>
      <c r="AH17" s="165">
        <v>382</v>
      </c>
      <c r="AI17" s="119"/>
      <c r="AJ17" s="68">
        <v>58454</v>
      </c>
      <c r="AK17" s="165">
        <v>0</v>
      </c>
      <c r="AL17" s="165">
        <v>0</v>
      </c>
      <c r="AM17" s="165">
        <v>0</v>
      </c>
      <c r="AN17" s="119"/>
      <c r="AO17" s="68">
        <v>22954</v>
      </c>
      <c r="AP17" s="165">
        <v>1</v>
      </c>
      <c r="AQ17" s="165">
        <v>835</v>
      </c>
      <c r="AR17" s="166">
        <v>-835</v>
      </c>
      <c r="AS17" s="119"/>
      <c r="AT17" s="68">
        <v>0</v>
      </c>
      <c r="AU17" s="165">
        <v>1148</v>
      </c>
      <c r="AV17" s="165"/>
      <c r="AW17" s="166">
        <v>0</v>
      </c>
      <c r="AX17" s="166"/>
      <c r="AY17" s="68">
        <v>0</v>
      </c>
      <c r="AZ17" s="165">
        <v>0</v>
      </c>
      <c r="BA17" s="165">
        <v>0</v>
      </c>
      <c r="BB17" s="166"/>
      <c r="BC17" s="166"/>
      <c r="BD17" s="68">
        <v>0</v>
      </c>
      <c r="BE17" s="165">
        <v>91327</v>
      </c>
      <c r="BF17" s="165">
        <v>0</v>
      </c>
      <c r="BG17" s="166">
        <v>46583</v>
      </c>
      <c r="BH17" s="166"/>
      <c r="BI17" s="68">
        <v>0</v>
      </c>
      <c r="BJ17" s="68">
        <v>0</v>
      </c>
      <c r="BK17" s="165">
        <v>13345</v>
      </c>
      <c r="BL17" s="165">
        <v>0</v>
      </c>
      <c r="BM17" s="165">
        <v>0</v>
      </c>
      <c r="BN17" s="166"/>
      <c r="BO17" s="165">
        <v>7490</v>
      </c>
      <c r="BP17" s="288" t="e">
        <f>+BO17-#REF!</f>
        <v>#REF!</v>
      </c>
      <c r="BQ17" s="122" t="e">
        <f>BJ17-#REF!</f>
        <v>#REF!</v>
      </c>
    </row>
    <row r="18" spans="2:70" ht="16.5" customHeight="1" x14ac:dyDescent="0.25">
      <c r="B18" s="64" t="s">
        <v>215</v>
      </c>
      <c r="C18" s="167">
        <v>10499</v>
      </c>
      <c r="D18" s="167">
        <v>1892</v>
      </c>
      <c r="E18" s="167">
        <v>957</v>
      </c>
      <c r="F18" s="167">
        <v>13830</v>
      </c>
      <c r="H18" s="167">
        <v>883</v>
      </c>
      <c r="I18" s="167">
        <v>3152</v>
      </c>
      <c r="J18" s="167">
        <v>17644</v>
      </c>
      <c r="K18" s="167">
        <v>35195</v>
      </c>
      <c r="L18" s="167">
        <v>36869</v>
      </c>
      <c r="N18" s="167">
        <v>2687</v>
      </c>
      <c r="O18" s="167">
        <v>2687</v>
      </c>
      <c r="P18" s="68">
        <v>0</v>
      </c>
      <c r="Q18" s="68">
        <v>0</v>
      </c>
      <c r="R18" s="68">
        <v>0</v>
      </c>
      <c r="S18" s="68">
        <v>0</v>
      </c>
      <c r="T18" s="68">
        <v>20440</v>
      </c>
      <c r="U18" s="119">
        <v>20440</v>
      </c>
      <c r="W18" s="167">
        <v>492</v>
      </c>
      <c r="X18" s="167">
        <v>492</v>
      </c>
      <c r="Y18" s="165">
        <v>27326</v>
      </c>
      <c r="Z18" s="165">
        <v>27326</v>
      </c>
      <c r="AA18" s="119">
        <v>12401</v>
      </c>
      <c r="AB18" s="119">
        <v>12401</v>
      </c>
      <c r="AC18" s="165">
        <v>6252</v>
      </c>
      <c r="AD18" s="119"/>
      <c r="AE18" s="167">
        <v>878</v>
      </c>
      <c r="AF18" s="165">
        <v>937</v>
      </c>
      <c r="AG18" s="165">
        <v>811</v>
      </c>
      <c r="AH18" s="165">
        <v>10615</v>
      </c>
      <c r="AI18" s="119"/>
      <c r="AJ18" s="167">
        <v>554</v>
      </c>
      <c r="AK18" s="165">
        <v>1000</v>
      </c>
      <c r="AL18" s="165">
        <v>1652</v>
      </c>
      <c r="AM18" s="166">
        <v>37820</v>
      </c>
      <c r="AN18" s="119"/>
      <c r="AO18" s="167">
        <v>432</v>
      </c>
      <c r="AP18" s="165">
        <v>10242</v>
      </c>
      <c r="AQ18" s="165">
        <v>1021</v>
      </c>
      <c r="AR18" s="165">
        <v>20453</v>
      </c>
      <c r="AS18" s="119"/>
      <c r="AT18" s="167">
        <v>1999</v>
      </c>
      <c r="AU18" s="165">
        <v>59159</v>
      </c>
      <c r="AV18" s="165">
        <v>15452</v>
      </c>
      <c r="AW18" s="165">
        <v>25738</v>
      </c>
      <c r="AX18" s="166"/>
      <c r="AY18" s="167">
        <v>22530</v>
      </c>
      <c r="AZ18" s="165">
        <v>14721</v>
      </c>
      <c r="BA18" s="165">
        <v>24046</v>
      </c>
      <c r="BB18" s="165">
        <v>51658</v>
      </c>
      <c r="BC18" s="166"/>
      <c r="BD18" s="167">
        <v>21750</v>
      </c>
      <c r="BE18" s="165">
        <v>20091</v>
      </c>
      <c r="BF18" s="165">
        <v>51725</v>
      </c>
      <c r="BG18" s="165">
        <v>67363</v>
      </c>
      <c r="BH18" s="166"/>
      <c r="BI18" s="167">
        <v>16349</v>
      </c>
      <c r="BJ18" s="167">
        <v>16349</v>
      </c>
      <c r="BK18" s="165">
        <v>24277</v>
      </c>
      <c r="BL18" s="165">
        <v>22583</v>
      </c>
      <c r="BM18" s="165">
        <v>106995</v>
      </c>
      <c r="BN18" s="166"/>
      <c r="BO18" s="165">
        <v>10874</v>
      </c>
      <c r="BP18" s="288" t="e">
        <f>+BO18-#REF!</f>
        <v>#REF!</v>
      </c>
      <c r="BQ18" s="122" t="e">
        <f>BJ18-#REF!</f>
        <v>#REF!</v>
      </c>
    </row>
    <row r="19" spans="2:70" ht="3.75" customHeight="1" x14ac:dyDescent="0.25">
      <c r="C19" s="167"/>
      <c r="D19" s="167"/>
      <c r="E19" s="167"/>
      <c r="F19" s="167"/>
      <c r="H19" s="167"/>
      <c r="I19" s="167"/>
      <c r="J19" s="167"/>
      <c r="K19" s="167"/>
      <c r="L19" s="167"/>
      <c r="N19" s="167"/>
      <c r="O19" s="167"/>
      <c r="P19" s="167"/>
      <c r="Q19" s="167"/>
      <c r="R19" s="167"/>
      <c r="S19" s="167"/>
      <c r="T19" s="167"/>
      <c r="U19" s="167"/>
      <c r="W19" s="167"/>
      <c r="X19" s="167"/>
      <c r="AD19" s="119"/>
      <c r="AE19" s="167"/>
      <c r="AI19" s="119"/>
      <c r="AJ19" s="167"/>
      <c r="AN19" s="119"/>
      <c r="AO19" s="167"/>
      <c r="AS19" s="119"/>
      <c r="AT19" s="167"/>
      <c r="AV19"/>
      <c r="AY19" s="167"/>
      <c r="BD19" s="167"/>
      <c r="BF19"/>
      <c r="BI19" s="167"/>
      <c r="BJ19" s="167"/>
      <c r="BP19" s="122"/>
      <c r="BQ19" s="122" t="e">
        <f>BD19+BE19+BF19+BG19-#REF!</f>
        <v>#REF!</v>
      </c>
    </row>
    <row r="20" spans="2:70" s="56" customFormat="1" ht="16.5" customHeight="1" x14ac:dyDescent="0.25">
      <c r="B20" s="56" t="s">
        <v>132</v>
      </c>
      <c r="C20" s="71">
        <f>+C10-C16</f>
        <v>191714</v>
      </c>
      <c r="D20" s="71">
        <f>+D10-D16</f>
        <v>91545</v>
      </c>
      <c r="E20" s="71">
        <f>+E10-E16</f>
        <v>51382</v>
      </c>
      <c r="F20" s="71">
        <f>+F10-F16</f>
        <v>17819</v>
      </c>
      <c r="H20" s="71">
        <f>+H10-H16</f>
        <v>124959</v>
      </c>
      <c r="I20" s="71">
        <f>+I10-I16</f>
        <v>125666</v>
      </c>
      <c r="J20" s="71">
        <f>+J10-J16</f>
        <v>363919</v>
      </c>
      <c r="K20" s="71">
        <f>+K10-K16</f>
        <v>12074</v>
      </c>
      <c r="L20" s="71">
        <f>+L10-L16</f>
        <v>57975</v>
      </c>
      <c r="N20" s="71">
        <f t="shared" ref="N20:U20" si="24">+N10-N16</f>
        <v>165107</v>
      </c>
      <c r="O20" s="71">
        <f t="shared" si="24"/>
        <v>158971</v>
      </c>
      <c r="P20" s="71">
        <f t="shared" si="24"/>
        <v>114464</v>
      </c>
      <c r="Q20" s="71">
        <f t="shared" si="24"/>
        <v>120280</v>
      </c>
      <c r="R20" s="71">
        <f t="shared" si="24"/>
        <v>115148</v>
      </c>
      <c r="S20" s="71">
        <f t="shared" si="24"/>
        <v>135948</v>
      </c>
      <c r="T20" s="71">
        <f t="shared" si="24"/>
        <v>244023</v>
      </c>
      <c r="U20" s="71">
        <f t="shared" si="24"/>
        <v>237606</v>
      </c>
      <c r="W20" s="71">
        <f t="shared" ref="W20:AC20" si="25">+W10-W16</f>
        <v>175432</v>
      </c>
      <c r="X20" s="71">
        <f t="shared" si="25"/>
        <v>178111</v>
      </c>
      <c r="Y20" s="71">
        <f t="shared" si="25"/>
        <v>117021</v>
      </c>
      <c r="Z20" s="71">
        <f t="shared" si="25"/>
        <v>118445</v>
      </c>
      <c r="AA20" s="71">
        <f t="shared" si="25"/>
        <v>457888</v>
      </c>
      <c r="AB20" s="71">
        <f t="shared" si="25"/>
        <v>458217</v>
      </c>
      <c r="AC20" s="71">
        <f t="shared" si="25"/>
        <v>42323</v>
      </c>
      <c r="AD20" s="119"/>
      <c r="AE20" s="71">
        <f t="shared" ref="AE20:AH20" si="26">+AE10-AE16</f>
        <v>555381</v>
      </c>
      <c r="AF20" s="71">
        <f t="shared" si="26"/>
        <v>97594</v>
      </c>
      <c r="AG20" s="71">
        <f t="shared" si="26"/>
        <v>245457</v>
      </c>
      <c r="AH20" s="71">
        <f t="shared" si="26"/>
        <v>172874</v>
      </c>
      <c r="AI20" s="119"/>
      <c r="AJ20" s="71">
        <f t="shared" ref="AJ20:AM20" si="27">+AJ10-AJ16</f>
        <v>248655</v>
      </c>
      <c r="AK20" s="71">
        <f t="shared" si="27"/>
        <v>95284</v>
      </c>
      <c r="AL20" s="71">
        <f t="shared" si="27"/>
        <v>254708</v>
      </c>
      <c r="AM20" s="71">
        <f t="shared" si="27"/>
        <v>147482</v>
      </c>
      <c r="AN20" s="119"/>
      <c r="AO20" s="71">
        <f t="shared" ref="AO20:AR20" si="28">+AO10-AO16</f>
        <v>176864</v>
      </c>
      <c r="AP20" s="71">
        <f t="shared" si="28"/>
        <v>18135</v>
      </c>
      <c r="AQ20" s="71">
        <f t="shared" si="28"/>
        <v>22308</v>
      </c>
      <c r="AR20" s="71">
        <f t="shared" si="28"/>
        <v>-16103</v>
      </c>
      <c r="AS20" s="119"/>
      <c r="AT20" s="71">
        <f t="shared" ref="AT20:AW20" si="29">+AT10-AT16</f>
        <v>187151</v>
      </c>
      <c r="AU20" s="71">
        <f t="shared" si="29"/>
        <v>159175</v>
      </c>
      <c r="AV20" s="71">
        <f t="shared" si="29"/>
        <v>155489</v>
      </c>
      <c r="AW20" s="71">
        <f t="shared" si="29"/>
        <v>47449</v>
      </c>
      <c r="AX20" s="71"/>
      <c r="AY20" s="71">
        <f t="shared" ref="AY20:BB20" si="30">+AY10-AY16</f>
        <v>262181</v>
      </c>
      <c r="AZ20" s="71">
        <f t="shared" si="30"/>
        <v>157331</v>
      </c>
      <c r="BA20" s="71">
        <f t="shared" si="30"/>
        <v>142264</v>
      </c>
      <c r="BB20" s="71">
        <f t="shared" si="30"/>
        <v>104455</v>
      </c>
      <c r="BC20" s="71"/>
      <c r="BD20" s="71">
        <f t="shared" ref="BD20:BG20" si="31">+BD10-BD16</f>
        <v>407277</v>
      </c>
      <c r="BE20" s="71">
        <f t="shared" si="31"/>
        <v>443752</v>
      </c>
      <c r="BF20" s="71">
        <f t="shared" si="31"/>
        <v>218061</v>
      </c>
      <c r="BG20" s="71">
        <f t="shared" si="31"/>
        <v>59287</v>
      </c>
      <c r="BH20" s="71"/>
      <c r="BI20" s="71">
        <f t="shared" ref="BI20:BM20" si="32">+BI10-BI16</f>
        <v>2956812</v>
      </c>
      <c r="BJ20" s="71">
        <f t="shared" ref="BJ20" si="33">+BJ10-BJ16</f>
        <v>2724295</v>
      </c>
      <c r="BK20" s="71">
        <f t="shared" si="32"/>
        <v>180537</v>
      </c>
      <c r="BL20" s="71">
        <f t="shared" si="32"/>
        <v>195092</v>
      </c>
      <c r="BM20" s="71">
        <f t="shared" si="32"/>
        <v>19670</v>
      </c>
      <c r="BN20" s="71"/>
      <c r="BO20" s="71">
        <f t="shared" ref="BO20" si="34">+BO10-BO16</f>
        <v>1337211</v>
      </c>
      <c r="BP20" s="288" t="e">
        <f>+BO20-#REF!</f>
        <v>#REF!</v>
      </c>
      <c r="BQ20" s="122" t="e">
        <f>BJ20-#REF!</f>
        <v>#REF!</v>
      </c>
    </row>
    <row r="21" spans="2:70" ht="16.5" customHeight="1" x14ac:dyDescent="0.25">
      <c r="B21" s="100" t="s">
        <v>133</v>
      </c>
      <c r="C21" s="169">
        <f>+C20/C$10</f>
        <v>0.81545378369296595</v>
      </c>
      <c r="D21" s="169">
        <f>+D20/D$10</f>
        <v>0.43678133498735627</v>
      </c>
      <c r="E21" s="169">
        <f>+E20/E$10</f>
        <v>0.43658764550938906</v>
      </c>
      <c r="F21" s="169">
        <f>+F20/F$10</f>
        <v>0.24233316560362297</v>
      </c>
      <c r="H21" s="169">
        <f>+H20/H$10</f>
        <v>0.99298326472878684</v>
      </c>
      <c r="I21" s="169">
        <f>+I20/I$10</f>
        <v>0.73534901956194809</v>
      </c>
      <c r="J21" s="169">
        <f>+J20/J$10</f>
        <v>0.52331348421729251</v>
      </c>
      <c r="K21" s="169">
        <f t="shared" ref="K21:L21" si="35">+K20/K$10</f>
        <v>0.1153938050137146</v>
      </c>
      <c r="L21" s="169">
        <f t="shared" si="35"/>
        <v>0.38089074890446689</v>
      </c>
      <c r="N21" s="169">
        <f t="shared" ref="N21:U21" si="36">+N20/N$10</f>
        <v>0.98398631655482316</v>
      </c>
      <c r="O21" s="169">
        <f t="shared" si="36"/>
        <v>0.98337849039329939</v>
      </c>
      <c r="P21" s="169">
        <f t="shared" si="36"/>
        <v>0.99941500554435048</v>
      </c>
      <c r="Q21" s="169">
        <f t="shared" si="36"/>
        <v>0.99944327652538079</v>
      </c>
      <c r="R21" s="169">
        <f t="shared" si="36"/>
        <v>0.59686298089383272</v>
      </c>
      <c r="S21" s="169">
        <f t="shared" si="36"/>
        <v>0.63609736012202767</v>
      </c>
      <c r="T21" s="169">
        <f t="shared" si="36"/>
        <v>0.39220895695108782</v>
      </c>
      <c r="U21" s="169">
        <f t="shared" si="36"/>
        <v>0.38587499330095054</v>
      </c>
      <c r="W21" s="169">
        <f t="shared" ref="W21:AC21" si="37">+W20/W$10</f>
        <v>0.99720333780496129</v>
      </c>
      <c r="X21" s="169">
        <f t="shared" si="37"/>
        <v>0.99724528703325255</v>
      </c>
      <c r="Y21" s="169">
        <f t="shared" si="37"/>
        <v>0.55421315854282305</v>
      </c>
      <c r="Z21" s="169">
        <f t="shared" si="37"/>
        <v>0.55719944301225</v>
      </c>
      <c r="AA21" s="169">
        <f t="shared" si="37"/>
        <v>0.60683586243456367</v>
      </c>
      <c r="AB21" s="169">
        <f t="shared" si="37"/>
        <v>0.60700721572596406</v>
      </c>
      <c r="AC21" s="169">
        <f t="shared" si="37"/>
        <v>0.87129181677817813</v>
      </c>
      <c r="AD21" s="119"/>
      <c r="AE21" s="169">
        <f t="shared" ref="AE21:AH21" si="38">+AE20/AE$10</f>
        <v>0.65259708213087164</v>
      </c>
      <c r="AF21" s="169">
        <f t="shared" si="38"/>
        <v>0.99049030254437687</v>
      </c>
      <c r="AG21" s="169">
        <f t="shared" si="38"/>
        <v>0.99670683970308771</v>
      </c>
      <c r="AH21" s="169">
        <f t="shared" si="38"/>
        <v>0.94019176487863776</v>
      </c>
      <c r="AI21" s="119"/>
      <c r="AJ21" s="169">
        <f t="shared" ref="AJ21:AM21" si="39">+AJ20/AJ$10</f>
        <v>0.80820573159593456</v>
      </c>
      <c r="AK21" s="169">
        <f t="shared" si="39"/>
        <v>0.98961405841053551</v>
      </c>
      <c r="AL21" s="169">
        <f t="shared" si="39"/>
        <v>0.99355593696364486</v>
      </c>
      <c r="AM21" s="169">
        <f t="shared" si="39"/>
        <v>0.79590074580954329</v>
      </c>
      <c r="AN21" s="119"/>
      <c r="AO21" s="169">
        <f t="shared" ref="AO21:AR21" si="40">+AO20/AO$10</f>
        <v>0.88321598002496882</v>
      </c>
      <c r="AP21" s="169">
        <f t="shared" si="40"/>
        <v>0.6390513778278949</v>
      </c>
      <c r="AQ21" s="169">
        <f t="shared" si="40"/>
        <v>0.9231915245820228</v>
      </c>
      <c r="AR21" s="169">
        <f t="shared" si="40"/>
        <v>-4.5812233285917499</v>
      </c>
      <c r="AS21" s="119"/>
      <c r="AT21" s="169">
        <f t="shared" ref="AT21:AW21" si="41">+AT20/AT$10</f>
        <v>0.98943166798836901</v>
      </c>
      <c r="AU21" s="169">
        <f t="shared" si="41"/>
        <v>0.72523031501444313</v>
      </c>
      <c r="AV21" s="169">
        <f t="shared" si="41"/>
        <v>0.90960623840974375</v>
      </c>
      <c r="AW21" s="169">
        <f t="shared" si="41"/>
        <v>0.64832552229221041</v>
      </c>
      <c r="AX21" s="169"/>
      <c r="AY21" s="169">
        <f t="shared" ref="AY21:BB21" si="42">+AY20/AY$10</f>
        <v>0.92086712490911837</v>
      </c>
      <c r="AZ21" s="169">
        <f t="shared" si="42"/>
        <v>0.91443865808011526</v>
      </c>
      <c r="BA21" s="169">
        <f t="shared" si="42"/>
        <v>0.85541458721664365</v>
      </c>
      <c r="BB21" s="169">
        <f t="shared" si="42"/>
        <v>0.66909866571009458</v>
      </c>
      <c r="BC21" s="169"/>
      <c r="BD21" s="169">
        <f t="shared" ref="BD21:BG21" si="43">+BD20/BD$10</f>
        <v>0.94930388996496728</v>
      </c>
      <c r="BE21" s="169">
        <f t="shared" si="43"/>
        <v>0.79930831997406204</v>
      </c>
      <c r="BF21" s="169">
        <f t="shared" si="43"/>
        <v>0.80827396529100848</v>
      </c>
      <c r="BG21" s="169">
        <f t="shared" si="43"/>
        <v>0.34223848804788926</v>
      </c>
      <c r="BH21" s="169"/>
      <c r="BI21" s="169">
        <f t="shared" ref="BI21:BM21" si="44">+BI20/BI$10</f>
        <v>0.99450113868707413</v>
      </c>
      <c r="BJ21" s="169">
        <f t="shared" ref="BJ21" si="45">+BJ20/BJ$10</f>
        <v>0.99403461376231284</v>
      </c>
      <c r="BK21" s="169">
        <f t="shared" si="44"/>
        <v>0.8275477977071769</v>
      </c>
      <c r="BL21" s="169">
        <f t="shared" si="44"/>
        <v>0.89625358906626851</v>
      </c>
      <c r="BM21" s="169">
        <f t="shared" si="44"/>
        <v>0.15529151699364466</v>
      </c>
      <c r="BN21" s="169"/>
      <c r="BO21" s="169">
        <f t="shared" ref="BO21" si="46">+BO20/BO$10</f>
        <v>0.98645298120723679</v>
      </c>
      <c r="BP21" s="122"/>
      <c r="BQ21" s="122"/>
    </row>
    <row r="22" spans="2:70" ht="4.5" customHeight="1" x14ac:dyDescent="0.25">
      <c r="C22" s="167"/>
      <c r="D22" s="167"/>
      <c r="E22" s="167"/>
      <c r="F22" s="167"/>
      <c r="H22" s="167"/>
      <c r="I22" s="167"/>
      <c r="J22" s="167"/>
      <c r="K22" s="167"/>
      <c r="L22" s="167"/>
      <c r="N22" s="167"/>
      <c r="O22" s="167"/>
      <c r="P22" s="167"/>
      <c r="Q22" s="167"/>
      <c r="R22" s="167"/>
      <c r="S22" s="167"/>
      <c r="T22" s="167"/>
      <c r="U22" s="167"/>
      <c r="W22" s="167"/>
      <c r="X22" s="167"/>
      <c r="AD22" s="119"/>
      <c r="AE22" s="167"/>
      <c r="AI22" s="119"/>
      <c r="AJ22" s="167"/>
      <c r="AN22" s="119"/>
      <c r="AO22" s="167"/>
      <c r="AS22" s="119"/>
      <c r="AT22" s="167"/>
      <c r="AV22"/>
      <c r="AY22" s="167"/>
      <c r="BD22" s="167"/>
      <c r="BF22"/>
      <c r="BI22" s="167"/>
      <c r="BJ22" s="167"/>
      <c r="BP22" s="122"/>
      <c r="BQ22" s="122"/>
    </row>
    <row r="23" spans="2:70" ht="15" customHeight="1" x14ac:dyDescent="0.25">
      <c r="B23" s="56" t="s">
        <v>134</v>
      </c>
      <c r="C23" s="71">
        <f>SUM(C24:C27)</f>
        <v>23088</v>
      </c>
      <c r="D23" s="71">
        <f>SUM(D24:D27)</f>
        <v>18094</v>
      </c>
      <c r="E23" s="71">
        <f>SUM(E24:E27)</f>
        <v>19160</v>
      </c>
      <c r="F23" s="71">
        <f>SUM(F24:F27)</f>
        <v>78138</v>
      </c>
      <c r="H23" s="71">
        <f>SUM(H24:H27)</f>
        <v>34292</v>
      </c>
      <c r="I23" s="71">
        <f>SUM(I24:I27)</f>
        <v>21254</v>
      </c>
      <c r="J23" s="71">
        <f>SUM(J24:J27)</f>
        <v>18619</v>
      </c>
      <c r="K23" s="71">
        <f>SUM(K24:K27)</f>
        <v>44058</v>
      </c>
      <c r="L23" s="71">
        <f>SUM(L24:L27)</f>
        <v>43755</v>
      </c>
      <c r="N23" s="71">
        <f t="shared" ref="N23:U23" si="47">SUM(N24:N27)</f>
        <v>47851</v>
      </c>
      <c r="O23" s="71">
        <f t="shared" si="47"/>
        <v>47851</v>
      </c>
      <c r="P23" s="71">
        <f t="shared" si="47"/>
        <v>18821</v>
      </c>
      <c r="Q23" s="71">
        <f t="shared" si="47"/>
        <v>18821</v>
      </c>
      <c r="R23" s="71">
        <f t="shared" si="47"/>
        <v>23564</v>
      </c>
      <c r="S23" s="71">
        <f t="shared" si="47"/>
        <v>23558</v>
      </c>
      <c r="T23" s="71">
        <f t="shared" si="47"/>
        <v>38991</v>
      </c>
      <c r="U23" s="71">
        <f t="shared" si="47"/>
        <v>43613</v>
      </c>
      <c r="W23" s="71">
        <f t="shared" ref="W23:AC23" si="48">SUM(W24:W27)</f>
        <v>47563</v>
      </c>
      <c r="X23" s="71">
        <f t="shared" si="48"/>
        <v>49395</v>
      </c>
      <c r="Y23" s="71">
        <f t="shared" si="48"/>
        <v>22303</v>
      </c>
      <c r="Z23" s="71">
        <f t="shared" si="48"/>
        <v>22674</v>
      </c>
      <c r="AA23" s="71">
        <f t="shared" si="48"/>
        <v>45457</v>
      </c>
      <c r="AB23" s="71">
        <f t="shared" si="48"/>
        <v>45604</v>
      </c>
      <c r="AC23" s="71">
        <f t="shared" si="48"/>
        <v>49794</v>
      </c>
      <c r="AD23" s="119"/>
      <c r="AE23" s="71">
        <f t="shared" ref="AE23:AH23" si="49">SUM(AE24:AE27)</f>
        <v>45456</v>
      </c>
      <c r="AF23" s="71">
        <f t="shared" si="49"/>
        <v>27219</v>
      </c>
      <c r="AG23" s="71">
        <f t="shared" si="49"/>
        <v>19719</v>
      </c>
      <c r="AH23" s="71">
        <f t="shared" si="49"/>
        <v>48937</v>
      </c>
      <c r="AI23" s="119"/>
      <c r="AJ23" s="71">
        <f t="shared" ref="AJ23:AM23" si="50">SUM(AJ24:AJ27)</f>
        <v>51547</v>
      </c>
      <c r="AK23" s="71">
        <f t="shared" si="50"/>
        <v>27075</v>
      </c>
      <c r="AL23" s="71">
        <f t="shared" si="50"/>
        <v>24394</v>
      </c>
      <c r="AM23" s="71">
        <f t="shared" si="50"/>
        <v>39979</v>
      </c>
      <c r="AN23" s="119"/>
      <c r="AO23" s="71">
        <f t="shared" ref="AO23:AR23" si="51">SUM(AO24:AO27)</f>
        <v>47477</v>
      </c>
      <c r="AP23" s="71">
        <f t="shared" si="51"/>
        <v>23540</v>
      </c>
      <c r="AQ23" s="71">
        <f t="shared" si="51"/>
        <v>27382</v>
      </c>
      <c r="AR23" s="71">
        <f t="shared" si="51"/>
        <v>30223</v>
      </c>
      <c r="AS23" s="119"/>
      <c r="AT23" s="71">
        <f t="shared" ref="AT23:AW23" si="52">SUM(AT24:AT27)</f>
        <v>49349</v>
      </c>
      <c r="AU23" s="71">
        <f t="shared" si="52"/>
        <v>28021</v>
      </c>
      <c r="AV23" s="71">
        <f t="shared" si="52"/>
        <v>23816</v>
      </c>
      <c r="AW23" s="71">
        <f t="shared" si="52"/>
        <v>35005</v>
      </c>
      <c r="AX23" s="71"/>
      <c r="AY23" s="71">
        <f t="shared" ref="AY23:BB23" si="53">SUM(AY24:AY27)</f>
        <v>65029</v>
      </c>
      <c r="AZ23" s="71">
        <f t="shared" si="53"/>
        <v>36613</v>
      </c>
      <c r="BA23" s="71">
        <f t="shared" si="53"/>
        <v>28901</v>
      </c>
      <c r="BB23" s="71">
        <f t="shared" si="53"/>
        <v>60267</v>
      </c>
      <c r="BC23" s="71"/>
      <c r="BD23" s="71">
        <f t="shared" ref="BD23" si="54">SUM(BD24:BD27)</f>
        <v>49432</v>
      </c>
      <c r="BE23" s="71">
        <f t="shared" ref="BE23:BG23" si="55">SUM(BE24:BE27)</f>
        <v>32349</v>
      </c>
      <c r="BF23" s="71">
        <f t="shared" si="55"/>
        <v>46885.595300000001</v>
      </c>
      <c r="BG23" s="71">
        <f t="shared" si="55"/>
        <v>42460.404699999999</v>
      </c>
      <c r="BH23" s="71"/>
      <c r="BI23" s="71">
        <f t="shared" ref="BI23:BJ23" si="56">SUM(BI24:BI27)</f>
        <v>69847</v>
      </c>
      <c r="BJ23" s="71">
        <f t="shared" si="56"/>
        <v>69847</v>
      </c>
      <c r="BK23" s="71">
        <f t="shared" ref="BK23:BM23" si="57">SUM(BK24:BK27)</f>
        <v>45105</v>
      </c>
      <c r="BL23" s="71">
        <f t="shared" si="57"/>
        <v>31752</v>
      </c>
      <c r="BM23" s="71">
        <f t="shared" si="57"/>
        <v>43306</v>
      </c>
      <c r="BN23" s="71"/>
      <c r="BO23" s="71">
        <f t="shared" ref="BO23" si="58">SUM(BO24:BO27)</f>
        <v>60745</v>
      </c>
      <c r="BP23" s="288" t="e">
        <f>+BO23-#REF!</f>
        <v>#REF!</v>
      </c>
      <c r="BQ23" s="122" t="e">
        <f>BJ23-#REF!</f>
        <v>#REF!</v>
      </c>
      <c r="BR23" s="119"/>
    </row>
    <row r="24" spans="2:70" ht="16.5" customHeight="1" x14ac:dyDescent="0.25">
      <c r="B24" s="64" t="s">
        <v>135</v>
      </c>
      <c r="C24" s="167">
        <v>20350</v>
      </c>
      <c r="D24" s="167">
        <v>19225</v>
      </c>
      <c r="E24" s="167">
        <v>18455</v>
      </c>
      <c r="F24" s="167">
        <f>77024+1</f>
        <v>77025</v>
      </c>
      <c r="H24" s="167">
        <v>33611</v>
      </c>
      <c r="I24" s="167">
        <f>20155-1</f>
        <v>20154</v>
      </c>
      <c r="J24" s="167">
        <v>17000</v>
      </c>
      <c r="K24" s="167">
        <v>40674</v>
      </c>
      <c r="L24" s="167">
        <v>40674</v>
      </c>
      <c r="N24" s="167">
        <v>46839</v>
      </c>
      <c r="O24" s="167">
        <v>46839</v>
      </c>
      <c r="P24" s="167">
        <v>17259</v>
      </c>
      <c r="Q24" s="167">
        <v>17259</v>
      </c>
      <c r="R24" s="167">
        <v>22068</v>
      </c>
      <c r="S24" s="167">
        <v>22068</v>
      </c>
      <c r="T24" s="167">
        <v>37606</v>
      </c>
      <c r="U24" s="119">
        <f>37606+4442</f>
        <v>42048</v>
      </c>
      <c r="W24" s="167">
        <v>46472</v>
      </c>
      <c r="X24" s="167">
        <v>48282</v>
      </c>
      <c r="Y24" s="167">
        <v>21224</v>
      </c>
      <c r="Z24" s="167">
        <f>21224+350</f>
        <v>21574</v>
      </c>
      <c r="AA24" s="167">
        <v>28780</v>
      </c>
      <c r="AB24" s="167">
        <f>28780+126</f>
        <v>28906</v>
      </c>
      <c r="AC24" s="167">
        <v>47878</v>
      </c>
      <c r="AD24" s="119"/>
      <c r="AE24" s="167">
        <v>44399</v>
      </c>
      <c r="AF24" s="167">
        <f>25935+215</f>
        <v>26150</v>
      </c>
      <c r="AG24" s="167">
        <f>18658-30</f>
        <v>18628</v>
      </c>
      <c r="AH24" s="167">
        <v>28471</v>
      </c>
      <c r="AI24" s="119"/>
      <c r="AJ24" s="167">
        <v>47238</v>
      </c>
      <c r="AK24" s="167">
        <v>22925</v>
      </c>
      <c r="AL24" s="167">
        <v>20214</v>
      </c>
      <c r="AM24" s="167">
        <v>34994</v>
      </c>
      <c r="AN24" s="119"/>
      <c r="AO24" s="167">
        <v>43364</v>
      </c>
      <c r="AP24" s="167">
        <v>18939</v>
      </c>
      <c r="AQ24" s="167">
        <v>21509</v>
      </c>
      <c r="AR24" s="167">
        <v>25288</v>
      </c>
      <c r="AS24" s="119"/>
      <c r="AT24" s="167">
        <v>44772</v>
      </c>
      <c r="AU24" s="167">
        <v>23139</v>
      </c>
      <c r="AV24" s="167">
        <v>19316</v>
      </c>
      <c r="AW24" s="167">
        <v>29808</v>
      </c>
      <c r="AX24" s="167"/>
      <c r="AY24" s="167">
        <v>60366</v>
      </c>
      <c r="AZ24" s="167">
        <v>31630</v>
      </c>
      <c r="BA24" s="167">
        <v>23980</v>
      </c>
      <c r="BB24" s="167">
        <v>58697</v>
      </c>
      <c r="BC24" s="167"/>
      <c r="BD24" s="167">
        <v>48106</v>
      </c>
      <c r="BE24" s="167">
        <v>31845</v>
      </c>
      <c r="BF24" s="167">
        <v>45544.595300000001</v>
      </c>
      <c r="BG24" s="167">
        <v>41945.404699999999</v>
      </c>
      <c r="BH24" s="167"/>
      <c r="BI24" s="167">
        <v>68819</v>
      </c>
      <c r="BJ24" s="167">
        <v>68819</v>
      </c>
      <c r="BK24" s="167">
        <v>44143</v>
      </c>
      <c r="BL24" s="167">
        <v>30720</v>
      </c>
      <c r="BM24" s="167">
        <v>41412</v>
      </c>
      <c r="BN24" s="167"/>
      <c r="BO24" s="167">
        <v>59623</v>
      </c>
      <c r="BP24" s="288" t="e">
        <f>+BO24-#REF!</f>
        <v>#REF!</v>
      </c>
      <c r="BQ24" s="122" t="e">
        <f>BJ24-#REF!</f>
        <v>#REF!</v>
      </c>
    </row>
    <row r="25" spans="2:70" ht="12.75" x14ac:dyDescent="0.25">
      <c r="B25" s="64" t="s">
        <v>216</v>
      </c>
      <c r="C25" s="167">
        <v>28</v>
      </c>
      <c r="D25" s="167">
        <v>28</v>
      </c>
      <c r="E25" s="167">
        <v>95</v>
      </c>
      <c r="F25" s="167">
        <v>2308</v>
      </c>
      <c r="H25" s="167">
        <v>681</v>
      </c>
      <c r="I25" s="167">
        <v>681</v>
      </c>
      <c r="J25" s="167">
        <v>795</v>
      </c>
      <c r="K25" s="167">
        <v>739</v>
      </c>
      <c r="L25" s="167">
        <v>436</v>
      </c>
      <c r="N25" s="167">
        <v>874</v>
      </c>
      <c r="O25" s="167">
        <v>874</v>
      </c>
      <c r="P25" s="167">
        <v>866</v>
      </c>
      <c r="Q25" s="167">
        <v>866</v>
      </c>
      <c r="R25" s="167">
        <v>866</v>
      </c>
      <c r="S25" s="167">
        <v>860</v>
      </c>
      <c r="T25" s="167">
        <v>806</v>
      </c>
      <c r="U25" s="119">
        <f>812+87</f>
        <v>899</v>
      </c>
      <c r="W25" s="167">
        <v>674</v>
      </c>
      <c r="X25" s="167">
        <v>695</v>
      </c>
      <c r="Y25" s="51">
        <v>672</v>
      </c>
      <c r="Z25" s="51">
        <f>672+21</f>
        <v>693</v>
      </c>
      <c r="AA25" s="167">
        <v>16171</v>
      </c>
      <c r="AB25" s="167">
        <f>16171+22</f>
        <v>16193</v>
      </c>
      <c r="AC25" s="165">
        <v>933</v>
      </c>
      <c r="AD25" s="119"/>
      <c r="AE25" s="167">
        <v>888</v>
      </c>
      <c r="AF25" s="167">
        <v>890</v>
      </c>
      <c r="AG25" s="167">
        <v>889</v>
      </c>
      <c r="AH25" s="167">
        <v>19436</v>
      </c>
      <c r="AI25" s="119"/>
      <c r="AJ25" s="167">
        <v>4088</v>
      </c>
      <c r="AK25" s="167">
        <v>3973</v>
      </c>
      <c r="AL25" s="167">
        <v>3999</v>
      </c>
      <c r="AM25" s="167">
        <v>4330</v>
      </c>
      <c r="AN25" s="119"/>
      <c r="AO25" s="167">
        <v>3760</v>
      </c>
      <c r="AP25" s="167">
        <v>4352</v>
      </c>
      <c r="AQ25" s="167">
        <v>5711</v>
      </c>
      <c r="AR25" s="167">
        <v>4555</v>
      </c>
      <c r="AS25" s="119"/>
      <c r="AT25" s="167">
        <v>4400</v>
      </c>
      <c r="AU25" s="167">
        <v>4364</v>
      </c>
      <c r="AV25" s="167">
        <v>4350</v>
      </c>
      <c r="AW25" s="167">
        <v>4372</v>
      </c>
      <c r="AX25" s="167"/>
      <c r="AY25" s="167">
        <v>4412</v>
      </c>
      <c r="AZ25" s="167">
        <v>4426</v>
      </c>
      <c r="BA25" s="167">
        <v>4421</v>
      </c>
      <c r="BB25" s="167">
        <v>599</v>
      </c>
      <c r="BC25" s="167"/>
      <c r="BD25" s="167">
        <v>606</v>
      </c>
      <c r="BE25" s="167">
        <v>583</v>
      </c>
      <c r="BF25" s="167">
        <v>686</v>
      </c>
      <c r="BG25" s="167">
        <v>556</v>
      </c>
      <c r="BH25" s="167"/>
      <c r="BI25" s="167">
        <v>701</v>
      </c>
      <c r="BJ25" s="167">
        <v>701</v>
      </c>
      <c r="BK25" s="167">
        <v>657</v>
      </c>
      <c r="BL25" s="167">
        <v>758</v>
      </c>
      <c r="BM25" s="167">
        <v>668</v>
      </c>
      <c r="BN25" s="167"/>
      <c r="BO25" s="167">
        <v>666</v>
      </c>
      <c r="BP25" s="288" t="e">
        <f>+BO25-#REF!</f>
        <v>#REF!</v>
      </c>
      <c r="BQ25" s="122" t="e">
        <f>BJ25-#REF!</f>
        <v>#REF!</v>
      </c>
    </row>
    <row r="26" spans="2:70" ht="14.25" customHeight="1" x14ac:dyDescent="0.25">
      <c r="B26" s="64" t="s">
        <v>137</v>
      </c>
      <c r="C26" s="167">
        <v>2710</v>
      </c>
      <c r="D26" s="167">
        <v>-1159</v>
      </c>
      <c r="E26" s="167">
        <v>610</v>
      </c>
      <c r="F26" s="167">
        <v>-1195</v>
      </c>
      <c r="H26" s="170">
        <v>0</v>
      </c>
      <c r="I26" s="167">
        <v>419</v>
      </c>
      <c r="J26" s="167">
        <v>824</v>
      </c>
      <c r="K26" s="167">
        <v>2645</v>
      </c>
      <c r="L26" s="167">
        <v>2645</v>
      </c>
      <c r="N26" s="167">
        <v>138</v>
      </c>
      <c r="O26" s="167">
        <v>138</v>
      </c>
      <c r="P26" s="167">
        <v>696</v>
      </c>
      <c r="Q26" s="167">
        <v>696</v>
      </c>
      <c r="R26" s="167">
        <v>630</v>
      </c>
      <c r="S26" s="167">
        <v>630</v>
      </c>
      <c r="T26" s="167">
        <v>579</v>
      </c>
      <c r="U26" s="119">
        <f>579+87</f>
        <v>666</v>
      </c>
      <c r="W26" s="167">
        <v>417</v>
      </c>
      <c r="X26" s="167">
        <v>418</v>
      </c>
      <c r="Y26" s="51">
        <v>407</v>
      </c>
      <c r="Z26" s="51">
        <v>407</v>
      </c>
      <c r="AA26" s="167">
        <v>506</v>
      </c>
      <c r="AB26" s="167">
        <f>506-1</f>
        <v>505</v>
      </c>
      <c r="AC26" s="165">
        <v>983</v>
      </c>
      <c r="AD26" s="119"/>
      <c r="AE26" s="167">
        <v>169</v>
      </c>
      <c r="AF26" s="167">
        <v>179</v>
      </c>
      <c r="AG26" s="167">
        <v>202</v>
      </c>
      <c r="AH26" s="167">
        <v>1030</v>
      </c>
      <c r="AI26" s="119"/>
      <c r="AJ26" s="167">
        <v>221</v>
      </c>
      <c r="AK26" s="167">
        <v>177</v>
      </c>
      <c r="AL26" s="167">
        <v>181</v>
      </c>
      <c r="AM26" s="167">
        <v>655</v>
      </c>
      <c r="AN26" s="119"/>
      <c r="AO26" s="167">
        <v>353</v>
      </c>
      <c r="AP26" s="167">
        <v>249</v>
      </c>
      <c r="AQ26" s="167">
        <v>162</v>
      </c>
      <c r="AR26" s="167">
        <v>380</v>
      </c>
      <c r="AS26" s="119"/>
      <c r="AT26" s="167">
        <v>177</v>
      </c>
      <c r="AU26" s="167">
        <v>518</v>
      </c>
      <c r="AV26" s="167">
        <v>150</v>
      </c>
      <c r="AW26" s="167">
        <v>825</v>
      </c>
      <c r="AX26" s="167"/>
      <c r="AY26" s="167">
        <v>251</v>
      </c>
      <c r="AZ26" s="167">
        <v>557</v>
      </c>
      <c r="BA26" s="167">
        <v>500</v>
      </c>
      <c r="BB26" s="167">
        <v>971</v>
      </c>
      <c r="BC26" s="167"/>
      <c r="BD26" s="167">
        <v>720</v>
      </c>
      <c r="BE26" s="167">
        <v>-79</v>
      </c>
      <c r="BF26" s="167">
        <v>655</v>
      </c>
      <c r="BG26" s="167">
        <v>-41</v>
      </c>
      <c r="BH26" s="167"/>
      <c r="BI26" s="167">
        <v>327</v>
      </c>
      <c r="BJ26" s="167">
        <v>327</v>
      </c>
      <c r="BK26" s="167">
        <v>305</v>
      </c>
      <c r="BL26" s="167">
        <v>274</v>
      </c>
      <c r="BM26" s="167">
        <v>1226</v>
      </c>
      <c r="BN26" s="167"/>
      <c r="BO26" s="167">
        <v>456</v>
      </c>
      <c r="BP26" s="288" t="e">
        <f>+BO26-#REF!</f>
        <v>#REF!</v>
      </c>
      <c r="BQ26" s="122" t="e">
        <f>BJ26-#REF!</f>
        <v>#REF!</v>
      </c>
    </row>
    <row r="27" spans="2:70" ht="11.25" hidden="1" customHeight="1" x14ac:dyDescent="0.25">
      <c r="B27" s="64" t="s">
        <v>217</v>
      </c>
      <c r="C27" s="167"/>
      <c r="D27" s="167"/>
      <c r="E27" s="167"/>
      <c r="F27" s="167"/>
      <c r="H27" s="167">
        <v>0</v>
      </c>
      <c r="I27" s="167"/>
      <c r="J27" s="167"/>
      <c r="K27" s="167"/>
      <c r="L27" s="167">
        <v>0</v>
      </c>
      <c r="N27" s="167">
        <v>0</v>
      </c>
      <c r="O27" s="167">
        <v>0</v>
      </c>
      <c r="P27" s="167">
        <v>0</v>
      </c>
      <c r="Q27" s="167"/>
      <c r="R27" s="167">
        <v>0</v>
      </c>
      <c r="S27" s="167"/>
      <c r="T27" s="167">
        <v>0</v>
      </c>
      <c r="U27" s="167">
        <v>0</v>
      </c>
      <c r="W27" s="167">
        <v>0</v>
      </c>
      <c r="X27" s="167">
        <v>0</v>
      </c>
      <c r="AD27" s="119"/>
      <c r="AE27" s="167">
        <v>0</v>
      </c>
      <c r="AI27" s="119"/>
      <c r="AJ27" s="167">
        <v>0</v>
      </c>
      <c r="AN27" s="119"/>
      <c r="AO27" s="167">
        <v>0</v>
      </c>
      <c r="AS27" s="119"/>
      <c r="AT27" s="167">
        <v>0</v>
      </c>
      <c r="AV27"/>
      <c r="AY27" s="167">
        <v>0</v>
      </c>
      <c r="BD27" s="167"/>
      <c r="BF27"/>
      <c r="BI27" s="167"/>
      <c r="BJ27" s="167"/>
      <c r="BP27" s="122" t="e">
        <f>BD27-#REF!</f>
        <v>#REF!</v>
      </c>
      <c r="BQ27" s="122" t="e">
        <f>AY27+AZ27-#REF!</f>
        <v>#REF!</v>
      </c>
    </row>
    <row r="28" spans="2:70" ht="6" customHeight="1" x14ac:dyDescent="0.25">
      <c r="C28" s="167"/>
      <c r="D28" s="167"/>
      <c r="E28" s="167"/>
      <c r="F28" s="167"/>
      <c r="H28" s="167"/>
      <c r="I28" s="167"/>
      <c r="J28" s="167"/>
      <c r="K28" s="167"/>
      <c r="L28" s="167"/>
      <c r="N28" s="167"/>
      <c r="O28" s="167"/>
      <c r="P28" s="167"/>
      <c r="Q28" s="167"/>
      <c r="R28" s="167"/>
      <c r="S28" s="167"/>
      <c r="T28" s="167"/>
      <c r="U28" s="167"/>
      <c r="W28" s="167"/>
      <c r="X28" s="167"/>
      <c r="AD28" s="119"/>
      <c r="AE28" s="167"/>
      <c r="AI28" s="119"/>
      <c r="AJ28" s="167"/>
      <c r="AN28" s="119"/>
      <c r="AO28" s="167"/>
      <c r="AS28" s="119"/>
      <c r="AT28" s="167"/>
      <c r="AV28"/>
      <c r="AY28" s="167"/>
      <c r="BD28" s="167"/>
      <c r="BF28"/>
      <c r="BI28" s="167"/>
      <c r="BJ28" s="167"/>
      <c r="BP28" s="122"/>
      <c r="BQ28" s="122"/>
    </row>
    <row r="29" spans="2:70" ht="15" customHeight="1" x14ac:dyDescent="0.25">
      <c r="B29" s="56" t="s">
        <v>139</v>
      </c>
      <c r="C29" s="115">
        <f>+C30-C31-C32</f>
        <v>-11300</v>
      </c>
      <c r="D29" s="115">
        <f>+D30-D31-D32</f>
        <v>-4277</v>
      </c>
      <c r="E29" s="115">
        <f>+E30-E31-E32</f>
        <v>-211</v>
      </c>
      <c r="F29" s="115">
        <f>+F30-F31-F32</f>
        <v>23907</v>
      </c>
      <c r="H29" s="115">
        <f>+H30-H31-H32</f>
        <v>-13615</v>
      </c>
      <c r="I29" s="115">
        <f>+I30-I31-I32</f>
        <v>8228</v>
      </c>
      <c r="J29" s="115">
        <f>+J30-J31-J32</f>
        <v>-13502</v>
      </c>
      <c r="K29" s="115">
        <f>+K30-K31-K32</f>
        <v>15800</v>
      </c>
      <c r="L29" s="115">
        <f>+L30-L31-L32</f>
        <v>-4429</v>
      </c>
      <c r="N29" s="115">
        <f t="shared" ref="N29:U29" si="59">+N30-N31-N32</f>
        <v>-12460</v>
      </c>
      <c r="O29" s="115">
        <f t="shared" si="59"/>
        <v>7476</v>
      </c>
      <c r="P29" s="115">
        <f t="shared" si="59"/>
        <v>1158</v>
      </c>
      <c r="Q29" s="115">
        <f t="shared" si="59"/>
        <v>1158</v>
      </c>
      <c r="R29" s="115">
        <f t="shared" si="59"/>
        <v>-2137</v>
      </c>
      <c r="S29" s="115">
        <f t="shared" si="59"/>
        <v>-2137</v>
      </c>
      <c r="T29" s="115">
        <f t="shared" si="59"/>
        <v>8879</v>
      </c>
      <c r="U29" s="115">
        <f t="shared" si="59"/>
        <v>9621</v>
      </c>
      <c r="V29" s="115"/>
      <c r="W29" s="115">
        <f t="shared" ref="W29:AC29" si="60">+W30-W31-W32</f>
        <v>-7807</v>
      </c>
      <c r="X29" s="115">
        <f t="shared" si="60"/>
        <v>-7813</v>
      </c>
      <c r="Y29" s="115">
        <f t="shared" si="60"/>
        <v>-129</v>
      </c>
      <c r="Z29" s="115">
        <f t="shared" si="60"/>
        <v>-116</v>
      </c>
      <c r="AA29" s="115">
        <f t="shared" si="60"/>
        <v>-8214</v>
      </c>
      <c r="AB29" s="115">
        <f t="shared" si="60"/>
        <v>-8269</v>
      </c>
      <c r="AC29" s="115">
        <f t="shared" si="60"/>
        <v>-3683</v>
      </c>
      <c r="AD29" s="119"/>
      <c r="AE29" s="115">
        <f>+AE30-AE31-AE32</f>
        <v>2756</v>
      </c>
      <c r="AF29" s="115">
        <f>+AF30-AF31-AF32</f>
        <v>-545</v>
      </c>
      <c r="AG29" s="115">
        <f>+AG30-AG31-AG32</f>
        <v>-4024</v>
      </c>
      <c r="AH29" s="115">
        <f>+AH30-AH31-AH32</f>
        <v>29563</v>
      </c>
      <c r="AI29" s="119"/>
      <c r="AJ29" s="115">
        <f>+AJ30-AJ31-AJ32</f>
        <v>-1269</v>
      </c>
      <c r="AK29" s="115">
        <f>+AK30-AK31-AK32</f>
        <v>-5827</v>
      </c>
      <c r="AL29" s="115">
        <f>+AL30-AL31-AL32</f>
        <v>4012</v>
      </c>
      <c r="AM29" s="115">
        <f>+AM30-AM31-AM32</f>
        <v>-1397</v>
      </c>
      <c r="AN29" s="119"/>
      <c r="AO29" s="115">
        <f>+AO30-AO31-AO32</f>
        <v>-930</v>
      </c>
      <c r="AP29" s="115">
        <f t="shared" ref="AP29:AR29" si="61">+AP30-AP31-AP32</f>
        <v>-6152</v>
      </c>
      <c r="AQ29" s="115">
        <f t="shared" si="61"/>
        <v>-644</v>
      </c>
      <c r="AR29" s="115">
        <f t="shared" si="61"/>
        <v>-151</v>
      </c>
      <c r="AS29" s="119"/>
      <c r="AT29" s="115">
        <f>+AT30-AT31-AT32</f>
        <v>-559</v>
      </c>
      <c r="AU29" s="115">
        <f t="shared" ref="AU29:AW29" si="62">+AU30-AU31-AU32</f>
        <v>-2081</v>
      </c>
      <c r="AV29" s="115">
        <f t="shared" si="62"/>
        <v>-35</v>
      </c>
      <c r="AW29" s="115">
        <f t="shared" si="62"/>
        <v>-8025</v>
      </c>
      <c r="AX29" s="115"/>
      <c r="AY29" s="115">
        <f>+AY30-AY31-AY32</f>
        <v>-2798</v>
      </c>
      <c r="AZ29" s="115">
        <f t="shared" ref="AZ29:BB29" si="63">+AZ30-AZ31-AZ32</f>
        <v>140</v>
      </c>
      <c r="BA29" s="115">
        <f t="shared" si="63"/>
        <v>-4542</v>
      </c>
      <c r="BB29" s="115">
        <f t="shared" si="63"/>
        <v>-6222</v>
      </c>
      <c r="BC29" s="115"/>
      <c r="BD29" s="115">
        <f>+BD30-BD31-BD32</f>
        <v>-4386</v>
      </c>
      <c r="BE29" s="115">
        <f t="shared" ref="BE29:BG29" si="64">+BE30-BE31-BE32</f>
        <v>-2762</v>
      </c>
      <c r="BF29" s="115">
        <f t="shared" si="64"/>
        <v>-4871</v>
      </c>
      <c r="BG29" s="115">
        <f t="shared" si="64"/>
        <v>-3006</v>
      </c>
      <c r="BH29" s="115"/>
      <c r="BI29" s="115">
        <f>+BI30-BI31-BI32</f>
        <v>49439</v>
      </c>
      <c r="BJ29" s="115">
        <f>+BJ30-BJ31-BJ32</f>
        <v>49439</v>
      </c>
      <c r="BK29" s="115">
        <f t="shared" ref="BK29:BM29" si="65">+BK30-BK31-BK32</f>
        <v>18380</v>
      </c>
      <c r="BL29" s="115">
        <f t="shared" si="65"/>
        <v>-3750</v>
      </c>
      <c r="BM29" s="115">
        <f t="shared" si="65"/>
        <v>-5899</v>
      </c>
      <c r="BN29" s="115"/>
      <c r="BO29" s="115">
        <f t="shared" ref="BO29" si="66">+BO30-BO31-BO32</f>
        <v>-277</v>
      </c>
      <c r="BP29" s="288" t="e">
        <f>+BO29-#REF!</f>
        <v>#REF!</v>
      </c>
      <c r="BQ29" s="122" t="e">
        <f>BJ29-#REF!</f>
        <v>#REF!</v>
      </c>
    </row>
    <row r="30" spans="2:70" ht="15" customHeight="1" x14ac:dyDescent="0.25">
      <c r="B30" s="74" t="s">
        <v>140</v>
      </c>
      <c r="C30" s="167">
        <v>25</v>
      </c>
      <c r="D30" s="167">
        <v>170</v>
      </c>
      <c r="E30" s="167">
        <v>4873</v>
      </c>
      <c r="F30" s="167">
        <v>22881</v>
      </c>
      <c r="H30" s="167">
        <f>374+1</f>
        <v>375</v>
      </c>
      <c r="I30" s="167">
        <f>11002-2</f>
        <v>11000</v>
      </c>
      <c r="J30" s="167">
        <v>572</v>
      </c>
      <c r="K30" s="167">
        <v>19451</v>
      </c>
      <c r="L30" s="167">
        <v>19491</v>
      </c>
      <c r="N30" s="167">
        <v>495</v>
      </c>
      <c r="O30" s="167">
        <v>495</v>
      </c>
      <c r="P30" s="167">
        <v>3909</v>
      </c>
      <c r="Q30" s="167">
        <v>3909</v>
      </c>
      <c r="R30" s="167">
        <v>255</v>
      </c>
      <c r="S30" s="167">
        <v>255</v>
      </c>
      <c r="T30" s="167">
        <v>19179</v>
      </c>
      <c r="U30" s="119">
        <f>19179+939</f>
        <v>20118</v>
      </c>
      <c r="W30" s="167">
        <v>168</v>
      </c>
      <c r="X30" s="167">
        <v>175</v>
      </c>
      <c r="Y30" s="165">
        <v>7236</v>
      </c>
      <c r="Z30" s="165">
        <f>7236+14</f>
        <v>7250</v>
      </c>
      <c r="AA30" s="167">
        <v>131</v>
      </c>
      <c r="AB30" s="167">
        <f>131+97</f>
        <v>228</v>
      </c>
      <c r="AC30" s="165">
        <v>3706</v>
      </c>
      <c r="AD30" s="119"/>
      <c r="AE30" s="167">
        <v>7414</v>
      </c>
      <c r="AF30" s="165">
        <v>1826</v>
      </c>
      <c r="AG30" s="165">
        <v>2789</v>
      </c>
      <c r="AH30" s="165">
        <v>31561</v>
      </c>
      <c r="AI30" s="119"/>
      <c r="AJ30" s="167">
        <v>200</v>
      </c>
      <c r="AK30" s="165">
        <v>464</v>
      </c>
      <c r="AL30" s="165">
        <v>5315</v>
      </c>
      <c r="AM30" s="165">
        <v>1043</v>
      </c>
      <c r="AN30" s="119"/>
      <c r="AO30" s="167">
        <v>593</v>
      </c>
      <c r="AP30" s="165">
        <v>64</v>
      </c>
      <c r="AQ30" s="165">
        <v>212</v>
      </c>
      <c r="AR30" s="165">
        <v>2269</v>
      </c>
      <c r="AS30" s="119"/>
      <c r="AT30" s="167">
        <v>241</v>
      </c>
      <c r="AU30" s="165">
        <v>5433</v>
      </c>
      <c r="AV30" s="165">
        <v>399</v>
      </c>
      <c r="AW30" s="165">
        <v>1944</v>
      </c>
      <c r="AX30" s="166"/>
      <c r="AY30" s="167">
        <v>128</v>
      </c>
      <c r="AZ30" s="165">
        <v>1021</v>
      </c>
      <c r="BA30" s="165">
        <v>599</v>
      </c>
      <c r="BB30" s="165">
        <v>235</v>
      </c>
      <c r="BC30" s="166"/>
      <c r="BD30" s="167">
        <v>514</v>
      </c>
      <c r="BE30" s="165">
        <v>807</v>
      </c>
      <c r="BF30" s="165">
        <v>-38</v>
      </c>
      <c r="BG30" s="165">
        <v>41</v>
      </c>
      <c r="BH30" s="166"/>
      <c r="BI30" s="167">
        <v>53277</v>
      </c>
      <c r="BJ30" s="167">
        <v>53277</v>
      </c>
      <c r="BK30" s="165">
        <v>22839</v>
      </c>
      <c r="BL30" s="165">
        <v>623</v>
      </c>
      <c r="BM30" s="165">
        <v>2983</v>
      </c>
      <c r="BN30" s="166"/>
      <c r="BO30" s="165">
        <v>831</v>
      </c>
      <c r="BP30" s="288" t="e">
        <f>+BO30-#REF!</f>
        <v>#REF!</v>
      </c>
      <c r="BQ30" s="122" t="e">
        <f>BJ30-#REF!</f>
        <v>#REF!</v>
      </c>
    </row>
    <row r="31" spans="2:70" s="172" customFormat="1" ht="15" customHeight="1" x14ac:dyDescent="0.25">
      <c r="B31" s="74" t="s">
        <v>141</v>
      </c>
      <c r="C31" s="171">
        <v>11325</v>
      </c>
      <c r="D31" s="171">
        <v>4447</v>
      </c>
      <c r="E31" s="171">
        <v>5084</v>
      </c>
      <c r="F31" s="171">
        <v>-1026</v>
      </c>
      <c r="G31" s="171"/>
      <c r="H31" s="171">
        <v>3874</v>
      </c>
      <c r="I31" s="171">
        <f>3221-1</f>
        <v>3220</v>
      </c>
      <c r="J31" s="171">
        <v>14074</v>
      </c>
      <c r="K31" s="171">
        <v>3651</v>
      </c>
      <c r="L31" s="171">
        <v>23920</v>
      </c>
      <c r="M31" s="171"/>
      <c r="N31" s="171">
        <v>2987</v>
      </c>
      <c r="O31" s="171">
        <v>2987</v>
      </c>
      <c r="P31" s="171">
        <v>2751</v>
      </c>
      <c r="Q31" s="171">
        <v>2751</v>
      </c>
      <c r="R31" s="171">
        <v>2392</v>
      </c>
      <c r="S31" s="171">
        <v>2392</v>
      </c>
      <c r="T31" s="171">
        <v>10300</v>
      </c>
      <c r="U31" s="171">
        <f>10300+197</f>
        <v>10497</v>
      </c>
      <c r="W31" s="171">
        <v>4640</v>
      </c>
      <c r="X31" s="171">
        <v>4653</v>
      </c>
      <c r="Y31" s="173">
        <v>7291</v>
      </c>
      <c r="Z31" s="173">
        <v>7291</v>
      </c>
      <c r="AA31" s="173">
        <v>8344</v>
      </c>
      <c r="AB31" s="173">
        <f>8344+153</f>
        <v>8497</v>
      </c>
      <c r="AC31" s="173">
        <v>7389</v>
      </c>
      <c r="AD31" s="174"/>
      <c r="AE31" s="171">
        <v>4658</v>
      </c>
      <c r="AF31" s="173">
        <v>2371</v>
      </c>
      <c r="AG31" s="173">
        <v>6813</v>
      </c>
      <c r="AH31" s="173">
        <v>1998</v>
      </c>
      <c r="AI31" s="174"/>
      <c r="AJ31" s="171">
        <v>1469</v>
      </c>
      <c r="AK31" s="173">
        <v>6291</v>
      </c>
      <c r="AL31" s="173">
        <v>1303</v>
      </c>
      <c r="AM31" s="173">
        <v>2440</v>
      </c>
      <c r="AN31" s="174"/>
      <c r="AO31" s="171">
        <v>1523</v>
      </c>
      <c r="AP31" s="173">
        <v>6216</v>
      </c>
      <c r="AQ31" s="173">
        <v>856</v>
      </c>
      <c r="AR31" s="173">
        <v>2420</v>
      </c>
      <c r="AS31" s="174"/>
      <c r="AT31" s="171">
        <v>800</v>
      </c>
      <c r="AU31" s="173">
        <v>7514</v>
      </c>
      <c r="AV31" s="173">
        <v>434</v>
      </c>
      <c r="AW31" s="173">
        <v>9969</v>
      </c>
      <c r="AX31" s="173"/>
      <c r="AY31" s="171">
        <v>2926</v>
      </c>
      <c r="AZ31" s="173">
        <v>881</v>
      </c>
      <c r="BA31" s="173">
        <v>5141</v>
      </c>
      <c r="BB31" s="173">
        <v>6457</v>
      </c>
      <c r="BC31" s="173"/>
      <c r="BD31" s="171">
        <v>4900</v>
      </c>
      <c r="BE31" s="173">
        <v>3569</v>
      </c>
      <c r="BF31" s="173">
        <v>4833</v>
      </c>
      <c r="BG31" s="173">
        <v>3047</v>
      </c>
      <c r="BH31" s="173"/>
      <c r="BI31" s="171">
        <v>3838</v>
      </c>
      <c r="BJ31" s="171">
        <v>3838</v>
      </c>
      <c r="BK31" s="173">
        <v>4459</v>
      </c>
      <c r="BL31" s="173">
        <v>4373</v>
      </c>
      <c r="BM31" s="173">
        <v>8882</v>
      </c>
      <c r="BN31" s="173"/>
      <c r="BO31" s="173">
        <v>1108</v>
      </c>
      <c r="BP31" s="288" t="e">
        <f>+BO31-#REF!</f>
        <v>#REF!</v>
      </c>
      <c r="BQ31" s="122" t="e">
        <f>BJ31-#REF!</f>
        <v>#REF!</v>
      </c>
    </row>
    <row r="32" spans="2:70" ht="12.75" x14ac:dyDescent="0.25">
      <c r="B32" s="64" t="s">
        <v>142</v>
      </c>
      <c r="C32" s="170">
        <v>0</v>
      </c>
      <c r="D32" s="170">
        <v>0</v>
      </c>
      <c r="E32" s="170">
        <v>0</v>
      </c>
      <c r="F32" s="170">
        <v>0</v>
      </c>
      <c r="G32" s="95"/>
      <c r="H32" s="114">
        <v>10116</v>
      </c>
      <c r="I32" s="114">
        <v>-448</v>
      </c>
      <c r="J32" s="170">
        <v>0</v>
      </c>
      <c r="K32" s="170">
        <v>0</v>
      </c>
      <c r="L32" s="170">
        <v>0</v>
      </c>
      <c r="N32" s="114">
        <v>9968</v>
      </c>
      <c r="O32" s="114">
        <v>-9968</v>
      </c>
      <c r="P32" s="114">
        <v>0</v>
      </c>
      <c r="Q32" s="114">
        <v>0</v>
      </c>
      <c r="R32" s="114">
        <v>0</v>
      </c>
      <c r="S32" s="114">
        <v>0</v>
      </c>
      <c r="T32" s="114"/>
      <c r="U32" s="114"/>
      <c r="W32" s="114">
        <v>3335</v>
      </c>
      <c r="X32" s="114">
        <v>3335</v>
      </c>
      <c r="Y32" s="165">
        <v>74</v>
      </c>
      <c r="Z32" s="165">
        <v>75</v>
      </c>
      <c r="AA32" s="165">
        <v>1</v>
      </c>
      <c r="AB32" s="165">
        <f>-1+1</f>
        <v>0</v>
      </c>
      <c r="AC32" s="168">
        <v>0</v>
      </c>
      <c r="AD32" s="119"/>
      <c r="AE32" s="114">
        <v>0</v>
      </c>
      <c r="AF32" s="165">
        <v>0</v>
      </c>
      <c r="AG32" s="165">
        <v>0</v>
      </c>
      <c r="AH32" s="165">
        <v>0</v>
      </c>
      <c r="AI32" s="119"/>
      <c r="AJ32" s="114">
        <v>0</v>
      </c>
      <c r="AK32" s="165">
        <v>0</v>
      </c>
      <c r="AL32" s="165">
        <v>0</v>
      </c>
      <c r="AM32" s="165">
        <v>0</v>
      </c>
      <c r="AN32" s="119"/>
      <c r="AO32" s="114">
        <v>0</v>
      </c>
      <c r="AP32" s="165"/>
      <c r="AQ32" s="165"/>
      <c r="AR32" s="165"/>
      <c r="AS32" s="119"/>
      <c r="AT32" s="114">
        <v>0</v>
      </c>
      <c r="AU32" s="165"/>
      <c r="AV32" s="165"/>
      <c r="AW32" s="165"/>
      <c r="AX32" s="166"/>
      <c r="AY32" s="114">
        <v>0</v>
      </c>
      <c r="AZ32" s="114">
        <v>0</v>
      </c>
      <c r="BA32" s="114">
        <v>0</v>
      </c>
      <c r="BB32" s="114">
        <v>0</v>
      </c>
      <c r="BC32" s="166"/>
      <c r="BD32" s="114">
        <v>0</v>
      </c>
      <c r="BE32" s="114">
        <v>0</v>
      </c>
      <c r="BF32" s="114">
        <v>0</v>
      </c>
      <c r="BG32" s="114">
        <v>0</v>
      </c>
      <c r="BH32" s="114"/>
      <c r="BI32" s="114">
        <v>0</v>
      </c>
      <c r="BJ32" s="114">
        <v>0</v>
      </c>
      <c r="BK32" s="114">
        <v>0</v>
      </c>
      <c r="BL32" s="114">
        <v>0</v>
      </c>
      <c r="BM32" s="114">
        <v>0</v>
      </c>
      <c r="BN32" s="114"/>
      <c r="BO32" s="114">
        <v>0</v>
      </c>
      <c r="BP32" s="288" t="e">
        <f>+BO32-#REF!</f>
        <v>#REF!</v>
      </c>
      <c r="BQ32" s="122" t="e">
        <f>BJ32-#REF!</f>
        <v>#REF!</v>
      </c>
    </row>
    <row r="33" spans="2:69" ht="1.5" customHeight="1" x14ac:dyDescent="0.25">
      <c r="C33" s="167"/>
      <c r="D33" s="167"/>
      <c r="E33" s="167"/>
      <c r="F33" s="167"/>
      <c r="H33" s="167"/>
      <c r="I33" s="167"/>
      <c r="J33" s="167"/>
      <c r="K33" s="167"/>
      <c r="L33" s="167"/>
      <c r="N33" s="167"/>
      <c r="O33" s="167"/>
      <c r="P33" s="167"/>
      <c r="Q33" s="167"/>
      <c r="R33" s="167"/>
      <c r="S33" s="167"/>
      <c r="T33" s="167"/>
      <c r="U33" s="167"/>
      <c r="W33" s="167"/>
      <c r="X33" s="167"/>
      <c r="AD33" s="119"/>
      <c r="AE33" s="167"/>
      <c r="AI33" s="119"/>
      <c r="AJ33" s="167"/>
      <c r="AN33" s="119"/>
      <c r="AO33" s="167"/>
      <c r="AS33" s="119"/>
      <c r="AT33" s="167"/>
      <c r="AV33"/>
      <c r="AY33" s="167"/>
      <c r="BD33" s="167"/>
      <c r="BF33"/>
      <c r="BI33" s="167"/>
      <c r="BJ33" s="167"/>
      <c r="BP33" s="288"/>
      <c r="BQ33" s="122" t="e">
        <f>AY33+AZ33+BA33-#REF!</f>
        <v>#REF!</v>
      </c>
    </row>
    <row r="34" spans="2:69" ht="1.5" customHeight="1" x14ac:dyDescent="0.25">
      <c r="C34" s="167"/>
      <c r="D34" s="167"/>
      <c r="E34" s="167"/>
      <c r="F34" s="167"/>
      <c r="H34" s="167"/>
      <c r="I34" s="167"/>
      <c r="J34" s="167"/>
      <c r="K34" s="167"/>
      <c r="L34" s="167">
        <v>0</v>
      </c>
      <c r="N34" s="167"/>
      <c r="O34" s="167"/>
      <c r="P34" s="167"/>
      <c r="Q34" s="167"/>
      <c r="R34" s="167"/>
      <c r="S34" s="167"/>
      <c r="T34" s="167"/>
      <c r="U34" s="167"/>
      <c r="W34" s="167"/>
      <c r="X34" s="167"/>
      <c r="AD34" s="119"/>
      <c r="AE34" s="167"/>
      <c r="AI34" s="119"/>
      <c r="AJ34" s="167"/>
      <c r="AN34" s="119"/>
      <c r="AO34" s="167"/>
      <c r="AS34" s="119"/>
      <c r="AT34" s="167"/>
      <c r="AV34"/>
      <c r="AY34" s="167"/>
      <c r="BD34" s="167"/>
      <c r="BF34"/>
      <c r="BI34" s="167"/>
      <c r="BJ34" s="167"/>
      <c r="BP34" s="122" t="e">
        <f>AY34+AZ34+BA34+BB34-#REF!</f>
        <v>#REF!</v>
      </c>
      <c r="BQ34" s="122"/>
    </row>
    <row r="35" spans="2:69" s="56" customFormat="1" ht="16.5" customHeight="1" x14ac:dyDescent="0.25">
      <c r="B35" s="56" t="s">
        <v>143</v>
      </c>
      <c r="C35" s="71">
        <f>+C20-C23+C29</f>
        <v>157326</v>
      </c>
      <c r="D35" s="71">
        <f>+D20-D23+D29</f>
        <v>69174</v>
      </c>
      <c r="E35" s="71">
        <f>+E20-E23+E29</f>
        <v>32011</v>
      </c>
      <c r="F35" s="115">
        <f>+F20-F23+F29</f>
        <v>-36412</v>
      </c>
      <c r="H35" s="71">
        <f>+H20-H23+H29</f>
        <v>77052</v>
      </c>
      <c r="I35" s="71">
        <f>+I20-I23+I29</f>
        <v>112640</v>
      </c>
      <c r="J35" s="71">
        <f>+J20-J23+J29</f>
        <v>331798</v>
      </c>
      <c r="K35" s="115">
        <f>+K20-K23+K29</f>
        <v>-16184</v>
      </c>
      <c r="L35" s="115">
        <f>+L20-L23+L29</f>
        <v>9791</v>
      </c>
      <c r="N35" s="71">
        <f t="shared" ref="N35:U35" si="67">+N20-N23+N29</f>
        <v>104796</v>
      </c>
      <c r="O35" s="71">
        <f t="shared" si="67"/>
        <v>118596</v>
      </c>
      <c r="P35" s="71">
        <f t="shared" si="67"/>
        <v>96801</v>
      </c>
      <c r="Q35" s="71">
        <f t="shared" si="67"/>
        <v>102617</v>
      </c>
      <c r="R35" s="71">
        <f t="shared" si="67"/>
        <v>89447</v>
      </c>
      <c r="S35" s="71">
        <f t="shared" si="67"/>
        <v>110253</v>
      </c>
      <c r="T35" s="71">
        <f t="shared" si="67"/>
        <v>213911</v>
      </c>
      <c r="U35" s="71">
        <f t="shared" si="67"/>
        <v>203614</v>
      </c>
      <c r="W35" s="71">
        <f t="shared" ref="W35:AC35" si="68">+W20-W23+W29</f>
        <v>120062</v>
      </c>
      <c r="X35" s="71">
        <f t="shared" si="68"/>
        <v>120903</v>
      </c>
      <c r="Y35" s="71">
        <f t="shared" si="68"/>
        <v>94589</v>
      </c>
      <c r="Z35" s="71">
        <f t="shared" si="68"/>
        <v>95655</v>
      </c>
      <c r="AA35" s="71">
        <f t="shared" si="68"/>
        <v>404217</v>
      </c>
      <c r="AB35" s="71">
        <f t="shared" si="68"/>
        <v>404344</v>
      </c>
      <c r="AC35" s="115">
        <f t="shared" si="68"/>
        <v>-11154</v>
      </c>
      <c r="AD35" s="119"/>
      <c r="AE35" s="71">
        <f t="shared" ref="AE35:AH35" si="69">+AE20-AE23+AE29</f>
        <v>512681</v>
      </c>
      <c r="AF35" s="71">
        <f t="shared" si="69"/>
        <v>69830</v>
      </c>
      <c r="AG35" s="71">
        <f t="shared" si="69"/>
        <v>221714</v>
      </c>
      <c r="AH35" s="115">
        <f t="shared" si="69"/>
        <v>153500</v>
      </c>
      <c r="AI35" s="119"/>
      <c r="AJ35" s="71">
        <f t="shared" ref="AJ35:AM35" si="70">+AJ20-AJ23+AJ29</f>
        <v>195839</v>
      </c>
      <c r="AK35" s="71">
        <f t="shared" si="70"/>
        <v>62382</v>
      </c>
      <c r="AL35" s="71">
        <f t="shared" si="70"/>
        <v>234326</v>
      </c>
      <c r="AM35" s="115">
        <f t="shared" si="70"/>
        <v>106106</v>
      </c>
      <c r="AN35" s="119"/>
      <c r="AO35" s="71">
        <f>+AO20-AO23+AO29</f>
        <v>128457</v>
      </c>
      <c r="AP35" s="71">
        <f t="shared" ref="AP35:AR35" si="71">+AP20-AP23+AP29</f>
        <v>-11557</v>
      </c>
      <c r="AQ35" s="71">
        <f t="shared" si="71"/>
        <v>-5718</v>
      </c>
      <c r="AR35" s="115">
        <f t="shared" si="71"/>
        <v>-46477</v>
      </c>
      <c r="AS35" s="119"/>
      <c r="AT35" s="71">
        <f>+AT20-AT23+AT29</f>
        <v>137243</v>
      </c>
      <c r="AU35" s="71">
        <f t="shared" ref="AU35:AW35" si="72">+AU20-AU23+AU29</f>
        <v>129073</v>
      </c>
      <c r="AV35" s="71">
        <f t="shared" si="72"/>
        <v>131638</v>
      </c>
      <c r="AW35" s="115">
        <f t="shared" si="72"/>
        <v>4419</v>
      </c>
      <c r="AX35" s="115"/>
      <c r="AY35" s="71">
        <f>+AY20-AY23+AY29</f>
        <v>194354</v>
      </c>
      <c r="AZ35" s="71">
        <f t="shared" ref="AZ35:BB35" si="73">+AZ20-AZ23+AZ29</f>
        <v>120858</v>
      </c>
      <c r="BA35" s="71">
        <f t="shared" si="73"/>
        <v>108821</v>
      </c>
      <c r="BB35" s="115">
        <f t="shared" si="73"/>
        <v>37966</v>
      </c>
      <c r="BC35" s="115"/>
      <c r="BD35" s="71">
        <f>+BD20-BD23+BD29</f>
        <v>353459</v>
      </c>
      <c r="BE35" s="71">
        <f t="shared" ref="BE35:BG35" si="74">+BE20-BE23+BE29</f>
        <v>408641</v>
      </c>
      <c r="BF35" s="71">
        <f t="shared" si="74"/>
        <v>166304.40470000001</v>
      </c>
      <c r="BG35" s="115">
        <f t="shared" si="74"/>
        <v>13820.595300000001</v>
      </c>
      <c r="BH35" s="115"/>
      <c r="BI35" s="71">
        <f>+BI20-BI23+BI29</f>
        <v>2936404</v>
      </c>
      <c r="BJ35" s="71">
        <f>+BJ20-BJ23+BJ29</f>
        <v>2703887</v>
      </c>
      <c r="BK35" s="71">
        <f t="shared" ref="BK35:BM35" si="75">+BK20-BK23+BK29</f>
        <v>153812</v>
      </c>
      <c r="BL35" s="71">
        <f t="shared" si="75"/>
        <v>159590</v>
      </c>
      <c r="BM35" s="71">
        <f t="shared" si="75"/>
        <v>-29535</v>
      </c>
      <c r="BN35" s="71"/>
      <c r="BO35" s="71">
        <f t="shared" ref="BO35" si="76">+BO20-BO23+BO29</f>
        <v>1276189</v>
      </c>
      <c r="BP35" s="288" t="e">
        <f>+BO35-#REF!</f>
        <v>#REF!</v>
      </c>
      <c r="BQ35" s="122" t="e">
        <f>BJ35-#REF!</f>
        <v>#REF!</v>
      </c>
    </row>
    <row r="36" spans="2:69" s="177" customFormat="1" ht="17.25" hidden="1" customHeight="1" x14ac:dyDescent="0.25">
      <c r="B36" s="175" t="s">
        <v>35</v>
      </c>
      <c r="C36" s="176">
        <v>77.680000000000007</v>
      </c>
      <c r="D36" s="176">
        <v>38.21</v>
      </c>
      <c r="E36" s="176">
        <v>16.28</v>
      </c>
      <c r="F36" s="176">
        <v>-14.13</v>
      </c>
      <c r="H36" s="176">
        <v>31.93</v>
      </c>
      <c r="I36" s="176">
        <v>45.33</v>
      </c>
      <c r="J36" s="176">
        <v>110.33</v>
      </c>
      <c r="K36" s="176">
        <f>-2.52-(3726/3244.51)</f>
        <v>-3.6684014535322742</v>
      </c>
      <c r="L36" s="176">
        <v>-187.59</v>
      </c>
      <c r="N36" s="176">
        <v>31.93</v>
      </c>
      <c r="O36" s="176">
        <v>31.93</v>
      </c>
      <c r="P36" s="176">
        <v>31.93</v>
      </c>
      <c r="Q36" s="176"/>
      <c r="R36" s="176">
        <v>31.93</v>
      </c>
      <c r="S36" s="176"/>
      <c r="T36" s="176">
        <v>32.93</v>
      </c>
      <c r="U36" s="176">
        <v>32.93</v>
      </c>
      <c r="W36" s="176">
        <v>31.93</v>
      </c>
      <c r="X36" s="176">
        <v>31.93</v>
      </c>
      <c r="AD36" s="119"/>
      <c r="AE36" s="176">
        <v>31.93</v>
      </c>
      <c r="AI36" s="119"/>
      <c r="AJ36" s="176">
        <v>31.93</v>
      </c>
      <c r="AN36" s="119"/>
      <c r="AO36" s="176">
        <v>31.93</v>
      </c>
      <c r="AS36" s="119"/>
      <c r="AT36" s="176">
        <v>31.93</v>
      </c>
      <c r="AY36" s="176">
        <v>31.93</v>
      </c>
      <c r="BD36" s="176">
        <v>31.93</v>
      </c>
      <c r="BI36" s="177">
        <v>31.93</v>
      </c>
      <c r="BJ36" s="177">
        <v>31.93</v>
      </c>
      <c r="BP36" s="122" t="e">
        <f>AY36+AZ36+BA36+BB36-#REF!</f>
        <v>#REF!</v>
      </c>
      <c r="BQ36" s="122" t="e">
        <f>AY36+AZ36-#REF!</f>
        <v>#REF!</v>
      </c>
    </row>
    <row r="37" spans="2:69" ht="15.75" customHeight="1" x14ac:dyDescent="0.25">
      <c r="B37" s="100" t="s">
        <v>144</v>
      </c>
      <c r="C37" s="169">
        <f>+C35/C$10</f>
        <v>0.66918473336991335</v>
      </c>
      <c r="D37" s="169">
        <f>+D35/D$10</f>
        <v>0.33004437234600886</v>
      </c>
      <c r="E37" s="169">
        <f>+E35/E$10</f>
        <v>0.27199422210893026</v>
      </c>
      <c r="F37" s="169">
        <f>+F35/F$10</f>
        <v>-0.49519250384191704</v>
      </c>
      <c r="H37" s="169">
        <f>+H35/H$10</f>
        <v>0.61229160375709224</v>
      </c>
      <c r="I37" s="169">
        <f>+I35/I$10</f>
        <v>0.65912588578818321</v>
      </c>
      <c r="J37" s="169">
        <f>+J35/J$10</f>
        <v>0.47712366608044426</v>
      </c>
      <c r="K37" s="169">
        <f t="shared" ref="K37:L37" si="77">+K35/K$10</f>
        <v>-0.15467395563541139</v>
      </c>
      <c r="L37" s="169">
        <f t="shared" si="77"/>
        <v>6.4326025399286502E-2</v>
      </c>
      <c r="N37" s="169">
        <f t="shared" ref="N37:U37" si="78">+N35/N$10</f>
        <v>0.62455153342789371</v>
      </c>
      <c r="O37" s="169">
        <f t="shared" si="78"/>
        <v>0.73362283338900647</v>
      </c>
      <c r="P37" s="169">
        <f t="shared" si="78"/>
        <v>0.84519475076616812</v>
      </c>
      <c r="Q37" s="169">
        <f t="shared" si="78"/>
        <v>0.85267601186568842</v>
      </c>
      <c r="R37" s="169">
        <f t="shared" si="78"/>
        <v>0.46364333772198091</v>
      </c>
      <c r="S37" s="169">
        <f t="shared" si="78"/>
        <v>0.51587108486725741</v>
      </c>
      <c r="T37" s="169">
        <f t="shared" si="78"/>
        <v>0.34381107596564314</v>
      </c>
      <c r="U37" s="169">
        <f t="shared" si="78"/>
        <v>0.33067157767892957</v>
      </c>
      <c r="W37" s="169">
        <f t="shared" ref="W37:AC37" si="79">+W35/W$10</f>
        <v>0.68246515540801711</v>
      </c>
      <c r="X37" s="169">
        <f t="shared" si="79"/>
        <v>0.67693711751762287</v>
      </c>
      <c r="Y37" s="169">
        <f t="shared" si="79"/>
        <v>0.44797488017883191</v>
      </c>
      <c r="Z37" s="169">
        <f t="shared" si="79"/>
        <v>0.44998870970776961</v>
      </c>
      <c r="AA37" s="169">
        <f t="shared" si="79"/>
        <v>0.53570604996355442</v>
      </c>
      <c r="AB37" s="169">
        <f t="shared" si="79"/>
        <v>0.53564081130883223</v>
      </c>
      <c r="AC37" s="169">
        <f t="shared" si="79"/>
        <v>-0.22962429233144621</v>
      </c>
      <c r="AD37" s="119"/>
      <c r="AE37" s="169">
        <f t="shared" ref="AE37:AH37" si="80">+AE35/AE$10</f>
        <v>0.60242270560918976</v>
      </c>
      <c r="AF37" s="169">
        <f t="shared" si="80"/>
        <v>0.70871096406207179</v>
      </c>
      <c r="AG37" s="169">
        <f t="shared" si="80"/>
        <v>0.90029561290951321</v>
      </c>
      <c r="AH37" s="169">
        <f t="shared" si="80"/>
        <v>0.83482441494308512</v>
      </c>
      <c r="AI37" s="119"/>
      <c r="AJ37" s="169">
        <f t="shared" ref="AJ37:AM37" si="81">+AJ35/AJ$10</f>
        <v>0.63653738018546269</v>
      </c>
      <c r="AK37" s="169">
        <f t="shared" si="81"/>
        <v>0.64789580823397452</v>
      </c>
      <c r="AL37" s="169">
        <f t="shared" si="81"/>
        <v>0.91405055390856604</v>
      </c>
      <c r="AM37" s="169">
        <f t="shared" si="81"/>
        <v>0.57261119685702255</v>
      </c>
      <c r="AN37" s="119"/>
      <c r="AO37" s="169">
        <f t="shared" ref="AO37:AR37" si="82">+AO35/AO$10</f>
        <v>0.64148314606741574</v>
      </c>
      <c r="AP37" s="169">
        <f t="shared" si="82"/>
        <v>-0.40725209669462259</v>
      </c>
      <c r="AQ37" s="169">
        <f t="shared" si="82"/>
        <v>-0.23663300778016885</v>
      </c>
      <c r="AR37" s="169">
        <f t="shared" si="82"/>
        <v>-13.222475106685634</v>
      </c>
      <c r="AS37" s="119"/>
      <c r="AT37" s="169">
        <f t="shared" ref="AT37:AW37" si="83">+AT35/AT$10</f>
        <v>0.72557758392809935</v>
      </c>
      <c r="AU37" s="169">
        <f t="shared" si="83"/>
        <v>0.58808011590927733</v>
      </c>
      <c r="AV37" s="169">
        <f t="shared" si="83"/>
        <v>0.77007856511895922</v>
      </c>
      <c r="AW37" s="169">
        <f t="shared" si="83"/>
        <v>6.0379575607689889E-2</v>
      </c>
      <c r="AX37" s="169"/>
      <c r="AY37" s="169">
        <f t="shared" ref="AY37:BB37" si="84">+AY35/AY$10</f>
        <v>0.68263607658292091</v>
      </c>
      <c r="AZ37" s="169">
        <f t="shared" si="84"/>
        <v>0.70245042196545227</v>
      </c>
      <c r="BA37" s="169">
        <f t="shared" si="84"/>
        <v>0.65432625819253198</v>
      </c>
      <c r="BB37" s="169">
        <f t="shared" si="84"/>
        <v>0.24319563393183144</v>
      </c>
      <c r="BC37" s="169"/>
      <c r="BD37" s="169">
        <f t="shared" ref="BD37:BG37" si="85">+BD35/BD$10</f>
        <v>0.82386190146540894</v>
      </c>
      <c r="BE37" s="169">
        <f t="shared" si="85"/>
        <v>0.73606462885242363</v>
      </c>
      <c r="BF37" s="169">
        <f t="shared" si="85"/>
        <v>0.61643081812992528</v>
      </c>
      <c r="BG37" s="169">
        <f t="shared" si="85"/>
        <v>7.9780384222405673E-2</v>
      </c>
      <c r="BH37" s="169"/>
      <c r="BI37" s="169">
        <f t="shared" ref="BI37:BM37" si="86">+BI35/BI$10</f>
        <v>0.98763706371770654</v>
      </c>
      <c r="BJ37" s="169">
        <f t="shared" ref="BJ37" si="87">+BJ35/BJ$10</f>
        <v>0.98658818876147358</v>
      </c>
      <c r="BK37" s="169">
        <f t="shared" si="86"/>
        <v>0.70504540266502869</v>
      </c>
      <c r="BL37" s="169">
        <f t="shared" si="86"/>
        <v>0.73315722981509135</v>
      </c>
      <c r="BM37" s="287">
        <f t="shared" si="86"/>
        <v>-0.23317412071211463</v>
      </c>
      <c r="BN37" s="287"/>
      <c r="BO37" s="287">
        <f t="shared" ref="BO37" si="88">+BO35/BO$10</f>
        <v>0.94143739741438137</v>
      </c>
      <c r="BP37" s="122"/>
      <c r="BQ37" s="122"/>
    </row>
    <row r="38" spans="2:69" ht="3.75" customHeight="1" x14ac:dyDescent="0.25">
      <c r="B38" s="64"/>
      <c r="C38" s="167"/>
      <c r="D38" s="167"/>
      <c r="E38" s="167"/>
      <c r="F38" s="167"/>
      <c r="H38" s="167"/>
      <c r="I38" s="167"/>
      <c r="J38" s="167"/>
      <c r="K38" s="167"/>
      <c r="L38" s="167"/>
      <c r="N38" s="167"/>
      <c r="O38" s="167"/>
      <c r="P38" s="167"/>
      <c r="Q38" s="167"/>
      <c r="R38" s="167"/>
      <c r="S38" s="167"/>
      <c r="T38" s="167"/>
      <c r="U38" s="167"/>
      <c r="W38" s="167"/>
      <c r="X38" s="167"/>
      <c r="AD38" s="119"/>
      <c r="AE38" s="167"/>
      <c r="AI38" s="119"/>
      <c r="AJ38" s="167"/>
      <c r="AN38" s="119"/>
      <c r="AO38" s="167"/>
      <c r="AS38" s="119"/>
      <c r="AT38" s="167"/>
      <c r="AV38"/>
      <c r="AY38" s="167"/>
      <c r="BD38" s="167"/>
      <c r="BF38"/>
      <c r="BP38" s="122"/>
      <c r="BQ38" s="122"/>
    </row>
    <row r="39" spans="2:69" s="56" customFormat="1" ht="16.5" customHeight="1" x14ac:dyDescent="0.25">
      <c r="B39" s="83" t="s">
        <v>145</v>
      </c>
      <c r="C39" s="158">
        <f>+C35+C25+C27-C32</f>
        <v>157354</v>
      </c>
      <c r="D39" s="158">
        <f>+D35+D25+D27-D32</f>
        <v>69202</v>
      </c>
      <c r="E39" s="158">
        <f>+E35+E25+E27-E32</f>
        <v>32106</v>
      </c>
      <c r="F39" s="158">
        <f>+F35+F25+F27-F32</f>
        <v>-34104</v>
      </c>
      <c r="G39" s="113"/>
      <c r="H39" s="158">
        <f>+H35+H25+H27-H32</f>
        <v>67617</v>
      </c>
      <c r="I39" s="158">
        <f>+I35+I25+I27-I32</f>
        <v>113769</v>
      </c>
      <c r="J39" s="158">
        <f>+J35+J25+J27-J32</f>
        <v>332593</v>
      </c>
      <c r="K39" s="158">
        <f>+K35+K25+K27-K32</f>
        <v>-15445</v>
      </c>
      <c r="L39" s="158">
        <f>+L35+L25+L27-L32</f>
        <v>10227</v>
      </c>
      <c r="N39" s="158">
        <f t="shared" ref="N39:U39" si="89">+N35+N25+N27-N32</f>
        <v>95702</v>
      </c>
      <c r="O39" s="158">
        <f t="shared" si="89"/>
        <v>129438</v>
      </c>
      <c r="P39" s="158">
        <f t="shared" si="89"/>
        <v>97667</v>
      </c>
      <c r="Q39" s="158">
        <f t="shared" si="89"/>
        <v>103483</v>
      </c>
      <c r="R39" s="158">
        <f t="shared" si="89"/>
        <v>90313</v>
      </c>
      <c r="S39" s="158">
        <f t="shared" si="89"/>
        <v>111113</v>
      </c>
      <c r="T39" s="158">
        <f t="shared" si="89"/>
        <v>214717</v>
      </c>
      <c r="U39" s="158">
        <f t="shared" si="89"/>
        <v>204513</v>
      </c>
      <c r="W39" s="158">
        <f t="shared" ref="W39:AC39" si="90">+W35+W25+W27-W32</f>
        <v>117401</v>
      </c>
      <c r="X39" s="158">
        <f t="shared" si="90"/>
        <v>118263</v>
      </c>
      <c r="Y39" s="158">
        <f t="shared" si="90"/>
        <v>95187</v>
      </c>
      <c r="Z39" s="158">
        <f t="shared" si="90"/>
        <v>96273</v>
      </c>
      <c r="AA39" s="158">
        <f t="shared" si="90"/>
        <v>420387</v>
      </c>
      <c r="AB39" s="158">
        <f t="shared" si="90"/>
        <v>420537</v>
      </c>
      <c r="AC39" s="178">
        <f t="shared" si="90"/>
        <v>-10221</v>
      </c>
      <c r="AD39" s="119"/>
      <c r="AE39" s="158">
        <f t="shared" ref="AE39:AH39" si="91">+AE35+AE25+AE27-AE32</f>
        <v>513569</v>
      </c>
      <c r="AF39" s="158">
        <f t="shared" si="91"/>
        <v>70720</v>
      </c>
      <c r="AG39" s="158">
        <f t="shared" si="91"/>
        <v>222603</v>
      </c>
      <c r="AH39" s="178">
        <f t="shared" si="91"/>
        <v>172936</v>
      </c>
      <c r="AI39" s="119"/>
      <c r="AJ39" s="158">
        <f t="shared" ref="AJ39:AM39" si="92">+AJ35+AJ25+AJ27-AJ32</f>
        <v>199927</v>
      </c>
      <c r="AK39" s="158">
        <f t="shared" si="92"/>
        <v>66355</v>
      </c>
      <c r="AL39" s="158">
        <f t="shared" si="92"/>
        <v>238325</v>
      </c>
      <c r="AM39" s="178">
        <f t="shared" si="92"/>
        <v>110436</v>
      </c>
      <c r="AN39" s="119"/>
      <c r="AO39" s="158">
        <f t="shared" ref="AO39:AR39" si="93">+AO35+AO25+AO27-AO32</f>
        <v>132217</v>
      </c>
      <c r="AP39" s="158">
        <f t="shared" si="93"/>
        <v>-7205</v>
      </c>
      <c r="AQ39" s="158">
        <f>+AQ35+AQ25+AQ27-AQ32</f>
        <v>-7</v>
      </c>
      <c r="AR39" s="178">
        <f t="shared" si="93"/>
        <v>-41922</v>
      </c>
      <c r="AS39" s="119"/>
      <c r="AT39" s="158">
        <f t="shared" ref="AT39:AU39" si="94">+AT35+AT25+AT27-AT32</f>
        <v>141643</v>
      </c>
      <c r="AU39" s="158">
        <f t="shared" si="94"/>
        <v>133437</v>
      </c>
      <c r="AV39" s="158">
        <f>+AV35+AV25+AV27-AV32</f>
        <v>135988</v>
      </c>
      <c r="AW39" s="178">
        <f t="shared" ref="AW39" si="95">+AW35+AW25+AW27-AW32</f>
        <v>8791</v>
      </c>
      <c r="AX39" s="115"/>
      <c r="AY39" s="158">
        <f t="shared" ref="AY39:BB39" si="96">+AY35+AY25+AY27-AY32</f>
        <v>198766</v>
      </c>
      <c r="AZ39" s="158">
        <f t="shared" si="96"/>
        <v>125284</v>
      </c>
      <c r="BA39" s="158">
        <f t="shared" si="96"/>
        <v>113242</v>
      </c>
      <c r="BB39" s="178">
        <f t="shared" si="96"/>
        <v>38565</v>
      </c>
      <c r="BC39" s="115"/>
      <c r="BD39" s="158">
        <f t="shared" ref="BD39:BE39" si="97">+BD35+BD25+BD27-BD32</f>
        <v>354065</v>
      </c>
      <c r="BE39" s="158">
        <f t="shared" si="97"/>
        <v>409224</v>
      </c>
      <c r="BF39" s="158">
        <f>+BF35+BF25+BF27-BF32</f>
        <v>166990.40470000001</v>
      </c>
      <c r="BG39" s="178">
        <f t="shared" ref="BG39" si="98">+BG35+BG25+BG27-BG32</f>
        <v>14376.595300000001</v>
      </c>
      <c r="BH39" s="115"/>
      <c r="BI39" s="158">
        <f t="shared" ref="BI39:BM39" si="99">+BI35+BI25+BI27-BI32</f>
        <v>2937105</v>
      </c>
      <c r="BJ39" s="158">
        <f t="shared" ref="BJ39" si="100">+BJ35+BJ25+BJ27-BJ32</f>
        <v>2704588</v>
      </c>
      <c r="BK39" s="158">
        <f t="shared" si="99"/>
        <v>154469</v>
      </c>
      <c r="BL39" s="158">
        <f t="shared" si="99"/>
        <v>160348</v>
      </c>
      <c r="BM39" s="158">
        <f t="shared" si="99"/>
        <v>-28867</v>
      </c>
      <c r="BN39" s="71"/>
      <c r="BO39" s="158">
        <f t="shared" ref="BO39" si="101">+BO35+BO25+BO27-BO32</f>
        <v>1276855</v>
      </c>
      <c r="BP39" s="288" t="e">
        <f>+BO39-#REF!</f>
        <v>#REF!</v>
      </c>
      <c r="BQ39" s="122" t="e">
        <f>BJ39-#REF!</f>
        <v>#REF!</v>
      </c>
    </row>
    <row r="40" spans="2:69" s="177" customFormat="1" ht="17.25" hidden="1" customHeight="1" x14ac:dyDescent="0.25">
      <c r="B40" s="179" t="s">
        <v>35</v>
      </c>
      <c r="C40" s="161">
        <v>77.69</v>
      </c>
      <c r="D40" s="161">
        <v>38.22</v>
      </c>
      <c r="E40" s="161">
        <v>16.329999999999998</v>
      </c>
      <c r="F40" s="161">
        <v>-13.14</v>
      </c>
      <c r="G40" s="180"/>
      <c r="H40" s="161">
        <v>32.21</v>
      </c>
      <c r="I40" s="161">
        <v>45.6</v>
      </c>
      <c r="J40" s="161">
        <v>110.6</v>
      </c>
      <c r="K40" s="161">
        <f>-2.28-(3726/3244.51)</f>
        <v>-3.428401453532274</v>
      </c>
      <c r="L40" s="161">
        <v>-188.41</v>
      </c>
      <c r="N40" s="161">
        <v>32.21</v>
      </c>
      <c r="O40" s="161">
        <v>32.21</v>
      </c>
      <c r="P40" s="161">
        <v>32.21</v>
      </c>
      <c r="Q40" s="161"/>
      <c r="R40" s="161">
        <v>32.21</v>
      </c>
      <c r="S40" s="161"/>
      <c r="T40" s="161">
        <v>33.21</v>
      </c>
      <c r="U40" s="161">
        <v>33.21</v>
      </c>
      <c r="W40" s="161">
        <v>32.21</v>
      </c>
      <c r="X40" s="161">
        <v>32.21</v>
      </c>
      <c r="AD40" s="119"/>
      <c r="AE40" s="161">
        <v>32.21</v>
      </c>
      <c r="AI40" s="119"/>
      <c r="AJ40" s="161">
        <v>32.21</v>
      </c>
      <c r="AN40" s="119"/>
      <c r="AO40" s="161">
        <v>32.21</v>
      </c>
      <c r="AS40" s="119"/>
      <c r="AT40" s="161">
        <v>32.21</v>
      </c>
      <c r="AY40" s="161">
        <v>32.21</v>
      </c>
      <c r="BD40" s="161"/>
      <c r="BI40" s="161"/>
      <c r="BJ40" s="161"/>
      <c r="BP40" s="122" t="e">
        <f>AY40+AZ40+BA40+BB40-#REF!</f>
        <v>#REF!</v>
      </c>
      <c r="BQ40" s="122" t="e">
        <f>AY40+AZ40-#REF!</f>
        <v>#REF!</v>
      </c>
    </row>
    <row r="41" spans="2:69" s="56" customFormat="1" ht="12.75" x14ac:dyDescent="0.25">
      <c r="B41" s="181" t="s">
        <v>146</v>
      </c>
      <c r="C41" s="182">
        <f>+C39/C$10</f>
        <v>0.66930383111939129</v>
      </c>
      <c r="D41" s="182">
        <f>+D39/D$10</f>
        <v>0.33017796650603559</v>
      </c>
      <c r="E41" s="182">
        <f>+E39/E$10</f>
        <v>0.27280142747897018</v>
      </c>
      <c r="F41" s="182">
        <f>+F39/F$10</f>
        <v>-0.46380438182535255</v>
      </c>
      <c r="G41" s="113"/>
      <c r="H41" s="182">
        <f>+H39/H$10</f>
        <v>0.53731663514565886</v>
      </c>
      <c r="I41" s="182">
        <f>+I39/I$10</f>
        <v>0.66573235884442317</v>
      </c>
      <c r="J41" s="182">
        <f>+J39/J$10</f>
        <v>0.47826687162880188</v>
      </c>
      <c r="K41" s="182">
        <f t="shared" ref="K41:L41" si="102">+K39/K$10</f>
        <v>-0.14761117429491652</v>
      </c>
      <c r="L41" s="182">
        <f t="shared" si="102"/>
        <v>6.7190507788632739E-2</v>
      </c>
      <c r="N41" s="182">
        <f t="shared" ref="N41:U41" si="103">+N39/N$10</f>
        <v>0.5703541247005256</v>
      </c>
      <c r="O41" s="182">
        <f t="shared" si="103"/>
        <v>0.80069034628660507</v>
      </c>
      <c r="P41" s="182">
        <f t="shared" si="103"/>
        <v>0.85275602238695203</v>
      </c>
      <c r="Q41" s="182">
        <f t="shared" si="103"/>
        <v>0.85987187050778169</v>
      </c>
      <c r="R41" s="182">
        <f t="shared" si="103"/>
        <v>0.4681321985050953</v>
      </c>
      <c r="S41" s="182">
        <f t="shared" si="103"/>
        <v>0.51989500378997011</v>
      </c>
      <c r="T41" s="182">
        <f t="shared" si="103"/>
        <v>0.34510652934217972</v>
      </c>
      <c r="U41" s="182">
        <f t="shared" si="103"/>
        <v>0.33213156445947195</v>
      </c>
      <c r="W41" s="182">
        <f t="shared" ref="W41:AC41" si="104">+W39/W$10</f>
        <v>0.66733930560924037</v>
      </c>
      <c r="X41" s="182">
        <f t="shared" si="104"/>
        <v>0.6621557308667827</v>
      </c>
      <c r="Y41" s="182">
        <f t="shared" si="104"/>
        <v>0.45080701687915586</v>
      </c>
      <c r="Z41" s="182">
        <f t="shared" si="104"/>
        <v>0.45289595995709692</v>
      </c>
      <c r="AA41" s="182">
        <f t="shared" si="104"/>
        <v>0.55713604134914851</v>
      </c>
      <c r="AB41" s="182">
        <f t="shared" si="104"/>
        <v>0.5570919312896504</v>
      </c>
      <c r="AC41" s="182">
        <f t="shared" si="104"/>
        <v>-0.21041688111168297</v>
      </c>
      <c r="AD41" s="119"/>
      <c r="AE41" s="182">
        <f t="shared" ref="AE41:AH41" si="105">+AE39/AE$10</f>
        <v>0.60346614463380932</v>
      </c>
      <c r="AF41" s="182">
        <f t="shared" si="105"/>
        <v>0.71774365428139364</v>
      </c>
      <c r="AG41" s="182">
        <f t="shared" si="105"/>
        <v>0.90390550132376113</v>
      </c>
      <c r="AH41" s="182">
        <f t="shared" si="105"/>
        <v>0.94052895780193724</v>
      </c>
      <c r="AI41" s="119"/>
      <c r="AJ41" s="182">
        <f t="shared" ref="AJ41:AM41" si="106">+AJ39/AJ$10</f>
        <v>0.6498246457975122</v>
      </c>
      <c r="AK41" s="182">
        <f t="shared" si="106"/>
        <v>0.68915915416891693</v>
      </c>
      <c r="AL41" s="182">
        <f>+AL39/AL$10</f>
        <v>0.92964971134342334</v>
      </c>
      <c r="AM41" s="182">
        <f t="shared" si="106"/>
        <v>0.59597845678945716</v>
      </c>
      <c r="AN41" s="119"/>
      <c r="AO41" s="182">
        <f t="shared" ref="AO41:AR41" si="107">+AO39/AO$10</f>
        <v>0.66025967540574282</v>
      </c>
      <c r="AP41" s="182">
        <f t="shared" si="107"/>
        <v>-0.25389386144196208</v>
      </c>
      <c r="AQ41" s="182">
        <f t="shared" si="107"/>
        <v>-2.8968713789107763E-4</v>
      </c>
      <c r="AR41" s="182">
        <f t="shared" si="107"/>
        <v>-11.926600284495022</v>
      </c>
      <c r="AS41" s="119"/>
      <c r="AT41" s="182">
        <f t="shared" ref="AT41:AW41" si="108">+AT39/AT$10</f>
        <v>0.74883954533439068</v>
      </c>
      <c r="AU41" s="182">
        <f t="shared" si="108"/>
        <v>0.60796329539552219</v>
      </c>
      <c r="AV41" s="182">
        <f t="shared" si="108"/>
        <v>0.79552594169918278</v>
      </c>
      <c r="AW41" s="182">
        <f t="shared" si="108"/>
        <v>0.12011696066241272</v>
      </c>
      <c r="AX41" s="169"/>
      <c r="AY41" s="182">
        <f t="shared" ref="AY41:BB41" si="109">+AY39/AY$10</f>
        <v>0.69813249224652363</v>
      </c>
      <c r="AZ41" s="182">
        <f t="shared" si="109"/>
        <v>0.72817520284565129</v>
      </c>
      <c r="BA41" s="182">
        <f t="shared" si="109"/>
        <v>0.68090914557152304</v>
      </c>
      <c r="BB41" s="182">
        <f t="shared" si="109"/>
        <v>0.24703259818208606</v>
      </c>
      <c r="BC41" s="169"/>
      <c r="BD41" s="182">
        <f t="shared" ref="BD41:BG41" si="110">+BD39/BD$10</f>
        <v>0.82527439997948848</v>
      </c>
      <c r="BE41" s="182">
        <f t="shared" si="110"/>
        <v>0.73711475764180345</v>
      </c>
      <c r="BF41" s="182">
        <f t="shared" si="110"/>
        <v>0.61897357424032384</v>
      </c>
      <c r="BG41" s="182">
        <f t="shared" si="110"/>
        <v>8.2989934365854084E-2</v>
      </c>
      <c r="BH41" s="169"/>
      <c r="BI41" s="182">
        <f t="shared" ref="BI41:BM41" si="111">+BI39/BI$10</f>
        <v>0.98787283971503725</v>
      </c>
      <c r="BJ41" s="182">
        <f t="shared" ref="BJ41" si="112">+BJ39/BJ$10</f>
        <v>0.9868439680600618</v>
      </c>
      <c r="BK41" s="182">
        <f t="shared" si="111"/>
        <v>0.70805696762453074</v>
      </c>
      <c r="BL41" s="182">
        <f t="shared" si="111"/>
        <v>0.73663948547145974</v>
      </c>
      <c r="BM41" s="182">
        <f t="shared" si="111"/>
        <v>-0.22790036711009357</v>
      </c>
      <c r="BN41" s="169"/>
      <c r="BO41" s="182">
        <f t="shared" ref="BO41" si="113">+BO39/BO$10</f>
        <v>0.94192870184239164</v>
      </c>
      <c r="BP41" s="122"/>
      <c r="BQ41" s="122"/>
    </row>
    <row r="42" spans="2:69" s="183" customFormat="1" ht="12.75" x14ac:dyDescent="0.2">
      <c r="AD42" s="119"/>
      <c r="AI42" s="119"/>
      <c r="AN42" s="119"/>
      <c r="AS42" s="119"/>
      <c r="BP42" s="122"/>
      <c r="BQ42" s="122"/>
    </row>
    <row r="43" spans="2:69" ht="16.5" customHeight="1" x14ac:dyDescent="0.25">
      <c r="B43" s="56" t="s">
        <v>218</v>
      </c>
      <c r="C43" s="115">
        <f>SUM(C44:C48)</f>
        <v>-195038</v>
      </c>
      <c r="D43" s="115">
        <f>SUM(D44:D48)</f>
        <v>187985</v>
      </c>
      <c r="E43" s="115">
        <f>SUM(E44:E48)</f>
        <v>-1712</v>
      </c>
      <c r="F43" s="115">
        <f>SUM(F44:F48)</f>
        <v>-13105</v>
      </c>
      <c r="H43" s="115">
        <f>SUM(H44:H48)</f>
        <v>-32621</v>
      </c>
      <c r="I43" s="115">
        <f>SUM(I44:I48)</f>
        <v>-18479</v>
      </c>
      <c r="J43" s="115">
        <f>SUM(J44:J48)</f>
        <v>-26865</v>
      </c>
      <c r="K43" s="115">
        <f>SUM(K44:K48)</f>
        <v>-29254</v>
      </c>
      <c r="L43" s="115">
        <f>SUM(L44:L48)</f>
        <v>-29254</v>
      </c>
      <c r="N43" s="115">
        <f t="shared" ref="N43:U43" si="114">SUM(N44:N48)</f>
        <v>-16546</v>
      </c>
      <c r="O43" s="115">
        <f t="shared" si="114"/>
        <v>-16546</v>
      </c>
      <c r="P43" s="115">
        <f t="shared" si="114"/>
        <v>-36752</v>
      </c>
      <c r="Q43" s="115">
        <f t="shared" si="114"/>
        <v>-36752</v>
      </c>
      <c r="R43" s="115">
        <f t="shared" si="114"/>
        <v>-45263</v>
      </c>
      <c r="S43" s="115">
        <f t="shared" si="114"/>
        <v>-45263</v>
      </c>
      <c r="T43" s="115">
        <f t="shared" si="114"/>
        <v>-33135</v>
      </c>
      <c r="U43" s="115">
        <f t="shared" si="114"/>
        <v>-36774</v>
      </c>
      <c r="W43" s="115">
        <f t="shared" ref="W43:AC43" si="115">SUM(W44:W48)</f>
        <v>-31999</v>
      </c>
      <c r="X43" s="115">
        <f t="shared" si="115"/>
        <v>-32824</v>
      </c>
      <c r="Y43" s="115">
        <f t="shared" si="115"/>
        <v>-29905</v>
      </c>
      <c r="Z43" s="115">
        <f t="shared" si="115"/>
        <v>-30664</v>
      </c>
      <c r="AA43" s="115">
        <f t="shared" si="115"/>
        <v>-27288</v>
      </c>
      <c r="AB43" s="115">
        <f t="shared" si="115"/>
        <v>-27968</v>
      </c>
      <c r="AC43" s="115">
        <f t="shared" si="115"/>
        <v>-27156</v>
      </c>
      <c r="AD43" s="119"/>
      <c r="AE43" s="115">
        <f t="shared" ref="AE43:AH43" si="116">SUM(AE44:AE48)</f>
        <v>-26447</v>
      </c>
      <c r="AF43" s="115">
        <f t="shared" si="116"/>
        <v>-29085</v>
      </c>
      <c r="AG43" s="115">
        <f t="shared" si="116"/>
        <v>-27827</v>
      </c>
      <c r="AH43" s="115">
        <f t="shared" si="116"/>
        <v>-27691</v>
      </c>
      <c r="AI43" s="119"/>
      <c r="AJ43" s="115">
        <f t="shared" ref="AJ43:AM43" si="117">SUM(AJ44:AJ48)</f>
        <v>-25842</v>
      </c>
      <c r="AK43" s="115">
        <f t="shared" si="117"/>
        <v>-23446</v>
      </c>
      <c r="AL43" s="115">
        <f t="shared" si="117"/>
        <v>-24753</v>
      </c>
      <c r="AM43" s="115">
        <f t="shared" si="117"/>
        <v>-28612</v>
      </c>
      <c r="AN43" s="119"/>
      <c r="AO43" s="115">
        <f t="shared" ref="AO43:AR43" si="118">SUM(AO44:AO48)</f>
        <v>-24999</v>
      </c>
      <c r="AP43" s="115">
        <f t="shared" si="118"/>
        <v>-38883</v>
      </c>
      <c r="AQ43" s="115">
        <f t="shared" si="118"/>
        <v>-17657</v>
      </c>
      <c r="AR43" s="115">
        <f t="shared" si="118"/>
        <v>-21231</v>
      </c>
      <c r="AS43" s="119"/>
      <c r="AT43" s="115">
        <f t="shared" ref="AT43:AW43" si="119">SUM(AT44:AT48)</f>
        <v>-17300</v>
      </c>
      <c r="AU43" s="115">
        <f t="shared" si="119"/>
        <v>-26681</v>
      </c>
      <c r="AV43" s="115">
        <f t="shared" si="119"/>
        <v>-21799</v>
      </c>
      <c r="AW43" s="115">
        <f t="shared" si="119"/>
        <v>-26684</v>
      </c>
      <c r="AX43" s="115"/>
      <c r="AY43" s="115">
        <f t="shared" ref="AY43:BA43" si="120">SUM(AY44:AY48)</f>
        <v>-22451</v>
      </c>
      <c r="AZ43" s="115">
        <f t="shared" si="120"/>
        <v>-30508</v>
      </c>
      <c r="BA43" s="115">
        <f t="shared" si="120"/>
        <v>-28951</v>
      </c>
      <c r="BB43" s="115">
        <f t="shared" ref="BB43" si="121">SUM(BB44:BB48)</f>
        <v>-23295</v>
      </c>
      <c r="BC43" s="115"/>
      <c r="BD43" s="115">
        <f t="shared" ref="BD43:BG43" si="122">SUM(BD44:BD48)</f>
        <v>397</v>
      </c>
      <c r="BE43" s="115">
        <f t="shared" si="122"/>
        <v>-47811</v>
      </c>
      <c r="BF43" s="115">
        <f t="shared" si="122"/>
        <v>-22105.404699999999</v>
      </c>
      <c r="BG43" s="115">
        <f t="shared" si="122"/>
        <v>-36911.595300000001</v>
      </c>
      <c r="BH43" s="115"/>
      <c r="BI43" s="115">
        <f t="shared" ref="BI43:BJ43" si="123">SUM(BI44:BI48)</f>
        <v>-13413</v>
      </c>
      <c r="BJ43" s="115">
        <f t="shared" si="123"/>
        <v>-13413</v>
      </c>
      <c r="BK43" s="115">
        <f t="shared" ref="BK43:BM43" si="124">SUM(BK44:BK48)</f>
        <v>-42722</v>
      </c>
      <c r="BL43" s="115">
        <f t="shared" si="124"/>
        <v>-30973</v>
      </c>
      <c r="BM43" s="115">
        <f t="shared" si="124"/>
        <v>-36059</v>
      </c>
      <c r="BN43" s="115"/>
      <c r="BO43" s="115">
        <f t="shared" ref="BO43" si="125">SUM(BO44:BO48)</f>
        <v>-38291</v>
      </c>
      <c r="BP43" s="288" t="e">
        <f>+BO43-#REF!</f>
        <v>#REF!</v>
      </c>
      <c r="BQ43" s="122" t="e">
        <f>BJ43-#REF!</f>
        <v>#REF!</v>
      </c>
    </row>
    <row r="44" spans="2:69" ht="16.5" customHeight="1" x14ac:dyDescent="0.25">
      <c r="B44" s="92" t="s">
        <v>148</v>
      </c>
      <c r="C44" s="114">
        <v>-189633</v>
      </c>
      <c r="D44" s="114">
        <v>169794</v>
      </c>
      <c r="E44" s="114">
        <f>17123+1</f>
        <v>17124</v>
      </c>
      <c r="F44" s="114">
        <v>-11163</v>
      </c>
      <c r="H44" s="114">
        <v>-32641</v>
      </c>
      <c r="I44" s="114">
        <f>-18546+1</f>
        <v>-18545</v>
      </c>
      <c r="J44" s="114">
        <f>-26642</f>
        <v>-26642</v>
      </c>
      <c r="K44" s="114">
        <v>-29446</v>
      </c>
      <c r="L44" s="114">
        <v>-29446</v>
      </c>
      <c r="N44" s="114">
        <v>-22738</v>
      </c>
      <c r="O44" s="114">
        <v>-22738</v>
      </c>
      <c r="P44" s="114">
        <v>-36720</v>
      </c>
      <c r="Q44" s="114">
        <v>-36720</v>
      </c>
      <c r="R44" s="114">
        <v>-45240</v>
      </c>
      <c r="S44" s="114">
        <v>-45240</v>
      </c>
      <c r="T44" s="114">
        <v>-33178</v>
      </c>
      <c r="U44" s="114">
        <f>-33178-3643</f>
        <v>-36821</v>
      </c>
      <c r="W44" s="114">
        <v>-31738</v>
      </c>
      <c r="X44" s="114">
        <v>-32563</v>
      </c>
      <c r="Y44" s="165">
        <v>-29574</v>
      </c>
      <c r="Z44" s="165">
        <f>-29574-759</f>
        <v>-30333</v>
      </c>
      <c r="AA44" s="165">
        <v>-31994</v>
      </c>
      <c r="AB44" s="165">
        <f>-31994-680</f>
        <v>-32674</v>
      </c>
      <c r="AC44" s="166">
        <v>-27121</v>
      </c>
      <c r="AD44" s="119"/>
      <c r="AE44" s="114">
        <v>-26333</v>
      </c>
      <c r="AF44" s="165">
        <v>-29011</v>
      </c>
      <c r="AG44" s="165">
        <v>-27117</v>
      </c>
      <c r="AH44" s="165">
        <v>-29029</v>
      </c>
      <c r="AI44" s="119"/>
      <c r="AJ44" s="114">
        <v>-25855</v>
      </c>
      <c r="AK44" s="165">
        <v>-23446</v>
      </c>
      <c r="AL44" s="165">
        <v>-22318</v>
      </c>
      <c r="AM44" s="165">
        <v>-28566</v>
      </c>
      <c r="AN44" s="119"/>
      <c r="AO44" s="114">
        <v>-25602</v>
      </c>
      <c r="AP44" s="166">
        <f>-40505+1966</f>
        <v>-38539</v>
      </c>
      <c r="AQ44" s="165">
        <v>-17687</v>
      </c>
      <c r="AR44" s="165">
        <v>-20850</v>
      </c>
      <c r="AS44" s="119"/>
      <c r="AT44" s="114">
        <v>-17314</v>
      </c>
      <c r="AU44" s="166">
        <v>-26158</v>
      </c>
      <c r="AV44" s="165">
        <v>-22256</v>
      </c>
      <c r="AW44" s="165">
        <v>-25430</v>
      </c>
      <c r="AX44" s="166"/>
      <c r="AY44" s="114">
        <v>-22074</v>
      </c>
      <c r="AZ44" s="166">
        <v>-30546</v>
      </c>
      <c r="BA44" s="166">
        <v>-29161</v>
      </c>
      <c r="BB44" s="165">
        <v>-26892</v>
      </c>
      <c r="BC44" s="166"/>
      <c r="BD44" s="114">
        <v>657</v>
      </c>
      <c r="BE44" s="166">
        <v>-42484</v>
      </c>
      <c r="BF44" s="165">
        <v>-31583.404699999999</v>
      </c>
      <c r="BG44" s="165">
        <v>-9953.5953000000009</v>
      </c>
      <c r="BH44" s="166"/>
      <c r="BI44" s="114">
        <v>-15736</v>
      </c>
      <c r="BJ44" s="114">
        <v>-15736</v>
      </c>
      <c r="BK44" s="166">
        <v>-42336</v>
      </c>
      <c r="BL44" s="165">
        <v>-31870</v>
      </c>
      <c r="BM44" s="165">
        <v>-43692</v>
      </c>
      <c r="BN44" s="166"/>
      <c r="BO44" s="165">
        <v>-31471</v>
      </c>
      <c r="BP44" s="288" t="e">
        <f>+BO44-#REF!</f>
        <v>#REF!</v>
      </c>
      <c r="BQ44" s="122" t="e">
        <f>BJ44-#REF!</f>
        <v>#REF!</v>
      </c>
    </row>
    <row r="45" spans="2:69" ht="16.5" hidden="1" customHeight="1" x14ac:dyDescent="0.25">
      <c r="B45" s="92" t="s">
        <v>219</v>
      </c>
      <c r="C45" s="167">
        <v>0</v>
      </c>
      <c r="D45" s="167">
        <v>0</v>
      </c>
      <c r="E45" s="167">
        <v>0</v>
      </c>
      <c r="F45" s="167"/>
      <c r="H45" s="167">
        <v>0</v>
      </c>
      <c r="I45" s="167">
        <v>0</v>
      </c>
      <c r="J45" s="167">
        <v>0</v>
      </c>
      <c r="K45" s="167">
        <v>0</v>
      </c>
      <c r="L45" s="167">
        <v>0</v>
      </c>
      <c r="N45" s="167">
        <v>0</v>
      </c>
      <c r="O45" s="167">
        <v>0</v>
      </c>
      <c r="P45" s="167">
        <v>0</v>
      </c>
      <c r="Q45" s="167"/>
      <c r="R45" s="167">
        <v>0</v>
      </c>
      <c r="S45" s="167"/>
      <c r="T45" s="167"/>
      <c r="U45" s="167"/>
      <c r="W45" s="167">
        <v>0</v>
      </c>
      <c r="X45" s="167"/>
      <c r="Y45" s="165"/>
      <c r="Z45" s="165"/>
      <c r="AD45" s="119"/>
      <c r="AE45" s="167"/>
      <c r="AF45" s="165">
        <v>0</v>
      </c>
      <c r="AG45" s="165">
        <v>0</v>
      </c>
      <c r="AH45" s="165">
        <v>0</v>
      </c>
      <c r="AI45" s="119"/>
      <c r="AJ45" s="167"/>
      <c r="AK45" s="165"/>
      <c r="AL45" s="165"/>
      <c r="AM45" s="165"/>
      <c r="AN45" s="119"/>
      <c r="AO45" s="167"/>
      <c r="AP45" s="165"/>
      <c r="AQ45" s="165"/>
      <c r="AR45" s="165"/>
      <c r="AS45" s="119"/>
      <c r="AT45" s="167"/>
      <c r="AU45" s="165"/>
      <c r="AV45" s="165"/>
      <c r="AW45" s="165"/>
      <c r="AX45" s="166"/>
      <c r="AY45" s="167"/>
      <c r="AZ45" s="165">
        <v>0</v>
      </c>
      <c r="BA45" s="165"/>
      <c r="BB45" s="165"/>
      <c r="BC45" s="166"/>
      <c r="BD45" s="167">
        <v>0</v>
      </c>
      <c r="BE45" s="165">
        <v>0</v>
      </c>
      <c r="BF45" s="165">
        <v>0</v>
      </c>
      <c r="BG45" s="165">
        <v>0</v>
      </c>
      <c r="BH45" s="166"/>
      <c r="BI45" s="167">
        <v>0</v>
      </c>
      <c r="BJ45" s="167">
        <v>0</v>
      </c>
      <c r="BK45" s="165">
        <v>0</v>
      </c>
      <c r="BL45" s="165">
        <v>0</v>
      </c>
      <c r="BM45" s="165">
        <v>0</v>
      </c>
      <c r="BN45" s="166"/>
      <c r="BO45" s="165">
        <v>0</v>
      </c>
      <c r="BP45" s="288" t="e">
        <f>+BO45-#REF!</f>
        <v>#REF!</v>
      </c>
      <c r="BQ45" s="122" t="e">
        <f>BJ45-#REF!</f>
        <v>#REF!</v>
      </c>
    </row>
    <row r="46" spans="2:69" ht="12.75" customHeight="1" x14ac:dyDescent="0.25">
      <c r="B46" s="92" t="s">
        <v>149</v>
      </c>
      <c r="C46" s="114">
        <v>-5405</v>
      </c>
      <c r="D46" s="119">
        <v>18191</v>
      </c>
      <c r="E46" s="114">
        <v>-18836</v>
      </c>
      <c r="F46" s="114">
        <v>-1942</v>
      </c>
      <c r="H46" s="119">
        <f>21-1</f>
        <v>20</v>
      </c>
      <c r="I46" s="119">
        <v>66</v>
      </c>
      <c r="J46" s="114">
        <v>-223</v>
      </c>
      <c r="K46" s="119">
        <v>192</v>
      </c>
      <c r="L46" s="119">
        <v>192</v>
      </c>
      <c r="N46" s="119">
        <v>6192</v>
      </c>
      <c r="O46" s="119">
        <v>6192</v>
      </c>
      <c r="P46" s="114">
        <v>-32</v>
      </c>
      <c r="Q46" s="114">
        <v>-32</v>
      </c>
      <c r="R46" s="114">
        <v>-23</v>
      </c>
      <c r="S46" s="114">
        <v>-23</v>
      </c>
      <c r="T46" s="114">
        <v>43</v>
      </c>
      <c r="U46" s="119">
        <f>43+4</f>
        <v>47</v>
      </c>
      <c r="W46" s="114">
        <v>-261</v>
      </c>
      <c r="X46" s="114">
        <v>-261</v>
      </c>
      <c r="Y46" s="165">
        <v>-331</v>
      </c>
      <c r="Z46" s="165">
        <v>-331</v>
      </c>
      <c r="AA46" s="165">
        <v>4706</v>
      </c>
      <c r="AB46" s="165">
        <v>4706</v>
      </c>
      <c r="AC46" s="165">
        <v>-35</v>
      </c>
      <c r="AD46" s="119"/>
      <c r="AE46" s="114">
        <v>-114</v>
      </c>
      <c r="AF46" s="165">
        <v>-74</v>
      </c>
      <c r="AG46" s="165">
        <v>-710</v>
      </c>
      <c r="AH46" s="165">
        <v>1338</v>
      </c>
      <c r="AI46" s="119"/>
      <c r="AJ46" s="114">
        <v>13</v>
      </c>
      <c r="AK46" s="165">
        <v>0</v>
      </c>
      <c r="AL46" s="165">
        <v>-2435</v>
      </c>
      <c r="AM46" s="165">
        <v>-46</v>
      </c>
      <c r="AN46" s="119"/>
      <c r="AO46" s="114">
        <v>603</v>
      </c>
      <c r="AP46" s="165">
        <v>-344</v>
      </c>
      <c r="AQ46" s="165">
        <v>30</v>
      </c>
      <c r="AR46" s="165">
        <v>-381</v>
      </c>
      <c r="AS46" s="119"/>
      <c r="AT46" s="114">
        <v>14</v>
      </c>
      <c r="AU46" s="165">
        <v>-523</v>
      </c>
      <c r="AV46" s="165">
        <v>457</v>
      </c>
      <c r="AW46" s="165">
        <v>-1254</v>
      </c>
      <c r="AX46" s="166"/>
      <c r="AY46" s="114">
        <v>-377</v>
      </c>
      <c r="AZ46" s="165">
        <v>38</v>
      </c>
      <c r="BA46" s="165">
        <v>210</v>
      </c>
      <c r="BB46" s="165">
        <v>3597</v>
      </c>
      <c r="BC46" s="166"/>
      <c r="BD46" s="114">
        <v>-260</v>
      </c>
      <c r="BE46" s="165">
        <v>-5327</v>
      </c>
      <c r="BF46" s="165">
        <v>9478</v>
      </c>
      <c r="BG46" s="165">
        <v>-26958</v>
      </c>
      <c r="BH46" s="166"/>
      <c r="BI46" s="114">
        <v>2323</v>
      </c>
      <c r="BJ46" s="114">
        <v>2323</v>
      </c>
      <c r="BK46" s="165">
        <v>-386</v>
      </c>
      <c r="BL46" s="165">
        <v>897</v>
      </c>
      <c r="BM46" s="165">
        <v>7633</v>
      </c>
      <c r="BN46" s="166"/>
      <c r="BO46" s="165">
        <v>-6820</v>
      </c>
      <c r="BP46" s="288" t="e">
        <f>+BO46-#REF!</f>
        <v>#REF!</v>
      </c>
      <c r="BQ46" s="122" t="e">
        <f>BJ46-#REF!</f>
        <v>#REF!</v>
      </c>
    </row>
    <row r="47" spans="2:69" ht="13.5" hidden="1" customHeight="1" x14ac:dyDescent="0.25">
      <c r="B47" s="92" t="s">
        <v>220</v>
      </c>
      <c r="C47" s="119">
        <v>0</v>
      </c>
      <c r="D47" s="119">
        <v>0</v>
      </c>
      <c r="E47" s="119">
        <v>0</v>
      </c>
      <c r="F47" s="119"/>
      <c r="H47" s="119">
        <v>0</v>
      </c>
      <c r="I47" s="119">
        <v>0</v>
      </c>
      <c r="J47" s="119">
        <v>0</v>
      </c>
      <c r="K47" s="119"/>
      <c r="L47" s="119">
        <v>0</v>
      </c>
      <c r="N47" s="119">
        <v>0</v>
      </c>
      <c r="O47" s="119">
        <v>0</v>
      </c>
      <c r="P47" s="119">
        <v>0</v>
      </c>
      <c r="Q47" s="119"/>
      <c r="R47" s="119">
        <v>0</v>
      </c>
      <c r="S47" s="119"/>
      <c r="T47" s="119"/>
      <c r="U47" s="119"/>
      <c r="W47" s="119">
        <v>0</v>
      </c>
      <c r="X47" s="119">
        <v>0</v>
      </c>
      <c r="AD47" s="119"/>
      <c r="AE47" s="119">
        <v>0</v>
      </c>
      <c r="AI47" s="119"/>
      <c r="AJ47" s="119">
        <v>0</v>
      </c>
      <c r="AN47" s="119"/>
      <c r="AO47" s="119">
        <v>0</v>
      </c>
      <c r="AS47" s="119"/>
      <c r="AT47" s="119">
        <v>0</v>
      </c>
      <c r="AV47"/>
      <c r="AY47" s="119">
        <v>0</v>
      </c>
      <c r="BD47" s="119"/>
      <c r="BF47"/>
      <c r="BI47" s="119"/>
      <c r="BJ47" s="119"/>
      <c r="BP47" s="122" t="e">
        <f>AY47+AZ47+BA47+BB47-#REF!</f>
        <v>#REF!</v>
      </c>
      <c r="BQ47" s="122" t="e">
        <f>AY47+AZ47-#REF!</f>
        <v>#REF!</v>
      </c>
    </row>
    <row r="48" spans="2:69" ht="5.25" customHeight="1" x14ac:dyDescent="0.25">
      <c r="B48" s="92"/>
      <c r="C48" s="119"/>
      <c r="D48" s="119"/>
      <c r="E48" s="119"/>
      <c r="F48" s="119"/>
      <c r="H48" s="119"/>
      <c r="I48" s="119"/>
      <c r="J48" s="119"/>
      <c r="K48" s="119"/>
      <c r="L48" s="119"/>
      <c r="N48" s="119"/>
      <c r="O48" s="119"/>
      <c r="P48" s="119"/>
      <c r="Q48" s="119"/>
      <c r="R48" s="119"/>
      <c r="S48" s="119"/>
      <c r="T48" s="119"/>
      <c r="U48" s="119"/>
      <c r="W48" s="114"/>
      <c r="X48" s="114"/>
      <c r="AD48" s="119"/>
      <c r="AE48" s="114"/>
      <c r="AI48" s="119"/>
      <c r="AJ48" s="114"/>
      <c r="AN48" s="119"/>
      <c r="AO48" s="114"/>
      <c r="AS48" s="119"/>
      <c r="AT48" s="114"/>
      <c r="AV48"/>
      <c r="AY48" s="114"/>
      <c r="BD48" s="114"/>
      <c r="BF48"/>
      <c r="BI48" s="114"/>
      <c r="BJ48" s="114"/>
      <c r="BP48" s="122"/>
      <c r="BQ48" s="122"/>
    </row>
    <row r="49" spans="2:69" ht="5.25" customHeight="1" x14ac:dyDescent="0.25">
      <c r="C49" s="167"/>
      <c r="D49" s="167"/>
      <c r="E49" s="167"/>
      <c r="F49" s="167"/>
      <c r="H49" s="167"/>
      <c r="I49" s="167"/>
      <c r="J49" s="167"/>
      <c r="K49" s="167"/>
      <c r="L49" s="167"/>
      <c r="N49" s="167"/>
      <c r="O49" s="167"/>
      <c r="P49" s="167"/>
      <c r="Q49" s="167"/>
      <c r="R49" s="167"/>
      <c r="S49" s="167"/>
      <c r="T49" s="167"/>
      <c r="U49" s="167"/>
      <c r="W49" s="167"/>
      <c r="X49" s="167"/>
      <c r="AD49" s="119"/>
      <c r="AE49" s="167"/>
      <c r="AI49" s="119"/>
      <c r="AJ49" s="167"/>
      <c r="AN49" s="119"/>
      <c r="AO49" s="167"/>
      <c r="AS49" s="119"/>
      <c r="AT49" s="167"/>
      <c r="AV49"/>
      <c r="AY49" s="167"/>
      <c r="BD49" s="167"/>
      <c r="BF49"/>
      <c r="BI49" s="167"/>
      <c r="BJ49" s="167"/>
      <c r="BP49" s="122"/>
      <c r="BQ49" s="122"/>
    </row>
    <row r="50" spans="2:69" ht="12.75" x14ac:dyDescent="0.25">
      <c r="B50" s="56" t="s">
        <v>150</v>
      </c>
      <c r="C50" s="115">
        <f>+C35+C43</f>
        <v>-37712</v>
      </c>
      <c r="D50" s="71">
        <f>+D35+D43</f>
        <v>257159</v>
      </c>
      <c r="E50" s="71">
        <f>+E35+E43</f>
        <v>30299</v>
      </c>
      <c r="F50" s="115">
        <f>+F35+F43</f>
        <v>-49517</v>
      </c>
      <c r="H50" s="71">
        <f>+H35+H43</f>
        <v>44431</v>
      </c>
      <c r="I50" s="71">
        <f>+I35+I43</f>
        <v>94161</v>
      </c>
      <c r="J50" s="71">
        <f>+J35+J43</f>
        <v>304933</v>
      </c>
      <c r="K50" s="115">
        <f>+K35+K43</f>
        <v>-45438</v>
      </c>
      <c r="L50" s="115">
        <f>+L35+L43</f>
        <v>-19463</v>
      </c>
      <c r="N50" s="71">
        <f t="shared" ref="N50:U50" si="126">+N35+N43</f>
        <v>88250</v>
      </c>
      <c r="O50" s="71">
        <f t="shared" si="126"/>
        <v>102050</v>
      </c>
      <c r="P50" s="71">
        <f t="shared" si="126"/>
        <v>60049</v>
      </c>
      <c r="Q50" s="71">
        <f t="shared" si="126"/>
        <v>65865</v>
      </c>
      <c r="R50" s="71">
        <f t="shared" si="126"/>
        <v>44184</v>
      </c>
      <c r="S50" s="71">
        <f t="shared" si="126"/>
        <v>64990</v>
      </c>
      <c r="T50" s="71">
        <f t="shared" si="126"/>
        <v>180776</v>
      </c>
      <c r="U50" s="71">
        <f t="shared" si="126"/>
        <v>166840</v>
      </c>
      <c r="W50" s="71">
        <f t="shared" ref="W50:AC50" si="127">+W35+W43</f>
        <v>88063</v>
      </c>
      <c r="X50" s="71">
        <f t="shared" si="127"/>
        <v>88079</v>
      </c>
      <c r="Y50" s="71">
        <f t="shared" si="127"/>
        <v>64684</v>
      </c>
      <c r="Z50" s="71">
        <f t="shared" si="127"/>
        <v>64991</v>
      </c>
      <c r="AA50" s="71">
        <f t="shared" si="127"/>
        <v>376929</v>
      </c>
      <c r="AB50" s="71">
        <f t="shared" si="127"/>
        <v>376376</v>
      </c>
      <c r="AC50" s="115">
        <f t="shared" si="127"/>
        <v>-38310</v>
      </c>
      <c r="AD50" s="119"/>
      <c r="AE50" s="71">
        <f t="shared" ref="AE50:AH50" si="128">+AE35+AE43</f>
        <v>486234</v>
      </c>
      <c r="AF50" s="71">
        <f t="shared" si="128"/>
        <v>40745</v>
      </c>
      <c r="AG50" s="71">
        <f t="shared" si="128"/>
        <v>193887</v>
      </c>
      <c r="AH50" s="115">
        <f t="shared" si="128"/>
        <v>125809</v>
      </c>
      <c r="AI50" s="119"/>
      <c r="AJ50" s="71">
        <f t="shared" ref="AJ50:AM50" si="129">+AJ35+AJ43</f>
        <v>169997</v>
      </c>
      <c r="AK50" s="71">
        <f t="shared" si="129"/>
        <v>38936</v>
      </c>
      <c r="AL50" s="71">
        <f t="shared" si="129"/>
        <v>209573</v>
      </c>
      <c r="AM50" s="115">
        <f t="shared" si="129"/>
        <v>77494</v>
      </c>
      <c r="AN50" s="119"/>
      <c r="AO50" s="71">
        <f t="shared" ref="AO50:AR50" si="130">+AO35+AO43</f>
        <v>103458</v>
      </c>
      <c r="AP50" s="71">
        <f t="shared" si="130"/>
        <v>-50440</v>
      </c>
      <c r="AQ50" s="71">
        <f t="shared" si="130"/>
        <v>-23375</v>
      </c>
      <c r="AR50" s="115">
        <f t="shared" si="130"/>
        <v>-67708</v>
      </c>
      <c r="AS50" s="119"/>
      <c r="AT50" s="71">
        <f t="shared" ref="AT50:AW50" si="131">+AT35+AT43</f>
        <v>119943</v>
      </c>
      <c r="AU50" s="71">
        <f t="shared" si="131"/>
        <v>102392</v>
      </c>
      <c r="AV50" s="71">
        <f t="shared" si="131"/>
        <v>109839</v>
      </c>
      <c r="AW50" s="115">
        <f t="shared" si="131"/>
        <v>-22265</v>
      </c>
      <c r="AX50" s="115"/>
      <c r="AY50" s="71">
        <f t="shared" ref="AY50:BB50" si="132">+AY35+AY43</f>
        <v>171903</v>
      </c>
      <c r="AZ50" s="71">
        <f t="shared" si="132"/>
        <v>90350</v>
      </c>
      <c r="BA50" s="71">
        <f t="shared" si="132"/>
        <v>79870</v>
      </c>
      <c r="BB50" s="115">
        <f t="shared" si="132"/>
        <v>14671</v>
      </c>
      <c r="BC50" s="115"/>
      <c r="BD50" s="71">
        <f t="shared" ref="BD50:BG50" si="133">+BD35+BD43</f>
        <v>353856</v>
      </c>
      <c r="BE50" s="71">
        <f t="shared" si="133"/>
        <v>360830</v>
      </c>
      <c r="BF50" s="71">
        <f t="shared" si="133"/>
        <v>144199</v>
      </c>
      <c r="BG50" s="115">
        <f t="shared" si="133"/>
        <v>-23091</v>
      </c>
      <c r="BH50" s="115"/>
      <c r="BI50" s="71">
        <f t="shared" ref="BI50:BM50" si="134">+BI35+BI43</f>
        <v>2922991</v>
      </c>
      <c r="BJ50" s="71">
        <f t="shared" ref="BJ50" si="135">+BJ35+BJ43</f>
        <v>2690474</v>
      </c>
      <c r="BK50" s="71">
        <f t="shared" si="134"/>
        <v>111090</v>
      </c>
      <c r="BL50" s="71">
        <f t="shared" si="134"/>
        <v>128617</v>
      </c>
      <c r="BM50" s="71">
        <f t="shared" si="134"/>
        <v>-65594</v>
      </c>
      <c r="BN50" s="71"/>
      <c r="BO50" s="71">
        <f t="shared" ref="BO50" si="136">+BO35+BO43</f>
        <v>1237898</v>
      </c>
      <c r="BP50" s="288" t="e">
        <f>+BO50-#REF!</f>
        <v>#REF!</v>
      </c>
      <c r="BQ50" s="122" t="e">
        <f>BJ50-#REF!</f>
        <v>#REF!</v>
      </c>
    </row>
    <row r="51" spans="2:69" s="95" customFormat="1" ht="5.25" hidden="1" customHeight="1" x14ac:dyDescent="0.25">
      <c r="B51" s="51"/>
      <c r="L51" s="95">
        <v>0</v>
      </c>
      <c r="AD51" s="119"/>
      <c r="AI51" s="119"/>
      <c r="AN51" s="119"/>
      <c r="AS51" s="119"/>
      <c r="BP51" s="122" t="e">
        <f>AY51+AZ51+BA51+BB51-#REF!</f>
        <v>#REF!</v>
      </c>
      <c r="BQ51" s="122" t="e">
        <f>AY51+AZ51-#REF!</f>
        <v>#REF!</v>
      </c>
    </row>
    <row r="52" spans="2:69" s="95" customFormat="1" ht="5.25" customHeight="1" x14ac:dyDescent="0.25">
      <c r="B52" s="51"/>
      <c r="AD52" s="119"/>
      <c r="AI52" s="119"/>
      <c r="AN52" s="119"/>
      <c r="AS52" s="119"/>
      <c r="BP52" s="122"/>
      <c r="BQ52" s="122"/>
    </row>
    <row r="53" spans="2:69" ht="15.75" customHeight="1" x14ac:dyDescent="0.2">
      <c r="B53" s="184" t="s">
        <v>151</v>
      </c>
      <c r="C53" s="114">
        <v>-16337</v>
      </c>
      <c r="D53" s="114">
        <v>-4897</v>
      </c>
      <c r="E53" s="114">
        <v>7198</v>
      </c>
      <c r="F53" s="114">
        <v>13223</v>
      </c>
      <c r="H53" s="114">
        <v>9792</v>
      </c>
      <c r="I53" s="114">
        <v>-10606</v>
      </c>
      <c r="J53" s="114">
        <v>-5741</v>
      </c>
      <c r="K53" s="114">
        <v>32841</v>
      </c>
      <c r="L53" s="114">
        <v>35155</v>
      </c>
      <c r="N53" s="114">
        <v>-2546</v>
      </c>
      <c r="O53" s="114">
        <v>-2546</v>
      </c>
      <c r="P53" s="114">
        <v>14733</v>
      </c>
      <c r="Q53" s="114">
        <v>14733</v>
      </c>
      <c r="R53" s="114">
        <v>17439</v>
      </c>
      <c r="S53" s="114">
        <v>17439</v>
      </c>
      <c r="T53" s="114">
        <v>-8187</v>
      </c>
      <c r="U53" s="114">
        <f>-8187+6550</f>
        <v>-1637</v>
      </c>
      <c r="W53" s="114">
        <v>1092</v>
      </c>
      <c r="X53" s="114">
        <v>1108</v>
      </c>
      <c r="Y53" s="165">
        <v>3266</v>
      </c>
      <c r="Z53" s="165">
        <f>3266+307</f>
        <v>3573</v>
      </c>
      <c r="AA53" s="165">
        <v>43776</v>
      </c>
      <c r="AB53" s="165">
        <f>43776-553</f>
        <v>43223</v>
      </c>
      <c r="AC53" s="165">
        <v>-9609</v>
      </c>
      <c r="AD53" s="119"/>
      <c r="AE53" s="114">
        <v>5846</v>
      </c>
      <c r="AF53" s="165">
        <v>797</v>
      </c>
      <c r="AG53" s="165">
        <v>3371</v>
      </c>
      <c r="AH53" s="165">
        <v>24985</v>
      </c>
      <c r="AI53" s="119"/>
      <c r="AJ53" s="114">
        <v>-2191</v>
      </c>
      <c r="AK53" s="165">
        <v>5407</v>
      </c>
      <c r="AL53" s="165">
        <v>10472</v>
      </c>
      <c r="AM53" s="165">
        <v>-427</v>
      </c>
      <c r="AN53" s="119"/>
      <c r="AO53" s="114">
        <v>4062</v>
      </c>
      <c r="AP53" s="165">
        <v>5388</v>
      </c>
      <c r="AQ53" s="165">
        <v>5330</v>
      </c>
      <c r="AR53" s="165">
        <f>8590-2312</f>
        <v>6278</v>
      </c>
      <c r="AS53" s="119"/>
      <c r="AT53" s="114">
        <v>1761</v>
      </c>
      <c r="AU53" s="165">
        <v>-12485</v>
      </c>
      <c r="AV53" s="165">
        <v>-2423</v>
      </c>
      <c r="AW53" s="165">
        <v>-13149</v>
      </c>
      <c r="AX53" s="166"/>
      <c r="AY53" s="114">
        <v>777</v>
      </c>
      <c r="AZ53" s="165">
        <v>7333</v>
      </c>
      <c r="BA53" s="165">
        <v>-2769</v>
      </c>
      <c r="BB53" s="165">
        <v>5664</v>
      </c>
      <c r="BC53" s="166"/>
      <c r="BD53" s="114">
        <v>7574</v>
      </c>
      <c r="BE53" s="165">
        <v>3562</v>
      </c>
      <c r="BF53" s="165">
        <v>25710</v>
      </c>
      <c r="BG53" s="165">
        <v>9607</v>
      </c>
      <c r="BH53" s="166"/>
      <c r="BI53" s="114">
        <v>348139</v>
      </c>
      <c r="BJ53" s="114">
        <v>111266</v>
      </c>
      <c r="BK53" s="165">
        <v>2730</v>
      </c>
      <c r="BL53" s="165">
        <v>3678</v>
      </c>
      <c r="BM53" s="165">
        <v>210570</v>
      </c>
      <c r="BN53" s="166"/>
      <c r="BO53" s="165">
        <v>9707</v>
      </c>
      <c r="BP53" s="288" t="e">
        <f>+BO53-#REF!</f>
        <v>#REF!</v>
      </c>
      <c r="BQ53" s="122" t="e">
        <f>BJ53-#REF!</f>
        <v>#REF!</v>
      </c>
    </row>
    <row r="54" spans="2:69" ht="16.5" customHeight="1" x14ac:dyDescent="0.25">
      <c r="B54" s="56" t="s">
        <v>152</v>
      </c>
      <c r="C54" s="167"/>
      <c r="D54" s="167"/>
      <c r="E54" s="167"/>
      <c r="F54" s="167"/>
      <c r="H54" s="167"/>
      <c r="I54" s="167"/>
      <c r="J54" s="167"/>
      <c r="K54" s="167"/>
      <c r="L54" s="167"/>
      <c r="N54" s="167"/>
      <c r="O54" s="167"/>
      <c r="P54" s="167"/>
      <c r="Q54" s="167"/>
      <c r="R54" s="167"/>
      <c r="S54" s="167"/>
      <c r="T54" s="167"/>
      <c r="U54" s="167"/>
      <c r="W54" s="167"/>
      <c r="X54" s="167"/>
      <c r="AD54" s="119"/>
      <c r="AE54" s="167"/>
      <c r="AI54" s="119"/>
      <c r="AJ54" s="167"/>
      <c r="AN54" s="119"/>
      <c r="AO54" s="167"/>
      <c r="AS54" s="119"/>
      <c r="AT54" s="167"/>
      <c r="AV54"/>
      <c r="AY54" s="167"/>
      <c r="BD54" s="167"/>
      <c r="BF54"/>
      <c r="BI54" s="167"/>
      <c r="BJ54" s="67">
        <f>+BJ50-BJ53</f>
        <v>2579208</v>
      </c>
      <c r="BO54" s="67">
        <f>+BO50-BO53</f>
        <v>1228191</v>
      </c>
      <c r="BP54" s="288" t="e">
        <f>+BO54-#REF!</f>
        <v>#REF!</v>
      </c>
      <c r="BQ54" s="122" t="e">
        <f>BJ54-#REF!</f>
        <v>#REF!</v>
      </c>
    </row>
    <row r="55" spans="2:69" ht="16.5" customHeight="1" x14ac:dyDescent="0.25">
      <c r="B55" s="97" t="s">
        <v>360</v>
      </c>
      <c r="C55" s="167"/>
      <c r="D55" s="167"/>
      <c r="E55" s="167"/>
      <c r="F55" s="167"/>
      <c r="H55" s="167"/>
      <c r="I55" s="167"/>
      <c r="J55" s="167"/>
      <c r="K55" s="167"/>
      <c r="L55" s="167"/>
      <c r="N55" s="167"/>
      <c r="O55" s="167"/>
      <c r="P55" s="167"/>
      <c r="Q55" s="167"/>
      <c r="R55" s="167"/>
      <c r="S55" s="167"/>
      <c r="T55" s="167"/>
      <c r="U55" s="167"/>
      <c r="W55" s="167"/>
      <c r="X55" s="167"/>
      <c r="AD55" s="119"/>
      <c r="AE55" s="167"/>
      <c r="AI55" s="119"/>
      <c r="AJ55" s="167"/>
      <c r="AN55" s="119"/>
      <c r="AO55" s="167"/>
      <c r="AS55" s="119"/>
      <c r="AT55" s="167"/>
      <c r="AV55"/>
      <c r="AY55" s="167"/>
      <c r="BD55" s="167"/>
      <c r="BF55"/>
      <c r="BI55" s="167"/>
      <c r="BJ55" s="165">
        <v>-4356</v>
      </c>
      <c r="BK55" s="165"/>
      <c r="BL55" s="165"/>
      <c r="BM55" s="165"/>
      <c r="BO55" s="165">
        <v>261841</v>
      </c>
      <c r="BP55" s="288" t="e">
        <f>+BO55-#REF!</f>
        <v>#REF!</v>
      </c>
      <c r="BQ55" s="122" t="e">
        <f>BJ55-#REF!</f>
        <v>#REF!</v>
      </c>
    </row>
    <row r="56" spans="2:69" ht="8.1" customHeight="1" x14ac:dyDescent="0.25">
      <c r="C56" s="167"/>
      <c r="D56" s="167"/>
      <c r="E56" s="167"/>
      <c r="F56" s="167"/>
      <c r="H56" s="167"/>
      <c r="I56" s="167"/>
      <c r="J56" s="167"/>
      <c r="K56" s="167"/>
      <c r="L56" s="167"/>
      <c r="N56" s="167"/>
      <c r="O56" s="167"/>
      <c r="P56" s="167"/>
      <c r="Q56" s="167"/>
      <c r="R56" s="167"/>
      <c r="S56" s="167"/>
      <c r="T56" s="167"/>
      <c r="U56" s="167"/>
      <c r="W56" s="167"/>
      <c r="X56" s="167"/>
      <c r="AD56" s="119"/>
      <c r="AE56" s="167"/>
      <c r="AI56" s="119"/>
      <c r="AJ56" s="167"/>
      <c r="AN56" s="119"/>
      <c r="AO56" s="167"/>
      <c r="AS56" s="119"/>
      <c r="AT56" s="167"/>
      <c r="AV56"/>
      <c r="AY56" s="167"/>
      <c r="BD56" s="167"/>
      <c r="BF56"/>
      <c r="BI56" s="167"/>
      <c r="BJ56" s="167"/>
      <c r="BP56" s="122"/>
      <c r="BQ56" s="122"/>
    </row>
    <row r="57" spans="2:69" s="56" customFormat="1" ht="16.5" customHeight="1" x14ac:dyDescent="0.25">
      <c r="B57" s="185" t="s">
        <v>221</v>
      </c>
      <c r="C57" s="178">
        <f>+C50-C53</f>
        <v>-21375</v>
      </c>
      <c r="D57" s="158">
        <f>+D50-D53</f>
        <v>262056</v>
      </c>
      <c r="E57" s="158">
        <f>+E50-E53</f>
        <v>23101</v>
      </c>
      <c r="F57" s="115">
        <f>+F50-F53</f>
        <v>-62740</v>
      </c>
      <c r="G57" s="113"/>
      <c r="H57" s="158">
        <f>+H50-H53</f>
        <v>34639</v>
      </c>
      <c r="I57" s="158">
        <f>+I50-I53</f>
        <v>104767</v>
      </c>
      <c r="J57" s="158">
        <f>+J50-J53</f>
        <v>310674</v>
      </c>
      <c r="K57" s="158">
        <f>+K50-K53</f>
        <v>-78279</v>
      </c>
      <c r="L57" s="158">
        <f>+L50-L53</f>
        <v>-54618</v>
      </c>
      <c r="N57" s="158">
        <f t="shared" ref="N57:U57" si="137">+N50-N53</f>
        <v>90796</v>
      </c>
      <c r="O57" s="158">
        <f t="shared" si="137"/>
        <v>104596</v>
      </c>
      <c r="P57" s="158">
        <f t="shared" si="137"/>
        <v>45316</v>
      </c>
      <c r="Q57" s="158">
        <f t="shared" si="137"/>
        <v>51132</v>
      </c>
      <c r="R57" s="158">
        <f t="shared" si="137"/>
        <v>26745</v>
      </c>
      <c r="S57" s="158">
        <f t="shared" si="137"/>
        <v>47551</v>
      </c>
      <c r="T57" s="158">
        <f t="shared" si="137"/>
        <v>188963</v>
      </c>
      <c r="U57" s="158">
        <f t="shared" si="137"/>
        <v>168477</v>
      </c>
      <c r="W57" s="158">
        <f t="shared" ref="W57:AC57" si="138">+W50-W53</f>
        <v>86971</v>
      </c>
      <c r="X57" s="158">
        <f t="shared" si="138"/>
        <v>86971</v>
      </c>
      <c r="Y57" s="158">
        <f t="shared" si="138"/>
        <v>61418</v>
      </c>
      <c r="Z57" s="158">
        <f t="shared" si="138"/>
        <v>61418</v>
      </c>
      <c r="AA57" s="158">
        <f t="shared" si="138"/>
        <v>333153</v>
      </c>
      <c r="AB57" s="158">
        <f t="shared" si="138"/>
        <v>333153</v>
      </c>
      <c r="AC57" s="178">
        <f t="shared" si="138"/>
        <v>-28701</v>
      </c>
      <c r="AD57" s="119"/>
      <c r="AE57" s="158">
        <f t="shared" ref="AE57:AH57" si="139">+AE50-AE53</f>
        <v>480388</v>
      </c>
      <c r="AF57" s="158">
        <f t="shared" si="139"/>
        <v>39948</v>
      </c>
      <c r="AG57" s="158">
        <f t="shared" si="139"/>
        <v>190516</v>
      </c>
      <c r="AH57" s="178">
        <f t="shared" si="139"/>
        <v>100824</v>
      </c>
      <c r="AI57" s="119"/>
      <c r="AJ57" s="158">
        <f t="shared" ref="AJ57:AM57" si="140">+AJ50-AJ53</f>
        <v>172188</v>
      </c>
      <c r="AK57" s="158">
        <f t="shared" si="140"/>
        <v>33529</v>
      </c>
      <c r="AL57" s="158">
        <f t="shared" si="140"/>
        <v>199101</v>
      </c>
      <c r="AM57" s="178">
        <f t="shared" si="140"/>
        <v>77921</v>
      </c>
      <c r="AN57" s="119"/>
      <c r="AO57" s="158">
        <f t="shared" ref="AO57:AR57" si="141">+AO50-AO53</f>
        <v>99396</v>
      </c>
      <c r="AP57" s="158">
        <f t="shared" si="141"/>
        <v>-55828</v>
      </c>
      <c r="AQ57" s="158">
        <f t="shared" si="141"/>
        <v>-28705</v>
      </c>
      <c r="AR57" s="178">
        <f t="shared" si="141"/>
        <v>-73986</v>
      </c>
      <c r="AS57" s="119"/>
      <c r="AT57" s="158">
        <f t="shared" ref="AT57:AW57" si="142">+AT50-AT53</f>
        <v>118182</v>
      </c>
      <c r="AU57" s="158">
        <f t="shared" si="142"/>
        <v>114877</v>
      </c>
      <c r="AV57" s="158">
        <f t="shared" si="142"/>
        <v>112262</v>
      </c>
      <c r="AW57" s="178">
        <f t="shared" si="142"/>
        <v>-9116</v>
      </c>
      <c r="AX57" s="115"/>
      <c r="AY57" s="158">
        <f t="shared" ref="AY57:BB57" si="143">+AY50-AY53</f>
        <v>171126</v>
      </c>
      <c r="AZ57" s="158">
        <f t="shared" si="143"/>
        <v>83017</v>
      </c>
      <c r="BA57" s="158">
        <f t="shared" si="143"/>
        <v>82639</v>
      </c>
      <c r="BB57" s="178">
        <f t="shared" si="143"/>
        <v>9007</v>
      </c>
      <c r="BC57" s="115"/>
      <c r="BD57" s="158">
        <f t="shared" ref="BD57:BG57" si="144">+BD50-BD53</f>
        <v>346282</v>
      </c>
      <c r="BE57" s="158">
        <f t="shared" si="144"/>
        <v>357268</v>
      </c>
      <c r="BF57" s="158">
        <f t="shared" si="144"/>
        <v>118489</v>
      </c>
      <c r="BG57" s="178">
        <f t="shared" si="144"/>
        <v>-32698</v>
      </c>
      <c r="BH57" s="115"/>
      <c r="BI57" s="158">
        <f t="shared" ref="BI57" si="145">+BI50-BI53</f>
        <v>2574852</v>
      </c>
      <c r="BJ57" s="158">
        <f>+BJ54+BJ55</f>
        <v>2574852</v>
      </c>
      <c r="BK57" s="301">
        <f t="shared" ref="BK57:BM57" si="146">+BK54+BK55</f>
        <v>0</v>
      </c>
      <c r="BL57" s="301">
        <f t="shared" si="146"/>
        <v>0</v>
      </c>
      <c r="BM57" s="301">
        <f t="shared" si="146"/>
        <v>0</v>
      </c>
      <c r="BN57" s="71"/>
      <c r="BO57" s="158">
        <f>+BO54+BO55</f>
        <v>1490032</v>
      </c>
      <c r="BP57" s="288" t="e">
        <f>+BO57-#REF!</f>
        <v>#REF!</v>
      </c>
      <c r="BQ57" s="122" t="e">
        <f>BJ57-#REF!</f>
        <v>#REF!</v>
      </c>
    </row>
    <row r="58" spans="2:69" s="177" customFormat="1" ht="12.95" hidden="1" customHeight="1" x14ac:dyDescent="0.25">
      <c r="B58" s="186" t="s">
        <v>35</v>
      </c>
      <c r="C58" s="161">
        <v>-10.53</v>
      </c>
      <c r="D58" s="161">
        <v>137.87</v>
      </c>
      <c r="E58" s="161">
        <v>11.78</v>
      </c>
      <c r="F58" s="161">
        <v>-25.75</v>
      </c>
      <c r="G58" s="180"/>
      <c r="H58" s="161">
        <v>10.75</v>
      </c>
      <c r="I58" s="161">
        <v>41.98</v>
      </c>
      <c r="J58" s="161">
        <v>102.97</v>
      </c>
      <c r="K58" s="161">
        <f>-22.4-(3726/3244.51)</f>
        <v>-23.548401453532271</v>
      </c>
      <c r="L58" s="161">
        <v>-155.69999999999999</v>
      </c>
      <c r="N58" s="161">
        <v>10.75</v>
      </c>
      <c r="O58" s="161">
        <v>10.75</v>
      </c>
      <c r="P58" s="161">
        <v>10.75</v>
      </c>
      <c r="Q58" s="161"/>
      <c r="R58" s="161">
        <v>10.75</v>
      </c>
      <c r="S58" s="161"/>
      <c r="T58" s="161">
        <v>11.75</v>
      </c>
      <c r="U58" s="161">
        <v>11.75</v>
      </c>
      <c r="W58" s="161">
        <v>10.75</v>
      </c>
      <c r="X58" s="161">
        <v>10.75</v>
      </c>
      <c r="AE58" s="161">
        <v>10.75</v>
      </c>
      <c r="AJ58" s="161">
        <v>10.75</v>
      </c>
      <c r="AO58" s="161">
        <v>10.75</v>
      </c>
      <c r="AT58" s="161">
        <v>10.75</v>
      </c>
      <c r="AY58" s="161">
        <v>10.75</v>
      </c>
      <c r="BD58" s="161">
        <v>10.75</v>
      </c>
      <c r="BI58" s="161">
        <v>10.75</v>
      </c>
      <c r="BJ58" s="161">
        <v>10.75</v>
      </c>
      <c r="BP58" s="119">
        <v>-222324.25</v>
      </c>
      <c r="BQ58" s="119">
        <v>-53018</v>
      </c>
    </row>
    <row r="59" spans="2:69" ht="16.5" customHeight="1" x14ac:dyDescent="0.25">
      <c r="B59" s="187" t="s">
        <v>157</v>
      </c>
      <c r="C59" s="182">
        <f>+C57/C10</f>
        <v>-9.0918371253206065E-2</v>
      </c>
      <c r="D59" s="182">
        <f>+D57/D10</f>
        <v>1.2503268285700653</v>
      </c>
      <c r="E59" s="182">
        <f>+E57/E10</f>
        <v>0.19628685529781631</v>
      </c>
      <c r="F59" s="182">
        <f>+F57/F10</f>
        <v>-0.85324556989569023</v>
      </c>
      <c r="G59" s="159"/>
      <c r="H59" s="182">
        <f>+H57/H10</f>
        <v>0.27525786303459893</v>
      </c>
      <c r="I59" s="182">
        <f>+I57/I10</f>
        <v>0.61305612283709687</v>
      </c>
      <c r="J59" s="182">
        <f>+J57/J10</f>
        <v>0.44674747236534262</v>
      </c>
      <c r="K59" s="182">
        <f t="shared" ref="K59:L59" si="147">+K57/K10</f>
        <v>-0.74812917530798118</v>
      </c>
      <c r="L59" s="182">
        <f t="shared" si="147"/>
        <v>-0.35883554848924831</v>
      </c>
      <c r="N59" s="182">
        <f t="shared" ref="N59:U59" si="148">+N57/N10</f>
        <v>0.54111589210579636</v>
      </c>
      <c r="O59" s="182">
        <f t="shared" si="148"/>
        <v>0.64702025263209983</v>
      </c>
      <c r="P59" s="182">
        <f t="shared" si="148"/>
        <v>0.39566580227187398</v>
      </c>
      <c r="Q59" s="182">
        <f t="shared" si="148"/>
        <v>0.42487141349597413</v>
      </c>
      <c r="R59" s="182">
        <f t="shared" si="148"/>
        <v>0.13863115663325074</v>
      </c>
      <c r="S59" s="182">
        <f t="shared" si="148"/>
        <v>0.22248996359757067</v>
      </c>
      <c r="T59" s="182">
        <f t="shared" si="148"/>
        <v>0.30371309725865347</v>
      </c>
      <c r="U59" s="182">
        <f t="shared" si="148"/>
        <v>0.2736086683264069</v>
      </c>
      <c r="W59" s="182">
        <f t="shared" ref="W59:AC59" si="149">+W57/W10</f>
        <v>0.49436688570064347</v>
      </c>
      <c r="X59" s="182">
        <f t="shared" si="149"/>
        <v>0.48695150697356709</v>
      </c>
      <c r="Y59" s="182">
        <f t="shared" si="149"/>
        <v>0.29087654157273574</v>
      </c>
      <c r="Z59" s="182">
        <f t="shared" si="149"/>
        <v>0.2889279867527238</v>
      </c>
      <c r="AA59" s="182">
        <f t="shared" si="149"/>
        <v>0.44152541249751509</v>
      </c>
      <c r="AB59" s="182">
        <f t="shared" si="149"/>
        <v>0.44133298184212305</v>
      </c>
      <c r="AC59" s="182">
        <f t="shared" si="149"/>
        <v>-0.5908594956253217</v>
      </c>
      <c r="AE59" s="182">
        <f t="shared" ref="AE59:AH59" si="150">+AE57/AE10</f>
        <v>0.56447701144022788</v>
      </c>
      <c r="AF59" s="182">
        <f t="shared" si="150"/>
        <v>0.40543585267580762</v>
      </c>
      <c r="AG59" s="182">
        <f t="shared" si="150"/>
        <v>0.77361248720905684</v>
      </c>
      <c r="AH59" s="182">
        <f t="shared" si="150"/>
        <v>0.54834095643141112</v>
      </c>
      <c r="AJ59" s="182">
        <f t="shared" ref="AJ59:AM59" si="151">+AJ57/AJ10</f>
        <v>0.5596643080253394</v>
      </c>
      <c r="AK59" s="182">
        <f t="shared" si="151"/>
        <v>0.34823023555315524</v>
      </c>
      <c r="AL59" s="182">
        <f t="shared" si="151"/>
        <v>0.77664612264003741</v>
      </c>
      <c r="AM59" s="182">
        <f t="shared" si="151"/>
        <v>0.4205081434631035</v>
      </c>
      <c r="AO59" s="182">
        <f t="shared" ref="AO59:AR59" si="152">+AO57/AO10</f>
        <v>0.49635955056179776</v>
      </c>
      <c r="AP59" s="182">
        <f t="shared" si="152"/>
        <v>-1.9672986116005355</v>
      </c>
      <c r="AQ59" s="182">
        <f t="shared" si="152"/>
        <v>-1.1879241847376263</v>
      </c>
      <c r="AR59" s="182">
        <f t="shared" si="152"/>
        <v>-21.048648648648648</v>
      </c>
      <c r="AT59" s="182">
        <f t="shared" ref="AT59:AW59" si="153">+AT57/AT10</f>
        <v>0.62480570975416339</v>
      </c>
      <c r="AU59" s="182">
        <f t="shared" si="153"/>
        <v>0.52340055220929282</v>
      </c>
      <c r="AV59" s="182">
        <f t="shared" si="153"/>
        <v>0.65672951486185294</v>
      </c>
      <c r="AW59" s="182">
        <f t="shared" si="153"/>
        <v>-0.12455764001803599</v>
      </c>
      <c r="AX59" s="169"/>
      <c r="AY59" s="182">
        <f t="shared" ref="AY59:BB59" si="154">+AY57/AY10</f>
        <v>0.60105159266765251</v>
      </c>
      <c r="AZ59" s="182">
        <f t="shared" si="154"/>
        <v>0.48251110129495733</v>
      </c>
      <c r="BA59" s="182">
        <f t="shared" si="154"/>
        <v>0.49689736035115145</v>
      </c>
      <c r="BB59" s="182">
        <f t="shared" si="154"/>
        <v>5.7695387315598319E-2</v>
      </c>
      <c r="BC59" s="169"/>
      <c r="BD59" s="182">
        <f t="shared" ref="BD59:BG59" si="155">+BD57/BD10</f>
        <v>0.80713335058166502</v>
      </c>
      <c r="BE59" s="182">
        <f t="shared" si="155"/>
        <v>0.64352900913233779</v>
      </c>
      <c r="BF59" s="182">
        <f t="shared" si="155"/>
        <v>0.4391962518440542</v>
      </c>
      <c r="BG59" s="182">
        <f t="shared" si="155"/>
        <v>-0.18875156581020938</v>
      </c>
      <c r="BH59" s="169"/>
      <c r="BI59" s="182">
        <f t="shared" ref="BI59:BL59" si="156">+BI57/BI10</f>
        <v>0.86603180924275547</v>
      </c>
      <c r="BJ59" s="182">
        <f t="shared" ref="BJ59" si="157">+BJ57/BJ10</f>
        <v>0.93950618905629479</v>
      </c>
      <c r="BK59" s="182">
        <f t="shared" si="156"/>
        <v>0</v>
      </c>
      <c r="BL59" s="182">
        <f t="shared" si="156"/>
        <v>0</v>
      </c>
      <c r="BM59" s="182">
        <f t="shared" ref="BM59:BO59" si="158">+BM57/BM10</f>
        <v>0</v>
      </c>
      <c r="BN59" s="169"/>
      <c r="BO59" s="182">
        <f t="shared" si="158"/>
        <v>1.099188167382845</v>
      </c>
      <c r="BP59" s="119"/>
      <c r="BQ59" s="119"/>
    </row>
    <row r="60" spans="2:69" ht="9" customHeight="1" x14ac:dyDescent="0.25"/>
    <row r="61" spans="2:69" ht="14.45" hidden="1" customHeight="1" x14ac:dyDescent="0.25">
      <c r="B61" s="357" t="s">
        <v>222</v>
      </c>
      <c r="C61" s="357"/>
      <c r="D61" s="357"/>
      <c r="E61" s="50"/>
      <c r="F61" s="50"/>
    </row>
    <row r="62" spans="2:69" ht="14.45" hidden="1" customHeight="1" x14ac:dyDescent="0.25">
      <c r="B62" s="372"/>
      <c r="C62" s="372"/>
      <c r="D62" s="372"/>
      <c r="E62" s="53"/>
      <c r="F62" s="53"/>
    </row>
    <row r="63" spans="2:69" hidden="1" x14ac:dyDescent="0.25">
      <c r="B63" s="372" t="s">
        <v>223</v>
      </c>
      <c r="C63" s="372"/>
      <c r="D63" s="372"/>
      <c r="E63" s="53"/>
      <c r="F63" s="53"/>
    </row>
    <row r="64" spans="2:69" ht="14.45" hidden="1" customHeight="1" x14ac:dyDescent="0.25"/>
    <row r="65" spans="2:62" ht="26.1" hidden="1" customHeight="1" x14ac:dyDescent="0.25">
      <c r="C65" s="54" t="s">
        <v>224</v>
      </c>
      <c r="D65" s="54" t="s">
        <v>225</v>
      </c>
      <c r="E65" s="54"/>
      <c r="F65" s="54"/>
    </row>
    <row r="66" spans="2:62" ht="14.45" hidden="1" customHeight="1" x14ac:dyDescent="0.25"/>
    <row r="67" spans="2:62" ht="14.45" hidden="1" customHeight="1" x14ac:dyDescent="0.25"/>
    <row r="68" spans="2:62" ht="14.45" hidden="1" customHeight="1" x14ac:dyDescent="0.25">
      <c r="B68" s="188" t="s">
        <v>226</v>
      </c>
      <c r="C68" s="71">
        <f>SUM(C69:C71)</f>
        <v>-200607</v>
      </c>
      <c r="D68" s="71">
        <f>SUM(D69:D71)</f>
        <v>0</v>
      </c>
      <c r="E68" s="71"/>
      <c r="F68" s="71"/>
    </row>
    <row r="69" spans="2:62" ht="25.5" hidden="1" x14ac:dyDescent="0.25">
      <c r="B69" s="64" t="s">
        <v>227</v>
      </c>
      <c r="C69" s="119">
        <v>-572</v>
      </c>
      <c r="D69" s="167">
        <v>0</v>
      </c>
      <c r="E69" s="167"/>
      <c r="F69" s="167"/>
    </row>
    <row r="70" spans="2:62" hidden="1" x14ac:dyDescent="0.25">
      <c r="B70" s="64" t="s">
        <v>228</v>
      </c>
      <c r="C70" s="119">
        <v>-200035</v>
      </c>
      <c r="D70" s="167">
        <v>0</v>
      </c>
      <c r="E70" s="167"/>
      <c r="F70" s="167"/>
    </row>
    <row r="71" spans="2:62" ht="14.45" hidden="1" customHeight="1" x14ac:dyDescent="0.25">
      <c r="B71" s="64"/>
      <c r="C71" s="167"/>
      <c r="D71" s="167"/>
      <c r="E71" s="167"/>
      <c r="F71" s="167"/>
    </row>
    <row r="72" spans="2:62" ht="14.45" hidden="1" customHeight="1" x14ac:dyDescent="0.25"/>
    <row r="73" spans="2:62" ht="14.45" hidden="1" customHeight="1" x14ac:dyDescent="0.25">
      <c r="B73" s="56" t="s">
        <v>229</v>
      </c>
      <c r="C73" s="71">
        <f>+C57+C68</f>
        <v>-221982</v>
      </c>
      <c r="D73" s="71">
        <f>+D57+D68</f>
        <v>262056</v>
      </c>
      <c r="E73" s="71"/>
      <c r="F73" s="71"/>
    </row>
    <row r="74" spans="2:62" ht="16.5" customHeight="1" x14ac:dyDescent="0.25">
      <c r="B74" s="56"/>
      <c r="C74" s="71"/>
      <c r="D74" s="71"/>
      <c r="E74" s="71"/>
      <c r="F74" s="71"/>
      <c r="U74" s="119"/>
    </row>
    <row r="75" spans="2:62" ht="16.5" hidden="1" customHeight="1" x14ac:dyDescent="0.25">
      <c r="C75" s="110"/>
      <c r="D75" s="110">
        <v>1111</v>
      </c>
      <c r="E75" s="110"/>
      <c r="F75" s="110"/>
    </row>
    <row r="76" spans="2:62" ht="16.5" hidden="1" customHeight="1" x14ac:dyDescent="0.25">
      <c r="C76" s="110"/>
      <c r="D76" s="110">
        <f>+D57-D75</f>
        <v>260945</v>
      </c>
      <c r="E76" s="110"/>
      <c r="F76" s="110"/>
    </row>
    <row r="77" spans="2:62" ht="16.5" customHeight="1" x14ac:dyDescent="0.25">
      <c r="C77" s="119"/>
      <c r="D77" s="119"/>
      <c r="E77" s="119"/>
      <c r="F77" s="119"/>
      <c r="BJ77" s="251" t="s">
        <v>358</v>
      </c>
    </row>
    <row r="78" spans="2:62" ht="16.5" customHeight="1" x14ac:dyDescent="0.25">
      <c r="C78" s="119"/>
    </row>
    <row r="79" spans="2:62" ht="16.5" customHeight="1" x14ac:dyDescent="0.25">
      <c r="C79" s="119"/>
    </row>
  </sheetData>
  <mergeCells count="17">
    <mergeCell ref="B63:D63"/>
    <mergeCell ref="B62:D62"/>
    <mergeCell ref="B61:D61"/>
    <mergeCell ref="B1:I1"/>
    <mergeCell ref="B2:I2"/>
    <mergeCell ref="B3:I3"/>
    <mergeCell ref="C6:F6"/>
    <mergeCell ref="H6:L6"/>
    <mergeCell ref="BI6:BM6"/>
    <mergeCell ref="W6:AC6"/>
    <mergeCell ref="AE6:AH6"/>
    <mergeCell ref="N6:U6"/>
    <mergeCell ref="AY6:BB6"/>
    <mergeCell ref="AJ6:AM6"/>
    <mergeCell ref="AO6:AR6"/>
    <mergeCell ref="AT6:AW6"/>
    <mergeCell ref="BD6:BG6"/>
  </mergeCells>
  <pageMargins left="0.7" right="0.7" top="0.75" bottom="0.75" header="0.3" footer="0.3"/>
  <customProperties>
    <customPr name="FPMExcelClientCellBasedFunctionStatus" r:id="rId1"/>
    <customPr name="FPMExcelClientRefreshTime" r:id="rId2"/>
  </customProperties>
  <ignoredErrors>
    <ignoredError sqref="BD6" numberStoredAsText="1"/>
  </ignoredErrors>
  <drawing r:id="rId3"/>
  <legacyDrawing r:id="rId4"/>
  <controls>
    <mc:AlternateContent xmlns:mc="http://schemas.openxmlformats.org/markup-compatibility/2006">
      <mc:Choice Requires="x14">
        <control shapeId="12289" r:id="rId5" name="FPMExcelClientSheetOptionstb1">
          <controlPr defaultSize="0" autoLine="0" autoPict="0" r:id="rId6">
            <anchor moveWithCells="1" sizeWithCells="1">
              <from>
                <xdr:col>0</xdr:col>
                <xdr:colOff>0</xdr:colOff>
                <xdr:row>0</xdr:row>
                <xdr:rowOff>0</xdr:rowOff>
              </from>
              <to>
                <xdr:col>1</xdr:col>
                <xdr:colOff>752475</xdr:colOff>
                <xdr:row>0</xdr:row>
                <xdr:rowOff>0</xdr:rowOff>
              </to>
            </anchor>
          </controlPr>
        </control>
      </mc:Choice>
      <mc:Fallback>
        <control shapeId="12289" r:id="rId5" name="FPMExcelClientSheetOptionstb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BEFAE-A5FB-467D-BD8A-C51BF5793DBD}">
  <sheetPr>
    <tabColor theme="0"/>
  </sheetPr>
  <dimension ref="A1:I132"/>
  <sheetViews>
    <sheetView showGridLines="0" topLeftCell="A86" zoomScale="90" zoomScaleNormal="90" workbookViewId="0">
      <selection activeCell="C99" sqref="C99"/>
    </sheetView>
  </sheetViews>
  <sheetFormatPr baseColWidth="10" defaultColWidth="13" defaultRowHeight="12.75" x14ac:dyDescent="0.25"/>
  <cols>
    <col min="1" max="1" width="6.42578125" style="2" customWidth="1"/>
    <col min="2" max="2" width="52.7109375" style="2" customWidth="1"/>
    <col min="3" max="4" width="14.7109375" style="10" customWidth="1"/>
    <col min="5" max="5" width="0.5703125" style="10" customWidth="1"/>
    <col min="6" max="6" width="10.7109375" style="2" customWidth="1"/>
    <col min="7" max="7" width="1.42578125" style="204" customWidth="1"/>
    <col min="8" max="16384" width="13" style="2"/>
  </cols>
  <sheetData>
    <row r="1" spans="2:6" x14ac:dyDescent="0.25">
      <c r="B1" s="349" t="s">
        <v>0</v>
      </c>
      <c r="C1" s="349"/>
      <c r="D1" s="349"/>
      <c r="E1" s="349"/>
      <c r="F1" s="349"/>
    </row>
    <row r="2" spans="2:6" x14ac:dyDescent="0.25">
      <c r="B2" s="349" t="s">
        <v>181</v>
      </c>
      <c r="C2" s="349"/>
      <c r="D2" s="349"/>
      <c r="E2" s="349"/>
      <c r="F2" s="349"/>
    </row>
    <row r="3" spans="2:6" x14ac:dyDescent="0.25">
      <c r="B3" s="350" t="s">
        <v>2</v>
      </c>
      <c r="C3" s="350"/>
      <c r="D3" s="350"/>
      <c r="E3" s="350"/>
      <c r="F3" s="350"/>
    </row>
    <row r="5" spans="2:6" ht="13.5" thickBot="1" x14ac:dyDescent="0.3">
      <c r="B5" s="209"/>
      <c r="C5" s="2"/>
      <c r="D5" s="2"/>
    </row>
    <row r="6" spans="2:6" ht="38.25" customHeight="1" thickTop="1" thickBot="1" x14ac:dyDescent="0.3">
      <c r="C6" s="201">
        <v>45717</v>
      </c>
      <c r="D6" s="201">
        <v>45627</v>
      </c>
      <c r="E6" s="210" t="s">
        <v>230</v>
      </c>
      <c r="F6" s="201" t="s">
        <v>231</v>
      </c>
    </row>
    <row r="7" spans="2:6" ht="3.75" customHeight="1" thickTop="1" thickBot="1" x14ac:dyDescent="0.3">
      <c r="F7" s="10"/>
    </row>
    <row r="8" spans="2:6" ht="13.5" thickTop="1" x14ac:dyDescent="0.25">
      <c r="B8" s="190" t="s">
        <v>15</v>
      </c>
      <c r="C8" s="211">
        <v>1242</v>
      </c>
      <c r="D8" s="211">
        <v>17735</v>
      </c>
      <c r="E8" s="262" t="e">
        <f>+#REF!/#REF!</f>
        <v>#REF!</v>
      </c>
      <c r="F8" s="263">
        <f>+(C8/D8-1)*100</f>
        <v>-92.99689878770792</v>
      </c>
    </row>
    <row r="9" spans="2:6" x14ac:dyDescent="0.25">
      <c r="B9" s="190" t="s">
        <v>16</v>
      </c>
      <c r="C9" s="213">
        <v>0</v>
      </c>
      <c r="D9" s="213">
        <v>0</v>
      </c>
      <c r="E9" s="264"/>
      <c r="F9" s="265" t="e">
        <f>+(C9/D9-1)*100</f>
        <v>#DIV/0!</v>
      </c>
    </row>
    <row r="10" spans="2:6" x14ac:dyDescent="0.25">
      <c r="B10" s="212" t="s">
        <v>17</v>
      </c>
      <c r="C10" s="213">
        <v>0</v>
      </c>
      <c r="D10" s="213">
        <v>0</v>
      </c>
      <c r="E10" s="266"/>
      <c r="F10" s="263" t="e">
        <f>+(C10/D10-1)*100</f>
        <v>#DIV/0!</v>
      </c>
    </row>
    <row r="11" spans="2:6" ht="25.5" x14ac:dyDescent="0.25">
      <c r="B11" s="190" t="s">
        <v>18</v>
      </c>
      <c r="C11" s="211">
        <v>1117005</v>
      </c>
      <c r="D11" s="211">
        <v>342536</v>
      </c>
      <c r="E11" s="267" t="e">
        <f>+#REF!/#REF!</f>
        <v>#REF!</v>
      </c>
      <c r="F11" s="263">
        <f>+(C11/D11-1)*100</f>
        <v>226.09857066118599</v>
      </c>
    </row>
    <row r="12" spans="2:6" x14ac:dyDescent="0.25">
      <c r="B12" s="190" t="s">
        <v>236</v>
      </c>
      <c r="C12" s="213">
        <v>943995</v>
      </c>
      <c r="D12" s="213">
        <v>338725</v>
      </c>
      <c r="E12" s="268"/>
      <c r="F12" s="265">
        <f>+(C12/D12-1)*100</f>
        <v>178.69067827883978</v>
      </c>
    </row>
    <row r="13" spans="2:6" x14ac:dyDescent="0.25">
      <c r="B13" s="190" t="s">
        <v>20</v>
      </c>
      <c r="C13" s="213">
        <v>0</v>
      </c>
      <c r="D13" s="213">
        <v>0</v>
      </c>
      <c r="E13" s="268"/>
      <c r="F13" s="269" t="s">
        <v>235</v>
      </c>
    </row>
    <row r="14" spans="2:6" x14ac:dyDescent="0.25">
      <c r="B14" s="190" t="s">
        <v>21</v>
      </c>
      <c r="C14" s="211">
        <v>12429</v>
      </c>
      <c r="D14" s="211">
        <v>15695</v>
      </c>
      <c r="E14" s="268" t="e">
        <f>+#REF!/#REF!</f>
        <v>#REF!</v>
      </c>
      <c r="F14" s="265">
        <f>+(C14/D14-1)*100</f>
        <v>-20.809174896463844</v>
      </c>
    </row>
    <row r="15" spans="2:6" x14ac:dyDescent="0.25">
      <c r="B15" s="190" t="s">
        <v>237</v>
      </c>
      <c r="C15" s="213">
        <v>6971797</v>
      </c>
      <c r="D15" s="213">
        <v>0</v>
      </c>
      <c r="E15" s="268" t="e">
        <f>+#REF!/#REF!</f>
        <v>#REF!</v>
      </c>
      <c r="F15" s="265" t="e">
        <f>+(C15/D15-1)*100</f>
        <v>#DIV/0!</v>
      </c>
    </row>
    <row r="16" spans="2:6" ht="6" customHeight="1" thickBot="1" x14ac:dyDescent="0.3">
      <c r="B16" s="11"/>
      <c r="C16" s="20"/>
      <c r="D16" s="20"/>
      <c r="E16" s="20"/>
      <c r="F16" s="20"/>
    </row>
    <row r="17" spans="2:8" ht="16.5" customHeight="1" thickTop="1" thickBot="1" x14ac:dyDescent="0.3">
      <c r="B17" s="191" t="s">
        <v>23</v>
      </c>
      <c r="C17" s="192">
        <f>+SUM(C8:C15)</f>
        <v>9046468</v>
      </c>
      <c r="D17" s="192">
        <f>+SUM(D8:D15)</f>
        <v>714691</v>
      </c>
      <c r="E17" s="270" t="e">
        <f>+#REF!/#REF!</f>
        <v>#REF!</v>
      </c>
      <c r="F17" s="271">
        <f>+(C17/D17-1)*100</f>
        <v>1165.7873122790129</v>
      </c>
      <c r="H17" s="214"/>
    </row>
    <row r="18" spans="2:8" ht="4.5" customHeight="1" thickTop="1" thickBot="1" x14ac:dyDescent="0.3">
      <c r="C18" s="20"/>
      <c r="D18" s="20"/>
      <c r="E18" s="20"/>
      <c r="F18" s="20"/>
    </row>
    <row r="19" spans="2:8" ht="23.25" customHeight="1" thickTop="1" x14ac:dyDescent="0.25">
      <c r="B19" s="215" t="s">
        <v>24</v>
      </c>
      <c r="C19" s="211">
        <v>12725227</v>
      </c>
      <c r="D19" s="211">
        <v>19434328</v>
      </c>
      <c r="E19" s="272" t="e">
        <f>+#REF!/#REF!</f>
        <v>#REF!</v>
      </c>
      <c r="F19" s="273">
        <f t="shared" ref="F19:F25" si="0">+(C19/D19-1)*100</f>
        <v>-34.521908861474394</v>
      </c>
      <c r="H19" s="32"/>
    </row>
    <row r="20" spans="2:8" ht="16.5" customHeight="1" x14ac:dyDescent="0.25">
      <c r="B20" s="215" t="s">
        <v>18</v>
      </c>
      <c r="C20" s="211">
        <v>134223</v>
      </c>
      <c r="D20" s="211">
        <v>115260</v>
      </c>
      <c r="E20" s="268" t="e">
        <f>+#REF!/#REF!</f>
        <v>#REF!</v>
      </c>
      <c r="F20" s="265">
        <f t="shared" si="0"/>
        <v>16.452368558042686</v>
      </c>
    </row>
    <row r="21" spans="2:8" ht="16.5" customHeight="1" x14ac:dyDescent="0.25">
      <c r="B21" s="215" t="s">
        <v>236</v>
      </c>
      <c r="C21" s="211">
        <v>0</v>
      </c>
      <c r="D21" s="211">
        <v>0</v>
      </c>
      <c r="E21" s="268"/>
      <c r="F21" s="265" t="s">
        <v>235</v>
      </c>
    </row>
    <row r="22" spans="2:8" ht="16.5" customHeight="1" x14ac:dyDescent="0.25">
      <c r="B22" s="215" t="s">
        <v>25</v>
      </c>
      <c r="C22" s="211">
        <v>3725</v>
      </c>
      <c r="D22" s="211">
        <v>4158</v>
      </c>
      <c r="E22" s="268"/>
      <c r="F22" s="265">
        <f t="shared" si="0"/>
        <v>-10.413660413660409</v>
      </c>
    </row>
    <row r="23" spans="2:8" ht="16.5" customHeight="1" x14ac:dyDescent="0.25">
      <c r="B23" s="215" t="s">
        <v>26</v>
      </c>
      <c r="C23" s="211">
        <v>0</v>
      </c>
      <c r="D23" s="211">
        <v>0</v>
      </c>
      <c r="E23" s="268" t="e">
        <f>+#REF!/#REF!</f>
        <v>#REF!</v>
      </c>
      <c r="F23" s="269" t="s">
        <v>235</v>
      </c>
    </row>
    <row r="24" spans="2:8" ht="16.5" customHeight="1" x14ac:dyDescent="0.25">
      <c r="B24" s="215" t="s">
        <v>27</v>
      </c>
      <c r="C24" s="211">
        <v>2085</v>
      </c>
      <c r="D24" s="211">
        <v>2245</v>
      </c>
      <c r="E24" s="268" t="e">
        <f>+#REF!/#REF!</f>
        <v>#REF!</v>
      </c>
      <c r="F24" s="265">
        <f t="shared" si="0"/>
        <v>-7.1269487750556753</v>
      </c>
    </row>
    <row r="25" spans="2:8" ht="16.5" customHeight="1" x14ac:dyDescent="0.25">
      <c r="B25" s="215" t="s">
        <v>29</v>
      </c>
      <c r="C25" s="211">
        <v>1145999</v>
      </c>
      <c r="D25" s="211">
        <v>1742975</v>
      </c>
      <c r="E25" s="268" t="e">
        <f>+#REF!/#REF!</f>
        <v>#REF!</v>
      </c>
      <c r="F25" s="265">
        <f t="shared" si="0"/>
        <v>-34.250405198009148</v>
      </c>
    </row>
    <row r="26" spans="2:8" ht="15" hidden="1" customHeight="1" x14ac:dyDescent="0.25">
      <c r="B26" s="215" t="s">
        <v>238</v>
      </c>
      <c r="C26" s="211"/>
      <c r="D26" s="211"/>
      <c r="E26" s="274" t="e">
        <f>+#REF!/#REF!</f>
        <v>#REF!</v>
      </c>
      <c r="F26" s="269" t="e">
        <f>+(C26/#REF!-1)*100</f>
        <v>#REF!</v>
      </c>
    </row>
    <row r="27" spans="2:8" ht="16.5" customHeight="1" x14ac:dyDescent="0.25">
      <c r="B27" s="215" t="s">
        <v>30</v>
      </c>
      <c r="C27" s="213">
        <v>0</v>
      </c>
      <c r="D27" s="213">
        <v>0</v>
      </c>
      <c r="E27" s="275"/>
      <c r="F27" s="269" t="s">
        <v>235</v>
      </c>
    </row>
    <row r="28" spans="2:8" ht="14.45" hidden="1" customHeight="1" x14ac:dyDescent="0.25">
      <c r="B28" s="215" t="s">
        <v>20</v>
      </c>
      <c r="C28" s="216">
        <v>0</v>
      </c>
      <c r="D28" s="216">
        <v>0</v>
      </c>
      <c r="E28" s="275"/>
      <c r="F28" s="269" t="e">
        <f>+(C28/#REF!-1)*100</f>
        <v>#REF!</v>
      </c>
    </row>
    <row r="29" spans="2:8" x14ac:dyDescent="0.25">
      <c r="B29" s="215" t="s">
        <v>31</v>
      </c>
      <c r="C29" s="213">
        <v>0</v>
      </c>
      <c r="D29" s="213">
        <v>0</v>
      </c>
      <c r="E29" s="275"/>
      <c r="F29" s="269">
        <v>100</v>
      </c>
    </row>
    <row r="30" spans="2:8" x14ac:dyDescent="0.25">
      <c r="B30" s="215" t="s">
        <v>239</v>
      </c>
      <c r="C30" s="211">
        <v>1122</v>
      </c>
      <c r="D30" s="211">
        <v>1015</v>
      </c>
      <c r="E30" s="275"/>
      <c r="F30" s="269">
        <f t="shared" ref="F30" si="1">+(C30/D30-1)*100</f>
        <v>10.541871921182256</v>
      </c>
    </row>
    <row r="31" spans="2:8" ht="7.5" customHeight="1" thickBot="1" x14ac:dyDescent="0.3">
      <c r="B31" s="217"/>
      <c r="C31" s="20"/>
      <c r="D31" s="20"/>
      <c r="E31" s="20"/>
      <c r="F31" s="20"/>
    </row>
    <row r="32" spans="2:8" ht="16.5" customHeight="1" thickTop="1" thickBot="1" x14ac:dyDescent="0.3">
      <c r="B32" s="191" t="s">
        <v>33</v>
      </c>
      <c r="C32" s="218">
        <f>SUM(C19:C30)</f>
        <v>14012381</v>
      </c>
      <c r="D32" s="218">
        <f>SUM(D19:D30)</f>
        <v>21299981</v>
      </c>
      <c r="E32" s="270" t="e">
        <f>+#REF!/#REF!</f>
        <v>#REF!</v>
      </c>
      <c r="F32" s="271">
        <f>+(C32/D32-1)*100</f>
        <v>-34.214115026675373</v>
      </c>
      <c r="H32" s="214"/>
    </row>
    <row r="33" spans="1:9" ht="3.75" customHeight="1" thickTop="1" thickBot="1" x14ac:dyDescent="0.3">
      <c r="B33" s="217"/>
      <c r="C33" s="20"/>
      <c r="D33" s="20"/>
      <c r="E33" s="20"/>
      <c r="F33" s="20"/>
    </row>
    <row r="34" spans="1:9" ht="16.5" customHeight="1" thickTop="1" thickBot="1" x14ac:dyDescent="0.3">
      <c r="B34" s="193" t="s">
        <v>34</v>
      </c>
      <c r="C34" s="194">
        <f>+C17+C32</f>
        <v>23058849</v>
      </c>
      <c r="D34" s="194">
        <f>+D17+D32</f>
        <v>22014672</v>
      </c>
      <c r="E34" s="270" t="e">
        <f>+#REF!/#REF!</f>
        <v>#REF!</v>
      </c>
      <c r="F34" s="276">
        <f>+(C34/D34-1)*100</f>
        <v>4.7430958771495613</v>
      </c>
      <c r="H34" s="214"/>
    </row>
    <row r="35" spans="1:9" ht="16.5" customHeight="1" thickTop="1" thickBot="1" x14ac:dyDescent="0.3">
      <c r="B35" s="195" t="s">
        <v>35</v>
      </c>
      <c r="C35" s="196">
        <f>+C34/C91</f>
        <v>5499.9317840847025</v>
      </c>
      <c r="D35" s="196">
        <f>+D34/D91</f>
        <v>4992.9514759080548</v>
      </c>
      <c r="E35" s="277"/>
      <c r="F35" s="278">
        <f>+(C35/D35-1)*100</f>
        <v>10.153920193755628</v>
      </c>
    </row>
    <row r="36" spans="1:9" ht="3.75" customHeight="1" thickTop="1" thickBot="1" x14ac:dyDescent="0.3">
      <c r="F36" s="10"/>
    </row>
    <row r="37" spans="1:9" ht="16.5" customHeight="1" thickTop="1" x14ac:dyDescent="0.25">
      <c r="B37" s="190" t="s">
        <v>36</v>
      </c>
      <c r="C37" s="335">
        <v>275944</v>
      </c>
      <c r="D37" s="211">
        <v>27369</v>
      </c>
      <c r="E37" s="262" t="e">
        <f>+#REF!/#REF!</f>
        <v>#REF!</v>
      </c>
      <c r="F37" s="263">
        <f t="shared" ref="F37:F45" si="2">+(C37/D37-1)*100</f>
        <v>908.23559501625914</v>
      </c>
    </row>
    <row r="38" spans="1:9" ht="16.5" customHeight="1" x14ac:dyDescent="0.25">
      <c r="B38" s="190" t="s">
        <v>37</v>
      </c>
      <c r="C38" s="211">
        <v>2194</v>
      </c>
      <c r="D38" s="211">
        <v>2050</v>
      </c>
      <c r="E38" s="264"/>
      <c r="F38" s="265">
        <f t="shared" si="2"/>
        <v>7.0243902439024453</v>
      </c>
    </row>
    <row r="39" spans="1:9" ht="16.5" customHeight="1" x14ac:dyDescent="0.25">
      <c r="A39" s="32"/>
      <c r="B39" s="190" t="s">
        <v>38</v>
      </c>
      <c r="C39" s="211">
        <v>165238</v>
      </c>
      <c r="D39" s="211">
        <v>164744</v>
      </c>
      <c r="E39" s="264"/>
      <c r="F39" s="265">
        <f t="shared" si="2"/>
        <v>0.29985917544796958</v>
      </c>
    </row>
    <row r="40" spans="1:9" ht="16.5" customHeight="1" x14ac:dyDescent="0.25">
      <c r="B40" s="190" t="s">
        <v>240</v>
      </c>
      <c r="C40" s="211">
        <v>608744</v>
      </c>
      <c r="D40" s="211">
        <v>154061</v>
      </c>
      <c r="E40" s="267" t="e">
        <f>+#REF!/#REF!</f>
        <v>#REF!</v>
      </c>
      <c r="F40" s="263">
        <f t="shared" si="2"/>
        <v>295.13179844347366</v>
      </c>
      <c r="I40" s="32"/>
    </row>
    <row r="41" spans="1:9" ht="16.5" customHeight="1" x14ac:dyDescent="0.25">
      <c r="B41" s="212" t="s">
        <v>40</v>
      </c>
      <c r="C41" s="211">
        <v>55</v>
      </c>
      <c r="D41" s="211">
        <v>55</v>
      </c>
      <c r="E41" s="268" t="e">
        <f>+#REF!/#REF!</f>
        <v>#REF!</v>
      </c>
      <c r="F41" s="265">
        <f t="shared" si="2"/>
        <v>0</v>
      </c>
    </row>
    <row r="42" spans="1:9" ht="22.5" customHeight="1" x14ac:dyDescent="0.25">
      <c r="B42" s="190" t="s">
        <v>41</v>
      </c>
      <c r="C42" s="219">
        <v>168372</v>
      </c>
      <c r="D42" s="219">
        <v>218015</v>
      </c>
      <c r="E42" s="220" t="e">
        <f>+#REF!/#REF!</f>
        <v>#REF!</v>
      </c>
      <c r="F42" s="265">
        <f t="shared" si="2"/>
        <v>-22.770451574432947</v>
      </c>
    </row>
    <row r="43" spans="1:9" ht="16.5" customHeight="1" x14ac:dyDescent="0.25">
      <c r="B43" s="190" t="s">
        <v>42</v>
      </c>
      <c r="C43" s="211">
        <v>7293</v>
      </c>
      <c r="D43" s="211">
        <v>18737</v>
      </c>
      <c r="E43" s="268" t="e">
        <f>+#REF!/#REF!</f>
        <v>#REF!</v>
      </c>
      <c r="F43" s="265">
        <f t="shared" si="2"/>
        <v>-61.077013395954523</v>
      </c>
    </row>
    <row r="44" spans="1:9" ht="13.5" hidden="1" customHeight="1" x14ac:dyDescent="0.25">
      <c r="A44" s="32"/>
      <c r="B44" s="190" t="s">
        <v>43</v>
      </c>
      <c r="C44" s="221"/>
      <c r="D44" s="221"/>
      <c r="E44" s="279"/>
      <c r="F44" s="265" t="e">
        <f t="shared" si="2"/>
        <v>#DIV/0!</v>
      </c>
    </row>
    <row r="45" spans="1:9" hidden="1" x14ac:dyDescent="0.25">
      <c r="A45" s="32"/>
      <c r="B45" s="190" t="s">
        <v>44</v>
      </c>
      <c r="C45" s="280"/>
      <c r="D45" s="280"/>
      <c r="E45" s="222" t="e">
        <f>+#REF!/#REF!</f>
        <v>#REF!</v>
      </c>
      <c r="F45" s="265" t="e">
        <f t="shared" si="2"/>
        <v>#DIV/0!</v>
      </c>
    </row>
    <row r="46" spans="1:9" x14ac:dyDescent="0.25">
      <c r="A46" s="32"/>
      <c r="B46" s="190" t="s">
        <v>190</v>
      </c>
      <c r="C46" s="281"/>
      <c r="D46" s="281"/>
      <c r="E46" s="222"/>
      <c r="F46" s="265" t="s">
        <v>235</v>
      </c>
    </row>
    <row r="47" spans="1:9" ht="16.5" customHeight="1" x14ac:dyDescent="0.25">
      <c r="A47" s="32"/>
      <c r="B47" s="190" t="s">
        <v>241</v>
      </c>
      <c r="C47" s="211">
        <v>154979</v>
      </c>
      <c r="D47" s="211">
        <f>148643+2+5235</f>
        <v>153880</v>
      </c>
      <c r="E47" s="268" t="e">
        <f>+#REF!/#REF!</f>
        <v>#REF!</v>
      </c>
      <c r="F47" s="265">
        <f>+(C47/D47-1)*100</f>
        <v>0.71419287756693262</v>
      </c>
    </row>
    <row r="48" spans="1:9" ht="13.5" thickBot="1" x14ac:dyDescent="0.3">
      <c r="A48" s="32"/>
      <c r="B48" s="190" t="s">
        <v>31</v>
      </c>
      <c r="C48" s="211">
        <v>927</v>
      </c>
      <c r="D48" s="211">
        <v>3730</v>
      </c>
      <c r="E48" s="275" t="e">
        <f>+#REF!/#REF!</f>
        <v>#REF!</v>
      </c>
      <c r="F48" s="265">
        <v>100</v>
      </c>
    </row>
    <row r="49" spans="1:8" ht="13.5" hidden="1" thickBot="1" x14ac:dyDescent="0.3">
      <c r="A49" s="32"/>
      <c r="B49" s="190" t="s">
        <v>47</v>
      </c>
      <c r="C49" s="216"/>
      <c r="D49" s="216"/>
      <c r="E49" s="275" t="e">
        <f>+#REF!/#REF!</f>
        <v>#REF!</v>
      </c>
      <c r="F49" s="269" t="s">
        <v>235</v>
      </c>
    </row>
    <row r="50" spans="1:8" ht="16.5" customHeight="1" thickTop="1" thickBot="1" x14ac:dyDescent="0.3">
      <c r="B50" s="191" t="s">
        <v>48</v>
      </c>
      <c r="C50" s="218">
        <f>+SUM(C37:C49)</f>
        <v>1383746</v>
      </c>
      <c r="D50" s="218">
        <f>+SUM(D37:D49)</f>
        <v>742641</v>
      </c>
      <c r="E50" s="270" t="e">
        <f>+#REF!/#REF!</f>
        <v>#REF!</v>
      </c>
      <c r="F50" s="271">
        <f>+(C50/D50-1)*100</f>
        <v>86.327714198381187</v>
      </c>
      <c r="H50" s="214"/>
    </row>
    <row r="51" spans="1:8" ht="5.25" customHeight="1" thickTop="1" thickBot="1" x14ac:dyDescent="0.3">
      <c r="C51" s="2"/>
      <c r="D51" s="2"/>
      <c r="E51" s="20"/>
      <c r="F51" s="20"/>
    </row>
    <row r="52" spans="1:8" ht="16.5" customHeight="1" thickTop="1" x14ac:dyDescent="0.25">
      <c r="B52" s="215" t="s">
        <v>36</v>
      </c>
      <c r="C52" s="335">
        <v>753895</v>
      </c>
      <c r="D52" s="211">
        <v>892491</v>
      </c>
      <c r="E52" s="262" t="e">
        <f>+#REF!/#REF!</f>
        <v>#REF!</v>
      </c>
      <c r="F52" s="263">
        <f t="shared" ref="F52:F58" si="3">+(C52/D52-1)*100</f>
        <v>-15.529120181604073</v>
      </c>
    </row>
    <row r="53" spans="1:8" ht="16.5" customHeight="1" x14ac:dyDescent="0.25">
      <c r="B53" s="215" t="s">
        <v>191</v>
      </c>
      <c r="C53" s="211">
        <v>2231</v>
      </c>
      <c r="D53" s="211">
        <v>2813</v>
      </c>
      <c r="E53" s="264"/>
      <c r="F53" s="265">
        <f t="shared" si="3"/>
        <v>-20.68965517241379</v>
      </c>
    </row>
    <row r="54" spans="1:8" ht="16.5" customHeight="1" x14ac:dyDescent="0.25">
      <c r="B54" s="190" t="s">
        <v>38</v>
      </c>
      <c r="C54" s="211">
        <v>651101</v>
      </c>
      <c r="D54" s="211">
        <v>671105</v>
      </c>
      <c r="E54" s="264"/>
      <c r="F54" s="265">
        <f t="shared" si="3"/>
        <v>-2.9807556194634266</v>
      </c>
      <c r="G54" s="32"/>
    </row>
    <row r="55" spans="1:8" ht="16.5" customHeight="1" x14ac:dyDescent="0.25">
      <c r="A55" s="32"/>
      <c r="B55" s="215" t="s">
        <v>30</v>
      </c>
      <c r="C55" s="211">
        <v>944918</v>
      </c>
      <c r="D55" s="211">
        <f>723040+232683-19023-1832</f>
        <v>934868</v>
      </c>
      <c r="E55" s="264"/>
      <c r="F55" s="265">
        <f t="shared" si="3"/>
        <v>1.0750180774184104</v>
      </c>
      <c r="G55" s="32"/>
    </row>
    <row r="56" spans="1:8" ht="14.45" hidden="1" customHeight="1" x14ac:dyDescent="0.25">
      <c r="A56" s="32"/>
      <c r="B56" s="215" t="s">
        <v>40</v>
      </c>
      <c r="C56" s="216">
        <v>0</v>
      </c>
      <c r="D56" s="216"/>
      <c r="E56" s="264"/>
      <c r="F56" s="265" t="e">
        <f t="shared" si="3"/>
        <v>#DIV/0!</v>
      </c>
    </row>
    <row r="57" spans="1:8" ht="14.45" hidden="1" customHeight="1" x14ac:dyDescent="0.25">
      <c r="B57" s="215" t="s">
        <v>50</v>
      </c>
      <c r="C57" s="216"/>
      <c r="D57" s="216"/>
      <c r="E57" s="264"/>
      <c r="F57" s="265" t="e">
        <f t="shared" si="3"/>
        <v>#DIV/0!</v>
      </c>
    </row>
    <row r="58" spans="1:8" ht="16.5" customHeight="1" x14ac:dyDescent="0.25">
      <c r="B58" s="215" t="s">
        <v>42</v>
      </c>
      <c r="C58" s="211">
        <v>1897</v>
      </c>
      <c r="D58" s="211">
        <v>1897</v>
      </c>
      <c r="E58" s="264"/>
      <c r="F58" s="265">
        <f t="shared" si="3"/>
        <v>0</v>
      </c>
    </row>
    <row r="59" spans="1:8" ht="12.6" hidden="1" customHeight="1" x14ac:dyDescent="0.25">
      <c r="B59" s="215" t="s">
        <v>43</v>
      </c>
      <c r="C59" s="211"/>
      <c r="D59" s="211"/>
      <c r="E59" s="264"/>
      <c r="F59" s="265" t="e">
        <f>+(C59/#REF!-1)*100</f>
        <v>#REF!</v>
      </c>
    </row>
    <row r="60" spans="1:8" x14ac:dyDescent="0.25">
      <c r="B60" s="190" t="s">
        <v>31</v>
      </c>
      <c r="C60" s="213">
        <v>2705</v>
      </c>
      <c r="D60" s="213">
        <v>1167</v>
      </c>
      <c r="E60" s="268" t="e">
        <f>+#REF!/#REF!</f>
        <v>#REF!</v>
      </c>
      <c r="F60" s="269">
        <v>100</v>
      </c>
    </row>
    <row r="61" spans="1:8" ht="12.6" hidden="1" customHeight="1" x14ac:dyDescent="0.25">
      <c r="A61" s="32"/>
      <c r="B61" s="215" t="s">
        <v>241</v>
      </c>
      <c r="C61" s="213">
        <v>0</v>
      </c>
      <c r="D61" s="213">
        <v>0</v>
      </c>
      <c r="E61" s="268"/>
      <c r="F61" s="269" t="s">
        <v>235</v>
      </c>
    </row>
    <row r="62" spans="1:8" ht="3.6" customHeight="1" x14ac:dyDescent="0.25">
      <c r="A62" s="32"/>
      <c r="B62" s="217"/>
      <c r="C62" s="223"/>
      <c r="D62" s="223"/>
      <c r="E62" s="275"/>
      <c r="F62" s="224"/>
    </row>
    <row r="63" spans="1:8" ht="2.1" customHeight="1" thickBot="1" x14ac:dyDescent="0.3">
      <c r="B63" s="217"/>
      <c r="C63" s="20"/>
      <c r="D63" s="20"/>
      <c r="E63" s="20"/>
      <c r="F63" s="20"/>
    </row>
    <row r="64" spans="1:8" ht="16.5" customHeight="1" thickTop="1" thickBot="1" x14ac:dyDescent="0.3">
      <c r="B64" s="191" t="s">
        <v>52</v>
      </c>
      <c r="C64" s="218">
        <f>SUM(C52:C63)</f>
        <v>2356747</v>
      </c>
      <c r="D64" s="218">
        <f>SUM(D52:D63)</f>
        <v>2504341</v>
      </c>
      <c r="E64" s="270" t="e">
        <f>+#REF!/#REF!</f>
        <v>#REF!</v>
      </c>
      <c r="F64" s="271">
        <f>+(C64/D64-1)*100</f>
        <v>-5.893526480619049</v>
      </c>
      <c r="H64" s="214"/>
    </row>
    <row r="65" spans="2:8" ht="3.75" customHeight="1" thickTop="1" thickBot="1" x14ac:dyDescent="0.3">
      <c r="B65" s="217"/>
      <c r="C65" s="20"/>
      <c r="D65" s="20"/>
      <c r="E65" s="20"/>
      <c r="F65" s="20"/>
    </row>
    <row r="66" spans="2:8" ht="16.5" customHeight="1" thickTop="1" thickBot="1" x14ac:dyDescent="0.3">
      <c r="B66" s="193" t="s">
        <v>53</v>
      </c>
      <c r="C66" s="194">
        <f>+C50+C64</f>
        <v>3740493</v>
      </c>
      <c r="D66" s="194">
        <f>+D50+D64</f>
        <v>3246982</v>
      </c>
      <c r="E66" s="270" t="e">
        <f>+#REF!/#REF!</f>
        <v>#REF!</v>
      </c>
      <c r="F66" s="276">
        <f>+(C66/D66-1)*100</f>
        <v>15.199067934469612</v>
      </c>
      <c r="H66" s="214"/>
    </row>
    <row r="67" spans="2:8" ht="16.5" customHeight="1" thickTop="1" thickBot="1" x14ac:dyDescent="0.3">
      <c r="B67" s="195" t="s">
        <v>35</v>
      </c>
      <c r="C67" s="196">
        <f>+C66/C91</f>
        <v>892.17186594380064</v>
      </c>
      <c r="D67" s="196">
        <f>+D66/D91</f>
        <v>736.41903768300017</v>
      </c>
      <c r="E67" s="277"/>
      <c r="F67" s="278">
        <f>+(C67/D67-1)*100</f>
        <v>21.150027401633519</v>
      </c>
    </row>
    <row r="68" spans="2:8" ht="5.25" customHeight="1" thickTop="1" thickBot="1" x14ac:dyDescent="0.3">
      <c r="C68" s="20"/>
      <c r="D68" s="20"/>
      <c r="E68" s="20"/>
      <c r="F68" s="20"/>
    </row>
    <row r="69" spans="2:8" ht="16.5" customHeight="1" thickTop="1" thickBot="1" x14ac:dyDescent="0.3">
      <c r="B69" s="193" t="s">
        <v>54</v>
      </c>
      <c r="C69" s="194">
        <f>C87</f>
        <v>19318356</v>
      </c>
      <c r="D69" s="194">
        <f>D87</f>
        <v>18767690</v>
      </c>
      <c r="E69" s="270"/>
      <c r="F69" s="276">
        <f>+(C69/D69-1)*100</f>
        <v>2.934117091661248</v>
      </c>
      <c r="H69" s="214"/>
    </row>
    <row r="70" spans="2:8" ht="16.5" customHeight="1" thickTop="1" thickBot="1" x14ac:dyDescent="0.3">
      <c r="B70" s="195" t="s">
        <v>35</v>
      </c>
      <c r="C70" s="196">
        <f>+C69/C91</f>
        <v>4607.7599181409023</v>
      </c>
      <c r="D70" s="196">
        <f>+D69/D91</f>
        <v>4256.5324382250546</v>
      </c>
      <c r="E70" s="277"/>
      <c r="F70" s="278">
        <f>+(C70/D70-1)*100</f>
        <v>8.2514930876999681</v>
      </c>
    </row>
    <row r="71" spans="2:8" ht="3.75" customHeight="1" thickTop="1" thickBot="1" x14ac:dyDescent="0.3">
      <c r="B71" s="217"/>
      <c r="C71" s="20"/>
      <c r="D71" s="20"/>
      <c r="E71" s="20"/>
      <c r="F71" s="20"/>
    </row>
    <row r="72" spans="2:8" ht="20.25" customHeight="1" thickTop="1" thickBot="1" x14ac:dyDescent="0.3">
      <c r="B72" s="191" t="s">
        <v>55</v>
      </c>
      <c r="C72" s="218">
        <f>+C66+C69</f>
        <v>23058849</v>
      </c>
      <c r="D72" s="218">
        <f>+D66+D69</f>
        <v>22014672</v>
      </c>
      <c r="E72" s="270"/>
      <c r="F72" s="271">
        <f>+(C72/D72-1)*100</f>
        <v>4.7430958771495613</v>
      </c>
    </row>
    <row r="73" spans="2:8" ht="21.75" hidden="1" customHeight="1" thickTop="1" thickBot="1" x14ac:dyDescent="0.3">
      <c r="C73" s="197">
        <f>+C69-C87</f>
        <v>0</v>
      </c>
      <c r="D73" s="197">
        <f>+D69-D87</f>
        <v>0</v>
      </c>
      <c r="E73" s="20"/>
    </row>
    <row r="74" spans="2:8" ht="13.5" hidden="1" customHeight="1" thickTop="1" thickBot="1" x14ac:dyDescent="0.3">
      <c r="B74" s="2" t="s">
        <v>232</v>
      </c>
      <c r="C74" s="197">
        <f>+C66+C69-C34</f>
        <v>0</v>
      </c>
      <c r="D74" s="197">
        <f>+D66+D69-D34</f>
        <v>0</v>
      </c>
      <c r="E74" s="20"/>
    </row>
    <row r="75" spans="2:8" ht="16.5" customHeight="1" thickTop="1" thickBot="1" x14ac:dyDescent="0.3">
      <c r="C75" s="20"/>
      <c r="D75" s="20"/>
      <c r="E75" s="20"/>
    </row>
    <row r="76" spans="2:8" ht="36" customHeight="1" thickTop="1" thickBot="1" x14ac:dyDescent="0.3">
      <c r="C76" s="201">
        <f>+C6</f>
        <v>45717</v>
      </c>
      <c r="D76" s="201">
        <f>+D6</f>
        <v>45627</v>
      </c>
      <c r="E76" s="189" t="s">
        <v>230</v>
      </c>
      <c r="F76" s="201" t="s">
        <v>231</v>
      </c>
      <c r="G76" s="199"/>
    </row>
    <row r="77" spans="2:8" ht="16.5" customHeight="1" thickTop="1" thickBot="1" x14ac:dyDescent="0.3">
      <c r="F77" s="10"/>
      <c r="G77" s="200"/>
    </row>
    <row r="78" spans="2:8" ht="16.5" customHeight="1" thickTop="1" x14ac:dyDescent="0.25">
      <c r="B78" s="215" t="s">
        <v>56</v>
      </c>
      <c r="C78" s="211">
        <v>54697</v>
      </c>
      <c r="D78" s="211">
        <v>54697</v>
      </c>
      <c r="E78" s="282" t="e">
        <f>+#REF!/#REF!</f>
        <v>#REF!</v>
      </c>
      <c r="F78" s="265">
        <f t="shared" ref="F78:F85" si="4">+(C78/D78-1)*100</f>
        <v>0</v>
      </c>
      <c r="G78" s="200"/>
    </row>
    <row r="79" spans="2:8" ht="16.5" customHeight="1" x14ac:dyDescent="0.25">
      <c r="B79" s="215" t="s">
        <v>57</v>
      </c>
      <c r="C79" s="211">
        <v>1503373</v>
      </c>
      <c r="D79" s="211">
        <v>1503373</v>
      </c>
      <c r="E79" s="268" t="e">
        <f>+#REF!/#REF!</f>
        <v>#REF!</v>
      </c>
      <c r="F79" s="265">
        <f t="shared" si="4"/>
        <v>0</v>
      </c>
      <c r="G79" s="200"/>
    </row>
    <row r="80" spans="2:8" ht="16.5" customHeight="1" x14ac:dyDescent="0.25">
      <c r="B80" s="215" t="s">
        <v>233</v>
      </c>
      <c r="C80" s="211">
        <v>-451090</v>
      </c>
      <c r="D80" s="211">
        <v>-428360</v>
      </c>
      <c r="E80" s="267"/>
      <c r="F80" s="265">
        <f t="shared" si="4"/>
        <v>5.3062844336539294</v>
      </c>
      <c r="G80" s="200"/>
    </row>
    <row r="81" spans="2:7" ht="16.5" customHeight="1" x14ac:dyDescent="0.25">
      <c r="B81" s="215" t="s">
        <v>58</v>
      </c>
      <c r="C81" s="225">
        <v>896365</v>
      </c>
      <c r="D81" s="225">
        <v>1110895</v>
      </c>
      <c r="E81" s="268"/>
      <c r="F81" s="265">
        <f t="shared" si="4"/>
        <v>-19.311456078207211</v>
      </c>
      <c r="G81" s="200"/>
    </row>
    <row r="82" spans="2:7" s="10" customFormat="1" ht="15.75" customHeight="1" x14ac:dyDescent="0.25">
      <c r="B82" s="215" t="s">
        <v>59</v>
      </c>
      <c r="C82" s="286">
        <v>5299320</v>
      </c>
      <c r="D82" s="286">
        <v>3344004</v>
      </c>
      <c r="E82" s="268" t="e">
        <f>+#REF!/#REF!</f>
        <v>#REF!</v>
      </c>
      <c r="F82" s="265">
        <f t="shared" si="4"/>
        <v>58.47229847811186</v>
      </c>
      <c r="G82" s="226"/>
    </row>
    <row r="83" spans="2:7" s="10" customFormat="1" ht="16.5" customHeight="1" x14ac:dyDescent="0.25">
      <c r="B83" s="215" t="s">
        <v>60</v>
      </c>
      <c r="C83" s="213">
        <v>273310</v>
      </c>
      <c r="D83" s="213">
        <v>396439</v>
      </c>
      <c r="E83" s="283"/>
      <c r="F83" s="263">
        <f t="shared" si="4"/>
        <v>-31.058750526562729</v>
      </c>
      <c r="G83" s="199"/>
    </row>
    <row r="84" spans="2:7" s="10" customFormat="1" ht="16.5" customHeight="1" x14ac:dyDescent="0.25">
      <c r="B84" s="227" t="s">
        <v>61</v>
      </c>
      <c r="C84" s="228">
        <v>10252349</v>
      </c>
      <c r="D84" s="228">
        <v>10254655</v>
      </c>
      <c r="E84" s="284"/>
      <c r="F84" s="265">
        <f t="shared" si="4"/>
        <v>-2.2487348428590348E-2</v>
      </c>
      <c r="G84" s="200"/>
    </row>
    <row r="85" spans="2:7" s="10" customFormat="1" ht="16.5" customHeight="1" thickBot="1" x14ac:dyDescent="0.3">
      <c r="B85" s="215" t="s">
        <v>63</v>
      </c>
      <c r="C85" s="229">
        <v>1490032</v>
      </c>
      <c r="D85" s="229">
        <f>2535390-5235+1832</f>
        <v>2531987</v>
      </c>
      <c r="E85" s="274" t="e">
        <f>+#REF!/#REF!</f>
        <v>#REF!</v>
      </c>
      <c r="F85" s="265">
        <f t="shared" si="4"/>
        <v>-41.151672579677545</v>
      </c>
      <c r="G85" s="200"/>
    </row>
    <row r="86" spans="2:7" s="10" customFormat="1" ht="16.5" customHeight="1" thickTop="1" thickBot="1" x14ac:dyDescent="0.3">
      <c r="B86" s="217"/>
      <c r="C86" s="20"/>
      <c r="D86" s="20"/>
      <c r="E86" s="20"/>
      <c r="F86" s="20"/>
      <c r="G86" s="200"/>
    </row>
    <row r="87" spans="2:7" s="10" customFormat="1" ht="16.5" customHeight="1" thickTop="1" thickBot="1" x14ac:dyDescent="0.3">
      <c r="B87" s="191" t="s">
        <v>54</v>
      </c>
      <c r="C87" s="218">
        <f>+SUM(C78:C85)</f>
        <v>19318356</v>
      </c>
      <c r="D87" s="218">
        <f>+SUM(D78:D85)</f>
        <v>18767690</v>
      </c>
      <c r="E87" s="270"/>
      <c r="F87" s="271">
        <f>+(C87/D87-1)*100</f>
        <v>2.934117091661248</v>
      </c>
      <c r="G87" s="200"/>
    </row>
    <row r="88" spans="2:7" s="10" customFormat="1" ht="16.5" customHeight="1" thickTop="1" x14ac:dyDescent="0.25">
      <c r="B88" s="2"/>
      <c r="F88" s="2"/>
      <c r="G88" s="200"/>
    </row>
    <row r="89" spans="2:7" s="10" customFormat="1" ht="16.5" customHeight="1" x14ac:dyDescent="0.25">
      <c r="B89" s="2"/>
      <c r="C89" s="198">
        <f>+C34-C66-C87</f>
        <v>0</v>
      </c>
      <c r="D89" s="198"/>
      <c r="F89" s="2"/>
      <c r="G89" s="200"/>
    </row>
    <row r="90" spans="2:7" s="10" customFormat="1" ht="16.5" customHeight="1" x14ac:dyDescent="0.25">
      <c r="B90" s="2"/>
      <c r="C90" s="149">
        <f>+C35-C67-C70</f>
        <v>0</v>
      </c>
      <c r="D90" s="202"/>
      <c r="F90" s="2"/>
      <c r="G90" s="198"/>
    </row>
    <row r="91" spans="2:7" s="10" customFormat="1" ht="16.5" customHeight="1" x14ac:dyDescent="0.25">
      <c r="B91" s="10" t="s">
        <v>242</v>
      </c>
      <c r="C91" s="230">
        <v>4192.57</v>
      </c>
      <c r="D91" s="230">
        <v>4409.1499999999996</v>
      </c>
      <c r="F91" s="2"/>
      <c r="G91" s="198"/>
    </row>
    <row r="92" spans="2:7" s="10" customFormat="1" ht="16.5" customHeight="1" x14ac:dyDescent="0.25">
      <c r="B92" s="2"/>
      <c r="C92" s="2"/>
      <c r="D92" s="2"/>
      <c r="F92" s="2"/>
      <c r="G92" s="198"/>
    </row>
    <row r="93" spans="2:7" s="10" customFormat="1" ht="16.5" customHeight="1" x14ac:dyDescent="0.25">
      <c r="B93" s="205" t="s">
        <v>306</v>
      </c>
      <c r="C93" s="285" t="e">
        <f>+C85-#REF!</f>
        <v>#REF!</v>
      </c>
      <c r="D93" s="231"/>
      <c r="G93" s="198"/>
    </row>
    <row r="94" spans="2:7" s="10" customFormat="1" ht="16.5" customHeight="1" x14ac:dyDescent="0.25">
      <c r="G94" s="198"/>
    </row>
    <row r="95" spans="2:7" s="10" customFormat="1" ht="16.5" customHeight="1" x14ac:dyDescent="0.25">
      <c r="G95" s="198"/>
    </row>
    <row r="96" spans="2:7" s="10" customFormat="1" ht="16.5" customHeight="1" x14ac:dyDescent="0.25">
      <c r="G96" s="198"/>
    </row>
    <row r="97" spans="1:7" s="10" customFormat="1" ht="16.5" customHeight="1" x14ac:dyDescent="0.25">
      <c r="G97" s="198"/>
    </row>
    <row r="98" spans="1:7" s="10" customFormat="1" ht="16.5" customHeight="1" x14ac:dyDescent="0.25">
      <c r="G98" s="198"/>
    </row>
    <row r="99" spans="1:7" ht="16.5" customHeight="1" x14ac:dyDescent="0.25"/>
    <row r="100" spans="1:7" s="204" customFormat="1" ht="16.5" customHeight="1" x14ac:dyDescent="0.25">
      <c r="A100" s="2"/>
      <c r="B100" s="2"/>
      <c r="C100" s="10"/>
      <c r="D100" s="10"/>
      <c r="E100" s="10"/>
      <c r="F100" s="2"/>
    </row>
    <row r="101" spans="1:7" s="204" customFormat="1" ht="16.5" customHeight="1" x14ac:dyDescent="0.25">
      <c r="A101" s="2"/>
      <c r="B101" s="2"/>
      <c r="C101" s="10"/>
      <c r="D101" s="10"/>
      <c r="E101" s="10"/>
      <c r="F101" s="2"/>
    </row>
    <row r="102" spans="1:7" s="204" customFormat="1" ht="16.5" customHeight="1" x14ac:dyDescent="0.25">
      <c r="A102" s="2"/>
      <c r="B102" s="2"/>
      <c r="C102" s="10"/>
      <c r="D102" s="10"/>
      <c r="E102" s="10"/>
      <c r="F102" s="2"/>
    </row>
    <row r="103" spans="1:7" s="204" customFormat="1" ht="16.5" customHeight="1" x14ac:dyDescent="0.25">
      <c r="A103" s="2"/>
      <c r="B103" s="2"/>
      <c r="C103" s="10"/>
      <c r="D103" s="10"/>
      <c r="E103" s="10"/>
      <c r="F103" s="2"/>
    </row>
    <row r="107" spans="1:7" s="204" customFormat="1" ht="21" customHeight="1" x14ac:dyDescent="0.25">
      <c r="A107" s="2"/>
      <c r="B107" s="2"/>
      <c r="C107" s="10"/>
      <c r="D107" s="10"/>
      <c r="E107" s="10"/>
      <c r="F107" s="2"/>
    </row>
    <row r="108" spans="1:7" s="204" customFormat="1" ht="3.75" customHeight="1" x14ac:dyDescent="0.25">
      <c r="A108" s="2"/>
      <c r="B108" s="2"/>
      <c r="C108" s="10"/>
      <c r="D108" s="10"/>
      <c r="E108" s="10"/>
      <c r="F108" s="3"/>
    </row>
    <row r="109" spans="1:7" s="204" customFormat="1" ht="16.5" customHeight="1" x14ac:dyDescent="0.25">
      <c r="A109" s="2"/>
      <c r="B109" s="2"/>
      <c r="C109" s="10"/>
      <c r="D109" s="10"/>
      <c r="E109" s="10"/>
      <c r="F109" s="2"/>
    </row>
    <row r="110" spans="1:7" s="204" customFormat="1" ht="16.5" customHeight="1" x14ac:dyDescent="0.25">
      <c r="A110" s="2"/>
      <c r="B110" s="2"/>
      <c r="C110" s="10"/>
      <c r="D110" s="10"/>
      <c r="E110" s="10"/>
      <c r="F110" s="2"/>
    </row>
    <row r="111" spans="1:7" s="204" customFormat="1" ht="16.5" customHeight="1" x14ac:dyDescent="0.25">
      <c r="A111" s="2"/>
      <c r="B111" s="2"/>
      <c r="C111" s="10"/>
      <c r="D111" s="10"/>
      <c r="E111" s="10"/>
      <c r="F111" s="2"/>
    </row>
    <row r="112" spans="1:7" s="204" customFormat="1" ht="16.5" customHeight="1" x14ac:dyDescent="0.25">
      <c r="A112" s="2"/>
      <c r="B112" s="2"/>
      <c r="C112" s="10"/>
      <c r="D112" s="10"/>
      <c r="E112" s="10"/>
      <c r="F112" s="2"/>
    </row>
    <row r="113" spans="1:6" s="204" customFormat="1" ht="14.25" customHeight="1" x14ac:dyDescent="0.25">
      <c r="A113" s="2"/>
      <c r="B113" s="2"/>
      <c r="C113" s="10"/>
      <c r="D113" s="10"/>
      <c r="E113" s="10"/>
      <c r="F113" s="2"/>
    </row>
    <row r="114" spans="1:6" s="204" customFormat="1" ht="16.5" customHeight="1" x14ac:dyDescent="0.25">
      <c r="A114" s="2"/>
      <c r="B114" s="2"/>
      <c r="C114" s="10"/>
      <c r="D114" s="10"/>
      <c r="E114" s="10"/>
      <c r="F114" s="2"/>
    </row>
    <row r="115" spans="1:6" s="204" customFormat="1" ht="3.75" customHeight="1" x14ac:dyDescent="0.25">
      <c r="A115" s="2"/>
      <c r="B115" s="2"/>
      <c r="C115" s="10"/>
      <c r="D115" s="10"/>
      <c r="E115" s="10"/>
      <c r="F115" s="2"/>
    </row>
    <row r="116" spans="1:6" s="204" customFormat="1" ht="16.5" customHeight="1" x14ac:dyDescent="0.25">
      <c r="A116" s="2"/>
      <c r="B116" s="2"/>
      <c r="C116" s="10"/>
      <c r="D116" s="10"/>
      <c r="E116" s="10"/>
      <c r="F116" s="2"/>
    </row>
    <row r="118" spans="1:6" s="204" customFormat="1" ht="14.25" customHeight="1" x14ac:dyDescent="0.25">
      <c r="A118" s="2"/>
      <c r="B118" s="348"/>
      <c r="C118" s="348"/>
      <c r="D118" s="348"/>
      <c r="E118" s="10"/>
      <c r="F118" s="2"/>
    </row>
    <row r="122" spans="1:6" s="204" customFormat="1" ht="15" x14ac:dyDescent="0.25">
      <c r="A122" s="2"/>
      <c r="B122" s="45"/>
      <c r="C122" s="10"/>
      <c r="D122" s="10"/>
      <c r="E122" s="10"/>
      <c r="F122" s="2"/>
    </row>
    <row r="123" spans="1:6" s="204" customFormat="1" ht="15" x14ac:dyDescent="0.25">
      <c r="A123" s="2"/>
      <c r="B123" s="47"/>
      <c r="C123" s="10"/>
      <c r="D123" s="10"/>
      <c r="E123" s="10"/>
      <c r="F123" s="206"/>
    </row>
    <row r="124" spans="1:6" s="204" customFormat="1" ht="15" x14ac:dyDescent="0.25">
      <c r="A124" s="2"/>
      <c r="B124" s="47"/>
      <c r="C124" s="10"/>
      <c r="D124" s="10"/>
      <c r="E124" s="10"/>
      <c r="F124" s="207"/>
    </row>
    <row r="125" spans="1:6" s="204" customFormat="1" ht="15" x14ac:dyDescent="0.25">
      <c r="A125" s="2"/>
      <c r="B125" s="47"/>
      <c r="C125" s="10"/>
      <c r="D125" s="10"/>
      <c r="E125" s="10"/>
      <c r="F125" s="207"/>
    </row>
    <row r="126" spans="1:6" s="204" customFormat="1" ht="15" x14ac:dyDescent="0.25">
      <c r="A126" s="2"/>
      <c r="B126" s="47"/>
      <c r="C126" s="10"/>
      <c r="D126" s="10"/>
      <c r="E126" s="10"/>
      <c r="F126" s="207"/>
    </row>
    <row r="127" spans="1:6" s="204" customFormat="1" ht="15" x14ac:dyDescent="0.25">
      <c r="A127" s="2"/>
      <c r="B127" s="47"/>
      <c r="C127" s="10"/>
      <c r="D127" s="10"/>
      <c r="E127" s="10"/>
      <c r="F127" s="207"/>
    </row>
    <row r="128" spans="1:6" s="204" customFormat="1" ht="15" x14ac:dyDescent="0.25">
      <c r="A128" s="2"/>
      <c r="B128" s="47"/>
      <c r="C128" s="10"/>
      <c r="D128" s="10"/>
      <c r="E128" s="10"/>
      <c r="F128" s="207"/>
    </row>
    <row r="129" spans="1:6" s="204" customFormat="1" ht="15" x14ac:dyDescent="0.25">
      <c r="A129" s="2"/>
      <c r="B129" s="47"/>
      <c r="C129" s="10"/>
      <c r="D129" s="10"/>
      <c r="E129" s="10"/>
      <c r="F129" s="207"/>
    </row>
    <row r="130" spans="1:6" s="204" customFormat="1" ht="15" x14ac:dyDescent="0.25">
      <c r="A130" s="2"/>
      <c r="B130" s="47"/>
      <c r="C130" s="10"/>
      <c r="D130" s="10"/>
      <c r="E130" s="10"/>
      <c r="F130" s="207"/>
    </row>
    <row r="131" spans="1:6" s="204" customFormat="1" ht="15" x14ac:dyDescent="0.25">
      <c r="A131" s="2"/>
      <c r="B131" s="47"/>
      <c r="C131" s="10"/>
      <c r="D131" s="10"/>
      <c r="E131" s="10"/>
      <c r="F131" s="2"/>
    </row>
    <row r="132" spans="1:6" s="204" customFormat="1" ht="15" x14ac:dyDescent="0.25">
      <c r="A132" s="2"/>
      <c r="B132" s="45"/>
      <c r="C132" s="10"/>
      <c r="D132" s="10"/>
      <c r="E132" s="10"/>
      <c r="F132" s="208"/>
    </row>
  </sheetData>
  <mergeCells count="4">
    <mergeCell ref="B1:F1"/>
    <mergeCell ref="B2:F2"/>
    <mergeCell ref="B3:F3"/>
    <mergeCell ref="B118:D118"/>
  </mergeCells>
  <conditionalFormatting sqref="C85:D85">
    <cfRule type="expression" dxfId="1" priority="1">
      <formula>$E$5="Millones"</formula>
    </cfRule>
    <cfRule type="expression" dxfId="0" priority="2">
      <formula>$E$5="Miles"</formula>
    </cfRule>
  </conditionalFormatting>
  <pageMargins left="0.7" right="0.7" top="0.75" bottom="0.75" header="0.3" footer="0.3"/>
  <customProperties>
    <customPr name="FPMExcelClientCellBasedFunctionStatus" r:id="rId1"/>
  </customPropertie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5C65C-C4E0-4125-BF41-488011185EAA}">
  <sheetPr>
    <tabColor theme="0"/>
  </sheetPr>
  <dimension ref="A1:F66"/>
  <sheetViews>
    <sheetView showGridLines="0" topLeftCell="A56" workbookViewId="0">
      <selection activeCell="A78" sqref="A78"/>
    </sheetView>
  </sheetViews>
  <sheetFormatPr baseColWidth="10" defaultRowHeight="15" x14ac:dyDescent="0.25"/>
  <cols>
    <col min="1" max="1" width="73.5703125" bestFit="1" customWidth="1"/>
    <col min="2" max="2" width="8.28515625" customWidth="1"/>
  </cols>
  <sheetData>
    <row r="1" spans="1:6" ht="23.25" x14ac:dyDescent="0.25">
      <c r="A1" s="252" t="s">
        <v>307</v>
      </c>
    </row>
    <row r="2" spans="1:6" ht="15.75" x14ac:dyDescent="0.25">
      <c r="A2" s="253" t="s">
        <v>313</v>
      </c>
    </row>
    <row r="3" spans="1:6" ht="15.75" x14ac:dyDescent="0.25">
      <c r="A3" s="289" t="s">
        <v>333</v>
      </c>
    </row>
    <row r="4" spans="1:6" ht="15.75" thickBot="1" x14ac:dyDescent="0.3">
      <c r="A4" s="290" t="s">
        <v>361</v>
      </c>
    </row>
    <row r="5" spans="1:6" ht="15.75" thickBot="1" x14ac:dyDescent="0.3">
      <c r="A5" s="290"/>
      <c r="B5" s="244" t="s">
        <v>334</v>
      </c>
      <c r="C5" s="291">
        <v>2025</v>
      </c>
      <c r="D5" s="291">
        <v>2024</v>
      </c>
    </row>
    <row r="6" spans="1:6" ht="15.75" thickBot="1" x14ac:dyDescent="0.3">
      <c r="A6" s="254" t="s">
        <v>244</v>
      </c>
      <c r="B6" s="235"/>
      <c r="C6" s="234"/>
      <c r="D6" s="234"/>
    </row>
    <row r="7" spans="1:6" ht="15.75" thickBot="1" x14ac:dyDescent="0.3">
      <c r="A7" s="254" t="s">
        <v>335</v>
      </c>
      <c r="B7" s="242"/>
      <c r="C7" s="337">
        <v>1490032</v>
      </c>
      <c r="D7" s="337">
        <v>2574852</v>
      </c>
      <c r="E7" s="296" t="e">
        <f>+C7-#REF!</f>
        <v>#REF!</v>
      </c>
      <c r="F7" s="296" t="e">
        <f>+D7-#REF!</f>
        <v>#REF!</v>
      </c>
    </row>
    <row r="8" spans="1:6" ht="15.75" thickBot="1" x14ac:dyDescent="0.3">
      <c r="A8" s="236" t="s">
        <v>284</v>
      </c>
      <c r="B8" s="237"/>
      <c r="C8" s="338"/>
      <c r="D8" s="338"/>
    </row>
    <row r="9" spans="1:6" x14ac:dyDescent="0.25">
      <c r="A9" s="248" t="s">
        <v>285</v>
      </c>
      <c r="B9" s="238"/>
      <c r="C9" s="250">
        <v>-287167</v>
      </c>
      <c r="D9" s="250">
        <v>-257272</v>
      </c>
    </row>
    <row r="10" spans="1:6" x14ac:dyDescent="0.25">
      <c r="A10" s="239" t="s">
        <v>298</v>
      </c>
      <c r="B10" s="241"/>
      <c r="C10" s="339">
        <v>9707</v>
      </c>
      <c r="D10" s="339">
        <v>348139</v>
      </c>
    </row>
    <row r="11" spans="1:6" x14ac:dyDescent="0.25">
      <c r="A11" s="239" t="s">
        <v>314</v>
      </c>
      <c r="B11" s="241">
        <v>30</v>
      </c>
      <c r="C11" s="339">
        <v>-1284644</v>
      </c>
      <c r="D11" s="339">
        <v>-2774617</v>
      </c>
    </row>
    <row r="12" spans="1:6" x14ac:dyDescent="0.25">
      <c r="A12" s="239" t="s">
        <v>248</v>
      </c>
      <c r="B12" s="241"/>
      <c r="C12" s="339">
        <v>29626</v>
      </c>
      <c r="D12" s="339">
        <v>22917</v>
      </c>
    </row>
    <row r="13" spans="1:6" x14ac:dyDescent="0.25">
      <c r="A13" s="239" t="s">
        <v>328</v>
      </c>
      <c r="B13" s="241"/>
      <c r="C13" s="339">
        <v>0</v>
      </c>
      <c r="D13" s="339">
        <v>0</v>
      </c>
    </row>
    <row r="14" spans="1:6" x14ac:dyDescent="0.25">
      <c r="A14" s="239" t="s">
        <v>321</v>
      </c>
      <c r="B14" s="241"/>
      <c r="C14" s="339">
        <v>0</v>
      </c>
      <c r="D14" s="339">
        <v>-54845</v>
      </c>
    </row>
    <row r="15" spans="1:6" x14ac:dyDescent="0.25">
      <c r="A15" s="239" t="s">
        <v>336</v>
      </c>
      <c r="B15" s="241"/>
      <c r="C15" s="339">
        <v>-34872</v>
      </c>
      <c r="D15" s="339">
        <v>80441</v>
      </c>
    </row>
    <row r="16" spans="1:6" x14ac:dyDescent="0.25">
      <c r="A16" s="233" t="s">
        <v>252</v>
      </c>
      <c r="B16" s="241">
        <v>13.19</v>
      </c>
      <c r="C16" s="339">
        <v>665</v>
      </c>
      <c r="D16" s="339">
        <v>701</v>
      </c>
    </row>
    <row r="17" spans="1:4" x14ac:dyDescent="0.25">
      <c r="A17" s="233" t="s">
        <v>286</v>
      </c>
      <c r="B17" s="241">
        <v>8</v>
      </c>
      <c r="C17" s="339">
        <v>640</v>
      </c>
      <c r="D17" s="339">
        <v>1274</v>
      </c>
    </row>
    <row r="18" spans="1:4" x14ac:dyDescent="0.25">
      <c r="A18" s="233" t="s">
        <v>251</v>
      </c>
      <c r="B18" s="240"/>
      <c r="C18" s="339">
        <v>180</v>
      </c>
      <c r="D18" s="339">
        <v>0</v>
      </c>
    </row>
    <row r="19" spans="1:4" x14ac:dyDescent="0.25">
      <c r="A19" s="239" t="s">
        <v>315</v>
      </c>
      <c r="B19" s="241">
        <v>36</v>
      </c>
      <c r="C19" s="339">
        <v>6820</v>
      </c>
      <c r="D19" s="339">
        <v>-2324</v>
      </c>
    </row>
    <row r="20" spans="1:4" x14ac:dyDescent="0.25">
      <c r="A20" s="239" t="s">
        <v>287</v>
      </c>
      <c r="B20" s="240"/>
      <c r="C20" s="339">
        <v>-740</v>
      </c>
      <c r="D20" s="339">
        <v>-2380</v>
      </c>
    </row>
    <row r="21" spans="1:4" ht="15.75" thickBot="1" x14ac:dyDescent="0.3">
      <c r="A21" s="292"/>
      <c r="B21" s="255"/>
      <c r="C21" s="256">
        <f>+SUM(C7:C20)</f>
        <v>-69753</v>
      </c>
      <c r="D21" s="256">
        <f>+SUM(D7:D20)</f>
        <v>-63114</v>
      </c>
    </row>
    <row r="22" spans="1:4" ht="15.75" thickBot="1" x14ac:dyDescent="0.3">
      <c r="A22" s="254" t="s">
        <v>254</v>
      </c>
      <c r="B22" s="242"/>
      <c r="C22" s="337"/>
      <c r="D22" s="337"/>
    </row>
    <row r="23" spans="1:4" x14ac:dyDescent="0.25">
      <c r="A23" s="239" t="s">
        <v>288</v>
      </c>
      <c r="B23" s="240"/>
      <c r="C23" s="339">
        <v>-3812</v>
      </c>
      <c r="D23" s="339">
        <v>-4010</v>
      </c>
    </row>
    <row r="24" spans="1:4" x14ac:dyDescent="0.25">
      <c r="A24" s="239" t="s">
        <v>19</v>
      </c>
      <c r="B24" s="240"/>
      <c r="C24" s="339">
        <v>-16348</v>
      </c>
      <c r="D24" s="339">
        <v>15791</v>
      </c>
    </row>
    <row r="25" spans="1:4" x14ac:dyDescent="0.25">
      <c r="A25" s="239" t="s">
        <v>238</v>
      </c>
      <c r="B25" s="240"/>
      <c r="C25" s="339">
        <v>818</v>
      </c>
      <c r="D25" s="339">
        <v>8440</v>
      </c>
    </row>
    <row r="26" spans="1:4" x14ac:dyDescent="0.25">
      <c r="A26" s="239" t="s">
        <v>289</v>
      </c>
      <c r="B26" s="240"/>
      <c r="C26" s="339">
        <v>19607</v>
      </c>
      <c r="D26" s="339">
        <v>18616</v>
      </c>
    </row>
    <row r="27" spans="1:4" x14ac:dyDescent="0.25">
      <c r="A27" s="239" t="s">
        <v>299</v>
      </c>
      <c r="B27" s="241"/>
      <c r="C27" s="339">
        <v>0</v>
      </c>
      <c r="D27" s="339">
        <v>0</v>
      </c>
    </row>
    <row r="28" spans="1:4" ht="15.75" thickBot="1" x14ac:dyDescent="0.3">
      <c r="A28" s="246" t="s">
        <v>241</v>
      </c>
      <c r="B28" s="243"/>
      <c r="C28" s="340">
        <v>91</v>
      </c>
      <c r="D28" s="340">
        <v>-9523</v>
      </c>
    </row>
    <row r="29" spans="1:4" ht="15.75" thickBot="1" x14ac:dyDescent="0.3">
      <c r="A29" s="254" t="s">
        <v>337</v>
      </c>
      <c r="B29" s="242"/>
      <c r="C29" s="337">
        <f>+SUM(C21:C28)</f>
        <v>-69397</v>
      </c>
      <c r="D29" s="337">
        <f>+SUM(D21:D28)</f>
        <v>-33800</v>
      </c>
    </row>
    <row r="30" spans="1:4" x14ac:dyDescent="0.25">
      <c r="A30" s="239" t="s">
        <v>316</v>
      </c>
      <c r="B30" s="232">
        <v>6</v>
      </c>
      <c r="C30" s="339">
        <v>241945</v>
      </c>
      <c r="D30" s="339">
        <v>118731</v>
      </c>
    </row>
    <row r="31" spans="1:4" ht="15.75" thickBot="1" x14ac:dyDescent="0.3">
      <c r="A31" s="246" t="s">
        <v>338</v>
      </c>
      <c r="B31" s="243"/>
      <c r="C31" s="340">
        <v>-50110</v>
      </c>
      <c r="D31" s="340">
        <v>-44347</v>
      </c>
    </row>
    <row r="32" spans="1:4" ht="15.75" thickBot="1" x14ac:dyDescent="0.3">
      <c r="A32" s="257" t="s">
        <v>290</v>
      </c>
      <c r="B32" s="242"/>
      <c r="C32" s="337">
        <f>+C29+C30+C31</f>
        <v>122438</v>
      </c>
      <c r="D32" s="337">
        <f>+D29+D30+D31</f>
        <v>40584</v>
      </c>
    </row>
    <row r="33" spans="1:4" ht="15.75" thickBot="1" x14ac:dyDescent="0.3">
      <c r="A33" s="257"/>
      <c r="B33" s="242"/>
      <c r="C33" s="337"/>
      <c r="D33" s="337"/>
    </row>
    <row r="34" spans="1:4" ht="15.75" thickBot="1" x14ac:dyDescent="0.3">
      <c r="A34" s="254" t="s">
        <v>259</v>
      </c>
      <c r="B34" s="242"/>
      <c r="C34" s="337"/>
      <c r="D34" s="337"/>
    </row>
    <row r="35" spans="1:4" x14ac:dyDescent="0.25">
      <c r="A35" s="239" t="s">
        <v>260</v>
      </c>
      <c r="B35" s="240"/>
      <c r="C35" s="339">
        <v>16464</v>
      </c>
      <c r="D35" s="339">
        <v>33986</v>
      </c>
    </row>
    <row r="36" spans="1:4" x14ac:dyDescent="0.25">
      <c r="A36" s="239" t="s">
        <v>317</v>
      </c>
      <c r="B36" s="241">
        <v>13</v>
      </c>
      <c r="C36" s="339">
        <v>-2240</v>
      </c>
      <c r="D36" s="339">
        <v>-97</v>
      </c>
    </row>
    <row r="37" spans="1:4" x14ac:dyDescent="0.25">
      <c r="A37" s="239" t="s">
        <v>339</v>
      </c>
      <c r="B37" s="241"/>
      <c r="C37" s="339">
        <v>0</v>
      </c>
      <c r="D37" s="339">
        <v>0</v>
      </c>
    </row>
    <row r="38" spans="1:4" x14ac:dyDescent="0.25">
      <c r="A38" s="239" t="s">
        <v>340</v>
      </c>
      <c r="B38" s="241">
        <v>14</v>
      </c>
      <c r="C38" s="339">
        <v>0</v>
      </c>
      <c r="D38" s="339">
        <v>0</v>
      </c>
    </row>
    <row r="39" spans="1:4" x14ac:dyDescent="0.25">
      <c r="A39" s="239" t="s">
        <v>341</v>
      </c>
      <c r="B39" s="241"/>
      <c r="C39" s="339">
        <v>0</v>
      </c>
      <c r="D39" s="339">
        <v>0</v>
      </c>
    </row>
    <row r="40" spans="1:4" x14ac:dyDescent="0.25">
      <c r="A40" s="245" t="s">
        <v>291</v>
      </c>
      <c r="B40" s="241">
        <v>6</v>
      </c>
      <c r="C40" s="339">
        <v>0</v>
      </c>
      <c r="D40" s="339">
        <v>123709</v>
      </c>
    </row>
    <row r="41" spans="1:4" x14ac:dyDescent="0.25">
      <c r="A41" s="245" t="s">
        <v>359</v>
      </c>
      <c r="B41" s="241"/>
      <c r="C41" s="339">
        <v>-1750</v>
      </c>
      <c r="D41" s="339">
        <v>0</v>
      </c>
    </row>
    <row r="42" spans="1:4" x14ac:dyDescent="0.25">
      <c r="A42" s="239" t="s">
        <v>342</v>
      </c>
      <c r="B42" s="241"/>
      <c r="C42" s="339">
        <v>7490</v>
      </c>
      <c r="D42" s="339">
        <v>0</v>
      </c>
    </row>
    <row r="43" spans="1:4" x14ac:dyDescent="0.25">
      <c r="A43" s="239" t="s">
        <v>269</v>
      </c>
      <c r="B43" s="241"/>
      <c r="C43" s="339">
        <v>0</v>
      </c>
      <c r="D43" s="339">
        <v>-38434</v>
      </c>
    </row>
    <row r="44" spans="1:4" x14ac:dyDescent="0.25">
      <c r="A44" s="239" t="s">
        <v>270</v>
      </c>
      <c r="B44" s="241"/>
      <c r="C44" s="339">
        <v>25500</v>
      </c>
      <c r="D44" s="339">
        <v>74243</v>
      </c>
    </row>
    <row r="45" spans="1:4" x14ac:dyDescent="0.25">
      <c r="A45" s="239" t="s">
        <v>292</v>
      </c>
      <c r="B45" s="233"/>
      <c r="C45" s="339">
        <v>0</v>
      </c>
      <c r="D45" s="339">
        <v>8</v>
      </c>
    </row>
    <row r="46" spans="1:4" x14ac:dyDescent="0.25">
      <c r="A46" s="239" t="s">
        <v>329</v>
      </c>
      <c r="B46" s="233"/>
      <c r="C46" s="341">
        <v>0</v>
      </c>
      <c r="D46" s="341">
        <v>0</v>
      </c>
    </row>
    <row r="47" spans="1:4" ht="15.75" thickBot="1" x14ac:dyDescent="0.3">
      <c r="A47" s="246" t="s">
        <v>293</v>
      </c>
      <c r="B47" s="293">
        <v>11</v>
      </c>
      <c r="C47" s="340">
        <v>0</v>
      </c>
      <c r="D47" s="340">
        <v>0</v>
      </c>
    </row>
    <row r="48" spans="1:4" ht="15.75" thickBot="1" x14ac:dyDescent="0.3">
      <c r="A48" s="294" t="s">
        <v>343</v>
      </c>
      <c r="B48" s="255"/>
      <c r="C48" s="256">
        <f>+SUM(C35:C47)</f>
        <v>45464</v>
      </c>
      <c r="D48" s="256">
        <f>+SUM(D35:D47)</f>
        <v>193415</v>
      </c>
    </row>
    <row r="49" spans="1:4" ht="15.75" thickBot="1" x14ac:dyDescent="0.3">
      <c r="A49" s="254" t="s">
        <v>271</v>
      </c>
      <c r="B49" s="243"/>
      <c r="C49" s="340"/>
      <c r="D49" s="340"/>
    </row>
    <row r="50" spans="1:4" x14ac:dyDescent="0.25">
      <c r="A50" s="245" t="s">
        <v>308</v>
      </c>
      <c r="B50" s="247">
        <v>26</v>
      </c>
      <c r="C50" s="339">
        <v>-21534</v>
      </c>
      <c r="D50" s="339">
        <v>-31732</v>
      </c>
    </row>
    <row r="51" spans="1:4" x14ac:dyDescent="0.25">
      <c r="A51" s="245" t="s">
        <v>309</v>
      </c>
      <c r="B51" s="247">
        <v>26</v>
      </c>
      <c r="C51" s="339">
        <v>-1195</v>
      </c>
      <c r="D51" s="339">
        <v>-4146</v>
      </c>
    </row>
    <row r="52" spans="1:4" x14ac:dyDescent="0.25">
      <c r="A52" s="239" t="s">
        <v>344</v>
      </c>
      <c r="B52" s="241">
        <v>40</v>
      </c>
      <c r="C52" s="339">
        <v>0</v>
      </c>
      <c r="D52" s="339">
        <v>0</v>
      </c>
    </row>
    <row r="53" spans="1:4" x14ac:dyDescent="0.25">
      <c r="A53" s="239" t="s">
        <v>273</v>
      </c>
      <c r="B53" s="241" t="s">
        <v>345</v>
      </c>
      <c r="C53" s="339">
        <v>-19454</v>
      </c>
      <c r="D53" s="339">
        <v>78620</v>
      </c>
    </row>
    <row r="54" spans="1:4" x14ac:dyDescent="0.25">
      <c r="A54" s="239" t="s">
        <v>274</v>
      </c>
      <c r="B54" s="241" t="s">
        <v>345</v>
      </c>
      <c r="C54" s="339">
        <v>203262</v>
      </c>
      <c r="D54" s="339">
        <v>-63051</v>
      </c>
    </row>
    <row r="55" spans="1:4" x14ac:dyDescent="0.25">
      <c r="A55" s="239" t="s">
        <v>275</v>
      </c>
      <c r="B55" s="241" t="s">
        <v>345</v>
      </c>
      <c r="C55" s="339">
        <v>-155728</v>
      </c>
      <c r="D55" s="339">
        <v>-202</v>
      </c>
    </row>
    <row r="56" spans="1:4" x14ac:dyDescent="0.25">
      <c r="A56" s="245" t="s">
        <v>276</v>
      </c>
      <c r="B56" s="241">
        <v>16</v>
      </c>
      <c r="C56" s="339">
        <v>-575</v>
      </c>
      <c r="D56" s="339">
        <v>-13642</v>
      </c>
    </row>
    <row r="57" spans="1:4" x14ac:dyDescent="0.25">
      <c r="A57" s="239" t="s">
        <v>280</v>
      </c>
      <c r="B57" s="241">
        <v>29</v>
      </c>
      <c r="C57" s="339">
        <v>-99691</v>
      </c>
      <c r="D57" s="339">
        <v>-93767</v>
      </c>
    </row>
    <row r="58" spans="1:4" x14ac:dyDescent="0.25">
      <c r="A58" s="245" t="s">
        <v>281</v>
      </c>
      <c r="B58" s="241">
        <v>29</v>
      </c>
      <c r="C58" s="339">
        <v>-33403</v>
      </c>
      <c r="D58" s="339">
        <v>-30027</v>
      </c>
    </row>
    <row r="59" spans="1:4" x14ac:dyDescent="0.25">
      <c r="A59" s="239" t="s">
        <v>282</v>
      </c>
      <c r="B59" s="241" t="s">
        <v>345</v>
      </c>
      <c r="C59" s="339">
        <v>-55998</v>
      </c>
      <c r="D59" s="339">
        <v>-66737</v>
      </c>
    </row>
    <row r="60" spans="1:4" ht="15.75" thickBot="1" x14ac:dyDescent="0.3">
      <c r="A60" s="246" t="s">
        <v>283</v>
      </c>
      <c r="B60" s="295"/>
      <c r="C60" s="340" t="s">
        <v>187</v>
      </c>
      <c r="D60" s="340" t="s">
        <v>187</v>
      </c>
    </row>
    <row r="61" spans="1:4" ht="15.75" thickBot="1" x14ac:dyDescent="0.3">
      <c r="A61" s="294" t="s">
        <v>346</v>
      </c>
      <c r="B61" s="258" t="s">
        <v>345</v>
      </c>
      <c r="C61" s="337">
        <f>+SUM(C50:C60)</f>
        <v>-184316</v>
      </c>
      <c r="D61" s="337">
        <f>+SUM(D50:D60)</f>
        <v>-224684</v>
      </c>
    </row>
    <row r="62" spans="1:4" ht="15.75" thickBot="1" x14ac:dyDescent="0.3">
      <c r="A62" s="257" t="s">
        <v>347</v>
      </c>
      <c r="B62" s="255"/>
      <c r="C62" s="256">
        <f>+C61+C48+C32</f>
        <v>-16414</v>
      </c>
      <c r="D62" s="256">
        <f>+D61+D48+D32</f>
        <v>9315</v>
      </c>
    </row>
    <row r="63" spans="1:4" x14ac:dyDescent="0.25">
      <c r="A63" s="239" t="s">
        <v>294</v>
      </c>
      <c r="B63" s="247">
        <v>6</v>
      </c>
      <c r="C63" s="339">
        <v>17735</v>
      </c>
      <c r="D63" s="339">
        <v>410866</v>
      </c>
    </row>
    <row r="64" spans="1:4" ht="24.75" thickBot="1" x14ac:dyDescent="0.3">
      <c r="A64" s="259" t="s">
        <v>295</v>
      </c>
      <c r="B64" s="243"/>
      <c r="C64" s="340">
        <v>-79</v>
      </c>
      <c r="D64" s="340">
        <v>6876</v>
      </c>
    </row>
    <row r="65" spans="1:6" ht="15.75" thickBot="1" x14ac:dyDescent="0.3">
      <c r="A65" s="254" t="s">
        <v>348</v>
      </c>
      <c r="B65" s="258">
        <v>6</v>
      </c>
      <c r="C65" s="337">
        <f>+C62+C63+C64</f>
        <v>1242</v>
      </c>
      <c r="D65" s="337">
        <f>+D62+D63+D64</f>
        <v>427057</v>
      </c>
      <c r="E65" s="297">
        <f>+C65-'ESF GA Separado Q'!BK10</f>
        <v>0</v>
      </c>
      <c r="F65" s="297">
        <f>+D65-'ESF GA Separado Q'!BF10</f>
        <v>0</v>
      </c>
    </row>
    <row r="66" spans="1:6" x14ac:dyDescent="0.25">
      <c r="A66" s="260" t="s">
        <v>349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39AD-513B-4F12-A67D-1338A92C5EAD}">
  <sheetPr>
    <tabColor theme="0"/>
  </sheetPr>
  <dimension ref="A1:E70"/>
  <sheetViews>
    <sheetView showGridLines="0" tabSelected="1" topLeftCell="A65" workbookViewId="0">
      <selection activeCell="D70" sqref="D70"/>
    </sheetView>
  </sheetViews>
  <sheetFormatPr baseColWidth="10" defaultRowHeight="15" x14ac:dyDescent="0.25"/>
  <cols>
    <col min="1" max="1" width="68.140625" customWidth="1"/>
  </cols>
  <sheetData>
    <row r="1" spans="1:5" ht="18" x14ac:dyDescent="0.25">
      <c r="A1" s="302" t="s">
        <v>362</v>
      </c>
    </row>
    <row r="2" spans="1:5" x14ac:dyDescent="0.25">
      <c r="A2" s="290" t="s">
        <v>363</v>
      </c>
    </row>
    <row r="3" spans="1:5" ht="15.75" thickBot="1" x14ac:dyDescent="0.3"/>
    <row r="4" spans="1:5" ht="15.75" thickBot="1" x14ac:dyDescent="0.3">
      <c r="A4" s="303"/>
      <c r="B4" s="304">
        <v>2025</v>
      </c>
      <c r="C4" s="305">
        <v>2024</v>
      </c>
    </row>
    <row r="5" spans="1:5" ht="15.75" thickBot="1" x14ac:dyDescent="0.3">
      <c r="A5" s="306" t="s">
        <v>244</v>
      </c>
      <c r="B5" s="307"/>
      <c r="C5" s="308"/>
    </row>
    <row r="6" spans="1:5" ht="15.75" thickTop="1" x14ac:dyDescent="0.25">
      <c r="A6" s="309" t="s">
        <v>245</v>
      </c>
      <c r="B6" s="317">
        <v>2233647</v>
      </c>
      <c r="C6" s="318">
        <v>6509400</v>
      </c>
      <c r="D6" s="298" t="e">
        <f>+B6-#REF!</f>
        <v>#REF!</v>
      </c>
      <c r="E6" s="298" t="e">
        <f>+C6-#REF!</f>
        <v>#REF!</v>
      </c>
    </row>
    <row r="7" spans="1:5" x14ac:dyDescent="0.25">
      <c r="A7" s="299" t="s">
        <v>246</v>
      </c>
      <c r="B7" s="342"/>
      <c r="C7" s="343"/>
    </row>
    <row r="8" spans="1:5" x14ac:dyDescent="0.25">
      <c r="A8" s="299" t="s">
        <v>247</v>
      </c>
      <c r="B8" s="316">
        <v>-1151</v>
      </c>
      <c r="C8" s="319">
        <v>-14203</v>
      </c>
    </row>
    <row r="9" spans="1:5" x14ac:dyDescent="0.25">
      <c r="A9" s="299" t="s">
        <v>310</v>
      </c>
      <c r="B9" s="316">
        <v>1501254</v>
      </c>
      <c r="C9" s="344">
        <v>1170181</v>
      </c>
    </row>
    <row r="10" spans="1:5" x14ac:dyDescent="0.25">
      <c r="A10" s="310" t="s">
        <v>364</v>
      </c>
      <c r="B10" s="316">
        <v>-115321</v>
      </c>
      <c r="C10" s="319">
        <v>-1860870</v>
      </c>
    </row>
    <row r="11" spans="1:5" x14ac:dyDescent="0.25">
      <c r="A11" s="299" t="s">
        <v>248</v>
      </c>
      <c r="B11" s="316">
        <v>246456</v>
      </c>
      <c r="C11" s="319">
        <v>329218</v>
      </c>
    </row>
    <row r="12" spans="1:5" x14ac:dyDescent="0.25">
      <c r="A12" s="299" t="s">
        <v>249</v>
      </c>
      <c r="B12" s="316">
        <v>4156</v>
      </c>
      <c r="C12" s="319">
        <v>12284</v>
      </c>
    </row>
    <row r="13" spans="1:5" x14ac:dyDescent="0.25">
      <c r="A13" s="299" t="s">
        <v>365</v>
      </c>
      <c r="B13" s="316">
        <v>-3378644</v>
      </c>
      <c r="C13" s="344">
        <v>-5890218</v>
      </c>
    </row>
    <row r="14" spans="1:5" x14ac:dyDescent="0.25">
      <c r="A14" s="299" t="s">
        <v>366</v>
      </c>
      <c r="B14" s="316">
        <v>-35393</v>
      </c>
      <c r="C14" s="319">
        <v>70551</v>
      </c>
    </row>
    <row r="15" spans="1:5" x14ac:dyDescent="0.25">
      <c r="A15" s="299" t="s">
        <v>250</v>
      </c>
      <c r="B15" s="316">
        <v>9104</v>
      </c>
      <c r="C15" s="319">
        <v>-6760</v>
      </c>
    </row>
    <row r="16" spans="1:5" x14ac:dyDescent="0.25">
      <c r="A16" s="299" t="s">
        <v>251</v>
      </c>
      <c r="B16" s="316">
        <v>6177</v>
      </c>
      <c r="C16" s="319">
        <v>-4155</v>
      </c>
    </row>
    <row r="17" spans="1:3" x14ac:dyDescent="0.25">
      <c r="A17" s="299" t="s">
        <v>252</v>
      </c>
      <c r="B17" s="316">
        <v>215229</v>
      </c>
      <c r="C17" s="319">
        <v>202976</v>
      </c>
    </row>
    <row r="18" spans="1:3" x14ac:dyDescent="0.25">
      <c r="A18" s="299" t="s">
        <v>311</v>
      </c>
      <c r="B18" s="316">
        <v>-40989</v>
      </c>
      <c r="C18" s="319">
        <v>6661</v>
      </c>
    </row>
    <row r="19" spans="1:3" x14ac:dyDescent="0.25">
      <c r="A19" s="310" t="s">
        <v>253</v>
      </c>
      <c r="B19" s="316">
        <v>-1580</v>
      </c>
      <c r="C19" s="319">
        <v>-5312</v>
      </c>
    </row>
    <row r="20" spans="1:3" ht="15.75" thickBot="1" x14ac:dyDescent="0.3">
      <c r="A20" s="311"/>
      <c r="B20" s="320">
        <v>642945</v>
      </c>
      <c r="C20" s="321">
        <v>519753</v>
      </c>
    </row>
    <row r="21" spans="1:3" x14ac:dyDescent="0.25">
      <c r="A21" s="309" t="s">
        <v>254</v>
      </c>
      <c r="B21" s="342"/>
      <c r="C21" s="343"/>
    </row>
    <row r="22" spans="1:3" x14ac:dyDescent="0.25">
      <c r="A22" s="299" t="s">
        <v>288</v>
      </c>
      <c r="B22" s="316">
        <v>125343</v>
      </c>
      <c r="C22" s="319">
        <v>-64996</v>
      </c>
    </row>
    <row r="23" spans="1:3" x14ac:dyDescent="0.25">
      <c r="A23" s="299" t="s">
        <v>19</v>
      </c>
      <c r="B23" s="316">
        <v>30023</v>
      </c>
      <c r="C23" s="319">
        <v>19619</v>
      </c>
    </row>
    <row r="24" spans="1:3" x14ac:dyDescent="0.25">
      <c r="A24" s="299" t="s">
        <v>238</v>
      </c>
      <c r="B24" s="316">
        <v>2357</v>
      </c>
      <c r="C24" s="319">
        <v>120314</v>
      </c>
    </row>
    <row r="25" spans="1:3" x14ac:dyDescent="0.25">
      <c r="A25" s="299" t="s">
        <v>240</v>
      </c>
      <c r="B25" s="316">
        <v>-535446</v>
      </c>
      <c r="C25" s="319">
        <v>-170729</v>
      </c>
    </row>
    <row r="26" spans="1:3" x14ac:dyDescent="0.25">
      <c r="A26" s="299" t="s">
        <v>241</v>
      </c>
      <c r="B26" s="316">
        <v>-79673</v>
      </c>
      <c r="C26" s="319">
        <v>-151641</v>
      </c>
    </row>
    <row r="27" spans="1:3" ht="15.75" thickBot="1" x14ac:dyDescent="0.3">
      <c r="A27" s="312" t="s">
        <v>255</v>
      </c>
      <c r="B27" s="320">
        <v>185549</v>
      </c>
      <c r="C27" s="321">
        <v>272320</v>
      </c>
    </row>
    <row r="28" spans="1:3" x14ac:dyDescent="0.25">
      <c r="A28" s="299" t="s">
        <v>256</v>
      </c>
      <c r="B28" s="316">
        <v>-177145</v>
      </c>
      <c r="C28" s="319">
        <v>-188028</v>
      </c>
    </row>
    <row r="29" spans="1:3" x14ac:dyDescent="0.25">
      <c r="A29" s="299" t="s">
        <v>257</v>
      </c>
      <c r="B29" s="316">
        <v>80392</v>
      </c>
      <c r="C29" s="319">
        <v>80494</v>
      </c>
    </row>
    <row r="30" spans="1:3" ht="15.75" thickBot="1" x14ac:dyDescent="0.3">
      <c r="A30" s="312" t="s">
        <v>258</v>
      </c>
      <c r="B30" s="320">
        <v>88796</v>
      </c>
      <c r="C30" s="321">
        <v>164786</v>
      </c>
    </row>
    <row r="31" spans="1:3" ht="15.75" thickBot="1" x14ac:dyDescent="0.3">
      <c r="A31" s="306" t="s">
        <v>259</v>
      </c>
      <c r="B31" s="322"/>
      <c r="C31" s="323"/>
    </row>
    <row r="32" spans="1:3" ht="15.75" thickTop="1" x14ac:dyDescent="0.25">
      <c r="A32" s="299" t="s">
        <v>260</v>
      </c>
      <c r="B32" s="316">
        <v>99035</v>
      </c>
      <c r="C32" s="319">
        <v>70135</v>
      </c>
    </row>
    <row r="33" spans="1:3" x14ac:dyDescent="0.25">
      <c r="A33" s="299" t="s">
        <v>261</v>
      </c>
      <c r="B33" s="316">
        <v>-321191</v>
      </c>
      <c r="C33" s="319">
        <v>-288449</v>
      </c>
    </row>
    <row r="34" spans="1:3" x14ac:dyDescent="0.25">
      <c r="A34" s="299" t="s">
        <v>262</v>
      </c>
      <c r="B34" s="316">
        <v>15389</v>
      </c>
      <c r="C34" s="319">
        <v>37586</v>
      </c>
    </row>
    <row r="35" spans="1:3" x14ac:dyDescent="0.25">
      <c r="A35" s="299" t="s">
        <v>263</v>
      </c>
      <c r="B35" s="316">
        <v>-2240</v>
      </c>
      <c r="C35" s="319">
        <v>-693</v>
      </c>
    </row>
    <row r="36" spans="1:3" x14ac:dyDescent="0.25">
      <c r="A36" s="299" t="s">
        <v>264</v>
      </c>
      <c r="B36" s="316">
        <v>-1849</v>
      </c>
      <c r="C36" s="319">
        <v>-1416</v>
      </c>
    </row>
    <row r="37" spans="1:3" x14ac:dyDescent="0.25">
      <c r="A37" s="299" t="s">
        <v>265</v>
      </c>
      <c r="B37" s="316">
        <v>0</v>
      </c>
      <c r="C37" s="319">
        <v>662</v>
      </c>
    </row>
    <row r="38" spans="1:3" x14ac:dyDescent="0.25">
      <c r="A38" s="299" t="s">
        <v>266</v>
      </c>
      <c r="B38" s="316">
        <v>-4</v>
      </c>
      <c r="C38" s="319">
        <v>-30</v>
      </c>
    </row>
    <row r="39" spans="1:3" x14ac:dyDescent="0.25">
      <c r="A39" s="299" t="s">
        <v>267</v>
      </c>
      <c r="B39" s="316">
        <v>2934</v>
      </c>
      <c r="C39" s="319">
        <v>2208</v>
      </c>
    </row>
    <row r="40" spans="1:3" x14ac:dyDescent="0.25">
      <c r="A40" s="299" t="s">
        <v>300</v>
      </c>
      <c r="B40" s="316">
        <v>0</v>
      </c>
      <c r="C40" s="319">
        <v>10171</v>
      </c>
    </row>
    <row r="41" spans="1:3" x14ac:dyDescent="0.25">
      <c r="A41" s="299" t="s">
        <v>268</v>
      </c>
      <c r="B41" s="316">
        <v>0</v>
      </c>
      <c r="C41" s="319">
        <v>2552458</v>
      </c>
    </row>
    <row r="42" spans="1:3" ht="22.5" x14ac:dyDescent="0.25">
      <c r="A42" s="299" t="s">
        <v>367</v>
      </c>
      <c r="B42" s="316">
        <v>-142224</v>
      </c>
      <c r="C42" s="319">
        <v>-8336</v>
      </c>
    </row>
    <row r="43" spans="1:3" ht="22.5" x14ac:dyDescent="0.25">
      <c r="A43" s="299" t="s">
        <v>368</v>
      </c>
      <c r="B43" s="316">
        <v>12023527</v>
      </c>
      <c r="C43" s="319">
        <v>0</v>
      </c>
    </row>
    <row r="44" spans="1:3" x14ac:dyDescent="0.25">
      <c r="A44" s="299" t="s">
        <v>269</v>
      </c>
      <c r="B44" s="316">
        <v>-88762</v>
      </c>
      <c r="C44" s="319">
        <v>-770703</v>
      </c>
    </row>
    <row r="45" spans="1:3" x14ac:dyDescent="0.25">
      <c r="A45" s="299" t="s">
        <v>270</v>
      </c>
      <c r="B45" s="316">
        <v>102058</v>
      </c>
      <c r="C45" s="319">
        <v>124290</v>
      </c>
    </row>
    <row r="46" spans="1:3" x14ac:dyDescent="0.25">
      <c r="A46" s="299" t="s">
        <v>350</v>
      </c>
      <c r="B46" s="316">
        <v>0</v>
      </c>
      <c r="C46" s="319">
        <v>14940</v>
      </c>
    </row>
    <row r="47" spans="1:3" ht="15.75" thickBot="1" x14ac:dyDescent="0.3">
      <c r="A47" s="311" t="s">
        <v>369</v>
      </c>
      <c r="B47" s="320">
        <v>11686673</v>
      </c>
      <c r="C47" s="321">
        <v>1742823</v>
      </c>
    </row>
    <row r="48" spans="1:3" ht="15.75" thickBot="1" x14ac:dyDescent="0.3">
      <c r="A48" s="313" t="s">
        <v>271</v>
      </c>
      <c r="B48" s="324">
        <v>2025</v>
      </c>
      <c r="C48" s="325">
        <v>2024</v>
      </c>
    </row>
    <row r="49" spans="1:3" x14ac:dyDescent="0.25">
      <c r="A49" s="299" t="s">
        <v>370</v>
      </c>
      <c r="B49" s="316">
        <v>11</v>
      </c>
      <c r="C49" s="319">
        <v>12</v>
      </c>
    </row>
    <row r="50" spans="1:3" x14ac:dyDescent="0.25">
      <c r="A50" s="299" t="s">
        <v>312</v>
      </c>
      <c r="B50" s="316">
        <v>-78922</v>
      </c>
      <c r="C50" s="319">
        <v>-126442</v>
      </c>
    </row>
    <row r="51" spans="1:3" x14ac:dyDescent="0.25">
      <c r="A51" s="299" t="s">
        <v>272</v>
      </c>
      <c r="B51" s="316">
        <v>-266151</v>
      </c>
      <c r="C51" s="319">
        <v>-76500</v>
      </c>
    </row>
    <row r="52" spans="1:3" x14ac:dyDescent="0.25">
      <c r="A52" s="299" t="s">
        <v>371</v>
      </c>
      <c r="B52" s="316">
        <v>754394</v>
      </c>
      <c r="C52" s="319">
        <v>602086</v>
      </c>
    </row>
    <row r="53" spans="1:3" x14ac:dyDescent="0.25">
      <c r="A53" s="299" t="s">
        <v>372</v>
      </c>
      <c r="B53" s="316">
        <v>-455604</v>
      </c>
      <c r="C53" s="319">
        <v>-560147</v>
      </c>
    </row>
    <row r="54" spans="1:3" x14ac:dyDescent="0.25">
      <c r="A54" s="299" t="s">
        <v>275</v>
      </c>
      <c r="B54" s="316">
        <v>-19638</v>
      </c>
      <c r="C54" s="319">
        <v>-17215</v>
      </c>
    </row>
    <row r="55" spans="1:3" ht="22.5" x14ac:dyDescent="0.25">
      <c r="A55" s="299" t="s">
        <v>276</v>
      </c>
      <c r="B55" s="316">
        <v>-121640</v>
      </c>
      <c r="C55" s="319">
        <v>-1</v>
      </c>
    </row>
    <row r="56" spans="1:3" x14ac:dyDescent="0.25">
      <c r="A56" s="299" t="s">
        <v>277</v>
      </c>
      <c r="B56" s="316">
        <v>-16440</v>
      </c>
      <c r="C56" s="319">
        <v>-76343</v>
      </c>
    </row>
    <row r="57" spans="1:3" x14ac:dyDescent="0.25">
      <c r="A57" s="299" t="s">
        <v>278</v>
      </c>
      <c r="B57" s="316">
        <v>976</v>
      </c>
      <c r="C57" s="319">
        <v>0</v>
      </c>
    </row>
    <row r="58" spans="1:3" x14ac:dyDescent="0.25">
      <c r="A58" s="299" t="s">
        <v>279</v>
      </c>
      <c r="B58" s="316">
        <v>0</v>
      </c>
      <c r="C58" s="319">
        <v>6294</v>
      </c>
    </row>
    <row r="59" spans="1:3" x14ac:dyDescent="0.25">
      <c r="A59" s="299" t="s">
        <v>280</v>
      </c>
      <c r="B59" s="316">
        <v>-253422</v>
      </c>
      <c r="C59" s="319">
        <v>-151311</v>
      </c>
    </row>
    <row r="60" spans="1:3" x14ac:dyDescent="0.25">
      <c r="A60" s="299" t="s">
        <v>281</v>
      </c>
      <c r="B60" s="316">
        <v>-33476</v>
      </c>
      <c r="C60" s="319">
        <v>-30027</v>
      </c>
    </row>
    <row r="61" spans="1:3" x14ac:dyDescent="0.25">
      <c r="A61" s="299" t="s">
        <v>282</v>
      </c>
      <c r="B61" s="316">
        <v>-300174</v>
      </c>
      <c r="C61" s="319">
        <v>-430488</v>
      </c>
    </row>
    <row r="62" spans="1:3" x14ac:dyDescent="0.25">
      <c r="A62" s="310" t="s">
        <v>283</v>
      </c>
      <c r="B62" s="316">
        <v>-32052</v>
      </c>
      <c r="C62" s="319">
        <v>-11290</v>
      </c>
    </row>
    <row r="63" spans="1:3" ht="15.75" thickBot="1" x14ac:dyDescent="0.3">
      <c r="A63" s="312" t="s">
        <v>318</v>
      </c>
      <c r="B63" s="320">
        <v>-822138</v>
      </c>
      <c r="C63" s="321">
        <v>-871372</v>
      </c>
    </row>
    <row r="64" spans="1:3" ht="15.75" thickBot="1" x14ac:dyDescent="0.3">
      <c r="A64" s="306" t="s">
        <v>373</v>
      </c>
      <c r="B64" s="326">
        <v>10953331</v>
      </c>
      <c r="C64" s="327">
        <v>1036237</v>
      </c>
    </row>
    <row r="65" spans="1:5" ht="23.25" thickTop="1" x14ac:dyDescent="0.25">
      <c r="A65" s="314" t="s">
        <v>301</v>
      </c>
      <c r="B65" s="328">
        <v>1594457</v>
      </c>
      <c r="C65" s="329">
        <v>2203464</v>
      </c>
    </row>
    <row r="66" spans="1:5" ht="22.5" x14ac:dyDescent="0.25">
      <c r="A66" s="314" t="s">
        <v>374</v>
      </c>
      <c r="B66" s="330">
        <v>191968</v>
      </c>
      <c r="C66" s="331">
        <v>-10349</v>
      </c>
    </row>
    <row r="67" spans="1:5" ht="23.25" thickBot="1" x14ac:dyDescent="0.3">
      <c r="A67" s="315" t="s">
        <v>302</v>
      </c>
      <c r="B67" s="332">
        <v>12739756</v>
      </c>
      <c r="C67" s="333">
        <v>3229352</v>
      </c>
    </row>
    <row r="68" spans="1:5" ht="23.25" thickTop="1" x14ac:dyDescent="0.25">
      <c r="A68" s="314" t="s">
        <v>303</v>
      </c>
      <c r="B68" s="328">
        <v>637</v>
      </c>
      <c r="C68" s="329">
        <v>1805</v>
      </c>
    </row>
    <row r="69" spans="1:5" ht="34.5" thickBot="1" x14ac:dyDescent="0.3">
      <c r="A69" s="315" t="s">
        <v>304</v>
      </c>
      <c r="B69" s="332">
        <v>12739119</v>
      </c>
      <c r="C69" s="333">
        <v>3227547</v>
      </c>
      <c r="D69" s="334">
        <f>+B69-'ESF GA Consol Q'!BM10</f>
        <v>0</v>
      </c>
      <c r="E69" s="334">
        <f>+C69-'ESF GA Consol Q'!BH10</f>
        <v>0</v>
      </c>
    </row>
    <row r="70" spans="1:5" ht="15.75" thickTop="1" x14ac:dyDescent="0.25"/>
  </sheetData>
  <pageMargins left="0.7" right="0.7" top="0.75" bottom="0.75"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ESF GA Consol Q</vt:lpstr>
      <vt:lpstr>ER GA Consol Q</vt:lpstr>
      <vt:lpstr>ESF GA Separado Q</vt:lpstr>
      <vt:lpstr>ER GA separado Q</vt:lpstr>
      <vt:lpstr>ESF GA separado</vt:lpstr>
      <vt:lpstr>EFE GA separado</vt:lpstr>
      <vt:lpstr>EFE GA Consolidado</vt:lpstr>
      <vt:lpstr>'EFE GA separado'!_Toc189092733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Andres Restrepo</dc:creator>
  <cp:lastModifiedBy>Carolina Arango</cp:lastModifiedBy>
  <dcterms:created xsi:type="dcterms:W3CDTF">2022-10-28T16:52:55Z</dcterms:created>
  <dcterms:modified xsi:type="dcterms:W3CDTF">2025-05-15T21:57:05Z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{656DCAD9-2012-4AC5-B260-AFC23D88DA25}</vt:lpwstr>
  </property>
</Properties>
</file>