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1. Nueva Tesorería\13. Reportes IR\"/>
    </mc:Choice>
  </mc:AlternateContent>
  <xr:revisionPtr revIDLastSave="0" documentId="13_ncr:1_{18E2977F-C7E6-46ED-8274-13B084DD4E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istórico del Portafolio" sheetId="6" r:id="rId1"/>
    <sheet name="Datos" sheetId="10" r:id="rId2"/>
    <sheet name="Dividendos recibidos" sheetId="9" r:id="rId3"/>
    <sheet name="Dividendos pagados " sheetId="8" r:id="rId4"/>
    <sheet name="EV-Ebitda" sheetId="11" r:id="rId5"/>
  </sheets>
  <definedNames>
    <definedName name="CIQWBGuid" hidden="1">"48617217-79da-47d8-af6b-87e708f8eb01"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"03/22/2023 13:21:55"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pivotCaches>
    <pivotCache cacheId="11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0" i="10" l="1"/>
  <c r="E436" i="10"/>
  <c r="F437" i="10" l="1"/>
  <c r="F436" i="10"/>
  <c r="F435" i="10"/>
  <c r="F434" i="10"/>
  <c r="F433" i="10"/>
  <c r="F432" i="10"/>
  <c r="G431" i="10"/>
  <c r="G432" i="10" s="1"/>
  <c r="G433" i="10" s="1"/>
  <c r="G434" i="10" s="1"/>
  <c r="G435" i="10" s="1"/>
  <c r="G436" i="10" s="1"/>
  <c r="G437" i="10" s="1"/>
  <c r="F431" i="10"/>
  <c r="S25" i="8" l="1"/>
  <c r="N21" i="9"/>
  <c r="G423" i="10" l="1"/>
  <c r="G424" i="10"/>
  <c r="G425" i="10" s="1"/>
  <c r="G426" i="10" s="1"/>
  <c r="G427" i="10" s="1"/>
  <c r="G428" i="10" s="1"/>
  <c r="G429" i="10" s="1"/>
  <c r="P42" i="11" l="1"/>
  <c r="P10" i="11" l="1"/>
  <c r="S20" i="8"/>
  <c r="S16" i="8"/>
  <c r="S26" i="8" l="1"/>
  <c r="S11" i="8"/>
  <c r="S13" i="8" s="1"/>
  <c r="N32" i="9"/>
  <c r="F429" i="10" l="1"/>
  <c r="F428" i="10" l="1"/>
  <c r="F427" i="10"/>
  <c r="F426" i="10"/>
  <c r="F425" i="10"/>
  <c r="F424" i="10"/>
  <c r="F423" i="10"/>
  <c r="F422" i="10"/>
  <c r="F419" i="10"/>
  <c r="Q43" i="11" l="1"/>
  <c r="Q44" i="11" s="1"/>
  <c r="Q42" i="11"/>
  <c r="Q41" i="11"/>
  <c r="Q15" i="11"/>
  <c r="Q14" i="11"/>
  <c r="Q11" i="11"/>
  <c r="Q10" i="11"/>
  <c r="Q8" i="11"/>
  <c r="S29" i="8"/>
  <c r="S22" i="8"/>
  <c r="S30" i="8"/>
  <c r="N26" i="9"/>
  <c r="Q21" i="11" l="1"/>
  <c r="Q17" i="11"/>
  <c r="Q37" i="11" s="1"/>
  <c r="N34" i="9"/>
  <c r="F417" i="10" l="1"/>
  <c r="F421" i="10" l="1"/>
  <c r="F420" i="10"/>
  <c r="F418" i="10"/>
  <c r="F416" i="10"/>
  <c r="F415" i="10"/>
  <c r="G414" i="10"/>
  <c r="G415" i="10" s="1"/>
  <c r="G416" i="10" s="1"/>
  <c r="G417" i="10" s="1"/>
  <c r="G418" i="10" s="1"/>
  <c r="G419" i="10" s="1"/>
  <c r="G420" i="10" s="1"/>
  <c r="G421" i="10" s="1"/>
  <c r="F414" i="10"/>
  <c r="F413" i="10"/>
  <c r="F412" i="10" l="1"/>
  <c r="F411" i="10"/>
  <c r="F410" i="10"/>
  <c r="F409" i="10"/>
  <c r="F408" i="10"/>
  <c r="F407" i="10"/>
  <c r="F406" i="10"/>
  <c r="G405" i="10"/>
  <c r="G406" i="10" s="1"/>
  <c r="G407" i="10" s="1"/>
  <c r="G408" i="10" s="1"/>
  <c r="G409" i="10" s="1"/>
  <c r="G410" i="10" s="1"/>
  <c r="G411" i="10" s="1"/>
  <c r="G412" i="10" s="1"/>
  <c r="F405" i="10"/>
  <c r="F404" i="10"/>
  <c r="F402" i="10" l="1"/>
  <c r="F403" i="10" l="1"/>
  <c r="F401" i="10"/>
  <c r="F400" i="10"/>
  <c r="F399" i="10"/>
  <c r="F398" i="10"/>
  <c r="F397" i="10"/>
  <c r="G396" i="10"/>
  <c r="G397" i="10" s="1"/>
  <c r="G398" i="10" s="1"/>
  <c r="G399" i="10" s="1"/>
  <c r="G400" i="10" s="1"/>
  <c r="G401" i="10" s="1"/>
  <c r="G402" i="10" s="1"/>
  <c r="G403" i="10" s="1"/>
  <c r="F396" i="10"/>
  <c r="F395" i="10"/>
  <c r="P8" i="11"/>
  <c r="J10" i="11"/>
  <c r="K10" i="11"/>
  <c r="L10" i="11"/>
  <c r="M10" i="11"/>
  <c r="M18" i="11" s="1"/>
  <c r="N10" i="11"/>
  <c r="N18" i="11" s="1"/>
  <c r="O10" i="11"/>
  <c r="O11" i="11"/>
  <c r="O17" i="11" s="1"/>
  <c r="O37" i="11" s="1"/>
  <c r="P11" i="11"/>
  <c r="Q12" i="11" s="1"/>
  <c r="Q18" i="11" s="1"/>
  <c r="J12" i="11"/>
  <c r="J18" i="11" s="1"/>
  <c r="K12" i="11"/>
  <c r="L12" i="11"/>
  <c r="L18" i="11" s="1"/>
  <c r="M12" i="11"/>
  <c r="N12" i="11"/>
  <c r="J14" i="11"/>
  <c r="K14" i="11"/>
  <c r="L14" i="11"/>
  <c r="M14" i="11"/>
  <c r="N14" i="11"/>
  <c r="O14" i="11"/>
  <c r="P14" i="11"/>
  <c r="O15" i="11"/>
  <c r="O16" i="11" s="1"/>
  <c r="P15" i="11"/>
  <c r="Q16" i="11" s="1"/>
  <c r="J16" i="11"/>
  <c r="K16" i="11"/>
  <c r="L16" i="11"/>
  <c r="M16" i="11"/>
  <c r="N16" i="11"/>
  <c r="C17" i="11"/>
  <c r="D17" i="11"/>
  <c r="F17" i="11"/>
  <c r="G17" i="11"/>
  <c r="H17" i="11"/>
  <c r="I17" i="11"/>
  <c r="J17" i="11"/>
  <c r="K17" i="11"/>
  <c r="L17" i="11"/>
  <c r="M17" i="11"/>
  <c r="N17" i="11"/>
  <c r="C18" i="11"/>
  <c r="D18" i="11"/>
  <c r="F18" i="11"/>
  <c r="G18" i="11"/>
  <c r="H18" i="11"/>
  <c r="I18" i="11"/>
  <c r="K18" i="11"/>
  <c r="C21" i="11"/>
  <c r="D21" i="11"/>
  <c r="F21" i="11"/>
  <c r="G21" i="11"/>
  <c r="H21" i="11"/>
  <c r="I21" i="11"/>
  <c r="J21" i="11"/>
  <c r="K21" i="11"/>
  <c r="L21" i="11"/>
  <c r="M21" i="11"/>
  <c r="N21" i="11"/>
  <c r="O21" i="11"/>
  <c r="C33" i="11"/>
  <c r="D33" i="11"/>
  <c r="F33" i="11"/>
  <c r="F37" i="11" s="1"/>
  <c r="C37" i="11"/>
  <c r="D37" i="11"/>
  <c r="G37" i="11"/>
  <c r="H37" i="11"/>
  <c r="I37" i="11"/>
  <c r="J37" i="11"/>
  <c r="K37" i="11"/>
  <c r="L37" i="11"/>
  <c r="M37" i="11"/>
  <c r="N37" i="11"/>
  <c r="G40" i="11"/>
  <c r="G42" i="11" s="1"/>
  <c r="C41" i="11"/>
  <c r="D41" i="11"/>
  <c r="F41" i="11"/>
  <c r="G41" i="11"/>
  <c r="H41" i="11"/>
  <c r="I41" i="11"/>
  <c r="J41" i="11"/>
  <c r="K41" i="11"/>
  <c r="L41" i="11"/>
  <c r="M41" i="11"/>
  <c r="N41" i="11"/>
  <c r="O41" i="11"/>
  <c r="P41" i="11"/>
  <c r="C42" i="11"/>
  <c r="D42" i="11"/>
  <c r="F42" i="11"/>
  <c r="H42" i="11"/>
  <c r="I42" i="11"/>
  <c r="J42" i="11"/>
  <c r="K42" i="11"/>
  <c r="L42" i="11"/>
  <c r="M42" i="11"/>
  <c r="N42" i="11"/>
  <c r="O42" i="11"/>
  <c r="O43" i="11"/>
  <c r="P43" i="11"/>
  <c r="P44" i="11" s="1"/>
  <c r="C44" i="11"/>
  <c r="D44" i="11"/>
  <c r="F44" i="11"/>
  <c r="G44" i="11"/>
  <c r="H44" i="11"/>
  <c r="I44" i="11"/>
  <c r="J44" i="11"/>
  <c r="K44" i="11"/>
  <c r="L44" i="11"/>
  <c r="M44" i="11"/>
  <c r="N44" i="11"/>
  <c r="O44" i="11"/>
  <c r="C10" i="8"/>
  <c r="D11" i="8" s="1"/>
  <c r="D13" i="8" s="1"/>
  <c r="M10" i="8"/>
  <c r="M11" i="8" s="1"/>
  <c r="M13" i="8" s="1"/>
  <c r="N10" i="8"/>
  <c r="P10" i="8"/>
  <c r="E11" i="8"/>
  <c r="E13" i="8" s="1"/>
  <c r="F11" i="8"/>
  <c r="F13" i="8" s="1"/>
  <c r="I11" i="8"/>
  <c r="I13" i="8" s="1"/>
  <c r="J11" i="8"/>
  <c r="J13" i="8" s="1"/>
  <c r="K11" i="8"/>
  <c r="L11" i="8"/>
  <c r="L13" i="8" s="1"/>
  <c r="P11" i="8"/>
  <c r="P13" i="8" s="1"/>
  <c r="Q11" i="8"/>
  <c r="Q13" i="8" s="1"/>
  <c r="R11" i="8"/>
  <c r="R13" i="8" s="1"/>
  <c r="K13" i="8"/>
  <c r="D16" i="8"/>
  <c r="D30" i="8" s="1"/>
  <c r="E16" i="8"/>
  <c r="E26" i="8" s="1"/>
  <c r="F16" i="8"/>
  <c r="F17" i="8" s="1"/>
  <c r="H16" i="8"/>
  <c r="I16" i="8"/>
  <c r="I26" i="8" s="1"/>
  <c r="J16" i="8"/>
  <c r="J26" i="8" s="1"/>
  <c r="K16" i="8"/>
  <c r="K30" i="8" s="1"/>
  <c r="L16" i="8"/>
  <c r="L26" i="8" s="1"/>
  <c r="O16" i="8"/>
  <c r="O26" i="8" s="1"/>
  <c r="P16" i="8"/>
  <c r="Q17" i="8" s="1"/>
  <c r="Q16" i="8"/>
  <c r="R16" i="8"/>
  <c r="S17" i="8" s="1"/>
  <c r="R17" i="8"/>
  <c r="N19" i="8"/>
  <c r="O19" i="8"/>
  <c r="O20" i="8" s="1"/>
  <c r="D20" i="8"/>
  <c r="E20" i="8"/>
  <c r="F20" i="8"/>
  <c r="H20" i="8"/>
  <c r="I20" i="8"/>
  <c r="J20" i="8"/>
  <c r="K20" i="8"/>
  <c r="L20" i="8"/>
  <c r="P20" i="8"/>
  <c r="Q20" i="8"/>
  <c r="R20" i="8"/>
  <c r="N21" i="8"/>
  <c r="O21" i="8"/>
  <c r="O22" i="8" s="1"/>
  <c r="D22" i="8"/>
  <c r="E22" i="8"/>
  <c r="F22" i="8"/>
  <c r="H22" i="8"/>
  <c r="I22" i="8"/>
  <c r="J22" i="8"/>
  <c r="K22" i="8"/>
  <c r="L22" i="8"/>
  <c r="P22" i="8"/>
  <c r="Q22" i="8"/>
  <c r="R22" i="8"/>
  <c r="D25" i="8"/>
  <c r="E25" i="8"/>
  <c r="F25" i="8"/>
  <c r="I25" i="8"/>
  <c r="J25" i="8"/>
  <c r="K25" i="8"/>
  <c r="L25" i="8"/>
  <c r="M25" i="8"/>
  <c r="N25" i="8"/>
  <c r="O25" i="8"/>
  <c r="P25" i="8"/>
  <c r="Q25" i="8"/>
  <c r="R25" i="8"/>
  <c r="D26" i="8"/>
  <c r="F26" i="8"/>
  <c r="Q26" i="8"/>
  <c r="R26" i="8"/>
  <c r="D29" i="8"/>
  <c r="E29" i="8"/>
  <c r="F29" i="8"/>
  <c r="I29" i="8"/>
  <c r="J29" i="8"/>
  <c r="K29" i="8"/>
  <c r="L29" i="8"/>
  <c r="M29" i="8"/>
  <c r="N29" i="8"/>
  <c r="O29" i="8"/>
  <c r="P29" i="8"/>
  <c r="Q29" i="8"/>
  <c r="R29" i="8"/>
  <c r="E30" i="8"/>
  <c r="F30" i="8"/>
  <c r="I30" i="8"/>
  <c r="J30" i="8"/>
  <c r="L30" i="8"/>
  <c r="O30" i="8"/>
  <c r="Q30" i="8"/>
  <c r="L20" i="9"/>
  <c r="L21" i="9" s="1"/>
  <c r="C21" i="9"/>
  <c r="D21" i="9"/>
  <c r="E21" i="9"/>
  <c r="F21" i="9"/>
  <c r="G21" i="9"/>
  <c r="G34" i="9" s="1"/>
  <c r="H21" i="9"/>
  <c r="I21" i="9"/>
  <c r="J21" i="9"/>
  <c r="K21" i="9"/>
  <c r="M21" i="9"/>
  <c r="C26" i="9"/>
  <c r="D26" i="9"/>
  <c r="D34" i="9" s="1"/>
  <c r="E26" i="9"/>
  <c r="F26" i="9"/>
  <c r="G26" i="9"/>
  <c r="H26" i="9"/>
  <c r="I26" i="9"/>
  <c r="J26" i="9"/>
  <c r="K26" i="9"/>
  <c r="L26" i="9"/>
  <c r="M26" i="9"/>
  <c r="H30" i="9"/>
  <c r="H32" i="9" s="1"/>
  <c r="J31" i="9"/>
  <c r="J32" i="9" s="1"/>
  <c r="C32" i="9"/>
  <c r="D32" i="9"/>
  <c r="E32" i="9"/>
  <c r="F32" i="9"/>
  <c r="G32" i="9"/>
  <c r="I32" i="9"/>
  <c r="K32" i="9"/>
  <c r="L32" i="9"/>
  <c r="M32" i="9"/>
  <c r="F8" i="10"/>
  <c r="F184" i="10"/>
  <c r="F185" i="10"/>
  <c r="F187" i="10"/>
  <c r="F188" i="10"/>
  <c r="F190" i="10"/>
  <c r="F191" i="10"/>
  <c r="F192" i="10"/>
  <c r="F193" i="10"/>
  <c r="F195" i="10"/>
  <c r="F196" i="10"/>
  <c r="F198" i="10"/>
  <c r="F199" i="10"/>
  <c r="F200" i="10"/>
  <c r="F201" i="10"/>
  <c r="F203" i="10"/>
  <c r="F204" i="10"/>
  <c r="F206" i="10"/>
  <c r="F207" i="10"/>
  <c r="F208" i="10"/>
  <c r="F209" i="10"/>
  <c r="F211" i="10"/>
  <c r="F212" i="10"/>
  <c r="F214" i="10"/>
  <c r="F215" i="10"/>
  <c r="F216" i="10"/>
  <c r="F217" i="10"/>
  <c r="F220" i="10"/>
  <c r="F222" i="10"/>
  <c r="F223" i="10"/>
  <c r="F224" i="10"/>
  <c r="F225" i="10"/>
  <c r="F228" i="10"/>
  <c r="F230" i="10"/>
  <c r="D231" i="10"/>
  <c r="F231" i="10"/>
  <c r="F232" i="10"/>
  <c r="F233" i="10"/>
  <c r="F234" i="10"/>
  <c r="F237" i="10"/>
  <c r="F239" i="10"/>
  <c r="F240" i="10"/>
  <c r="F241" i="10"/>
  <c r="F242" i="10"/>
  <c r="F243" i="10"/>
  <c r="F246" i="10"/>
  <c r="F248" i="10"/>
  <c r="F250" i="10"/>
  <c r="F251" i="10"/>
  <c r="F252" i="10"/>
  <c r="F255" i="10"/>
  <c r="F257" i="10"/>
  <c r="F259" i="10"/>
  <c r="F260" i="10"/>
  <c r="F261" i="10"/>
  <c r="G261" i="10"/>
  <c r="G262" i="10"/>
  <c r="G263" i="10" s="1"/>
  <c r="G264" i="10" s="1"/>
  <c r="G265" i="10" s="1"/>
  <c r="G266" i="10" s="1"/>
  <c r="G267" i="10" s="1"/>
  <c r="G268" i="10" s="1"/>
  <c r="F264" i="10"/>
  <c r="F266" i="10"/>
  <c r="F267" i="10"/>
  <c r="F268" i="10"/>
  <c r="F269" i="10"/>
  <c r="F270" i="10"/>
  <c r="G270" i="10"/>
  <c r="G271" i="10" s="1"/>
  <c r="G272" i="10" s="1"/>
  <c r="G273" i="10" s="1"/>
  <c r="G274" i="10" s="1"/>
  <c r="G275" i="10" s="1"/>
  <c r="G276" i="10" s="1"/>
  <c r="G277" i="10" s="1"/>
  <c r="F273" i="10"/>
  <c r="F275" i="10"/>
  <c r="F276" i="10"/>
  <c r="F277" i="10"/>
  <c r="F278" i="10"/>
  <c r="F279" i="10"/>
  <c r="G279" i="10"/>
  <c r="G280" i="10"/>
  <c r="G281" i="10" s="1"/>
  <c r="G282" i="10" s="1"/>
  <c r="G283" i="10" s="1"/>
  <c r="G284" i="10" s="1"/>
  <c r="G285" i="10" s="1"/>
  <c r="G286" i="10" s="1"/>
  <c r="F282" i="10"/>
  <c r="F284" i="10"/>
  <c r="F286" i="10"/>
  <c r="F287" i="10"/>
  <c r="F288" i="10"/>
  <c r="G288" i="10"/>
  <c r="G289" i="10" s="1"/>
  <c r="G290" i="10" s="1"/>
  <c r="G291" i="10" s="1"/>
  <c r="G292" i="10" s="1"/>
  <c r="G293" i="10" s="1"/>
  <c r="G294" i="10" s="1"/>
  <c r="G295" i="10" s="1"/>
  <c r="F291" i="10"/>
  <c r="F293" i="10"/>
  <c r="F295" i="10"/>
  <c r="F296" i="10"/>
  <c r="F297" i="10"/>
  <c r="G297" i="10"/>
  <c r="G298" i="10" s="1"/>
  <c r="G299" i="10" s="1"/>
  <c r="G300" i="10" s="1"/>
  <c r="G301" i="10" s="1"/>
  <c r="G302" i="10" s="1"/>
  <c r="G303" i="10" s="1"/>
  <c r="G304" i="10" s="1"/>
  <c r="F300" i="10"/>
  <c r="F302" i="10"/>
  <c r="F304" i="10"/>
  <c r="F305" i="10"/>
  <c r="F306" i="10"/>
  <c r="G306" i="10"/>
  <c r="G307" i="10" s="1"/>
  <c r="G308" i="10" s="1"/>
  <c r="G309" i="10" s="1"/>
  <c r="G310" i="10" s="1"/>
  <c r="G311" i="10" s="1"/>
  <c r="G312" i="10" s="1"/>
  <c r="G313" i="10" s="1"/>
  <c r="F309" i="10"/>
  <c r="F311" i="10"/>
  <c r="F313" i="10"/>
  <c r="F314" i="10"/>
  <c r="F315" i="10"/>
  <c r="G315" i="10"/>
  <c r="G316" i="10" s="1"/>
  <c r="G317" i="10" s="1"/>
  <c r="G318" i="10" s="1"/>
  <c r="G319" i="10" s="1"/>
  <c r="G320" i="10" s="1"/>
  <c r="G321" i="10" s="1"/>
  <c r="G322" i="10" s="1"/>
  <c r="F318" i="10"/>
  <c r="F320" i="10"/>
  <c r="F322" i="10"/>
  <c r="F323" i="10"/>
  <c r="F324" i="10"/>
  <c r="G324" i="10"/>
  <c r="G325" i="10" s="1"/>
  <c r="G326" i="10" s="1"/>
  <c r="G327" i="10" s="1"/>
  <c r="G328" i="10" s="1"/>
  <c r="G329" i="10" s="1"/>
  <c r="G330" i="10" s="1"/>
  <c r="G331" i="10" s="1"/>
  <c r="F327" i="10"/>
  <c r="F329" i="10"/>
  <c r="F331" i="10"/>
  <c r="F332" i="10"/>
  <c r="F333" i="10"/>
  <c r="G333" i="10"/>
  <c r="G334" i="10"/>
  <c r="G335" i="10" s="1"/>
  <c r="G336" i="10" s="1"/>
  <c r="G337" i="10" s="1"/>
  <c r="G338" i="10" s="1"/>
  <c r="G339" i="10" s="1"/>
  <c r="G340" i="10" s="1"/>
  <c r="F336" i="10"/>
  <c r="F338" i="10"/>
  <c r="F340" i="10"/>
  <c r="F341" i="10"/>
  <c r="F342" i="10"/>
  <c r="G342" i="10"/>
  <c r="G343" i="10" s="1"/>
  <c r="G344" i="10" s="1"/>
  <c r="G345" i="10" s="1"/>
  <c r="G346" i="10" s="1"/>
  <c r="G347" i="10" s="1"/>
  <c r="G348" i="10" s="1"/>
  <c r="G349" i="10" s="1"/>
  <c r="F345" i="10"/>
  <c r="F347" i="10"/>
  <c r="F348" i="10"/>
  <c r="F349" i="10"/>
  <c r="F350" i="10"/>
  <c r="F351" i="10"/>
  <c r="G351" i="10"/>
  <c r="G352" i="10" s="1"/>
  <c r="G353" i="10" s="1"/>
  <c r="G354" i="10" s="1"/>
  <c r="G355" i="10" s="1"/>
  <c r="G356" i="10" s="1"/>
  <c r="G357" i="10" s="1"/>
  <c r="G358" i="10" s="1"/>
  <c r="F352" i="10"/>
  <c r="F353" i="10"/>
  <c r="F354" i="10"/>
  <c r="F355" i="10"/>
  <c r="F356" i="10"/>
  <c r="F357" i="10"/>
  <c r="F358" i="10"/>
  <c r="F359" i="10"/>
  <c r="F360" i="10"/>
  <c r="G360" i="10"/>
  <c r="G361" i="10" s="1"/>
  <c r="G362" i="10" s="1"/>
  <c r="G363" i="10" s="1"/>
  <c r="G364" i="10" s="1"/>
  <c r="G365" i="10" s="1"/>
  <c r="G366" i="10" s="1"/>
  <c r="G367" i="10" s="1"/>
  <c r="F361" i="10"/>
  <c r="F362" i="10"/>
  <c r="F363" i="10"/>
  <c r="F364" i="10"/>
  <c r="F365" i="10"/>
  <c r="F366" i="10"/>
  <c r="F367" i="10"/>
  <c r="F368" i="10"/>
  <c r="F369" i="10"/>
  <c r="G369" i="10"/>
  <c r="G370" i="10" s="1"/>
  <c r="G371" i="10" s="1"/>
  <c r="G372" i="10" s="1"/>
  <c r="G373" i="10" s="1"/>
  <c r="G374" i="10" s="1"/>
  <c r="G375" i="10" s="1"/>
  <c r="G376" i="10" s="1"/>
  <c r="F370" i="10"/>
  <c r="F371" i="10"/>
  <c r="F372" i="10"/>
  <c r="F373" i="10"/>
  <c r="F374" i="10"/>
  <c r="F376" i="10"/>
  <c r="F377" i="10"/>
  <c r="F378" i="10"/>
  <c r="G378" i="10"/>
  <c r="F379" i="10"/>
  <c r="G379" i="10"/>
  <c r="F380" i="10"/>
  <c r="G380" i="10"/>
  <c r="G381" i="10" s="1"/>
  <c r="G382" i="10" s="1"/>
  <c r="G383" i="10" s="1"/>
  <c r="G384" i="10" s="1"/>
  <c r="G385" i="10" s="1"/>
  <c r="F381" i="10"/>
  <c r="F382" i="10"/>
  <c r="F383" i="10"/>
  <c r="F384" i="10"/>
  <c r="F385" i="10"/>
  <c r="F386" i="10"/>
  <c r="F387" i="10"/>
  <c r="G387" i="10"/>
  <c r="F388" i="10"/>
  <c r="G388" i="10"/>
  <c r="G389" i="10" s="1"/>
  <c r="G390" i="10" s="1"/>
  <c r="G391" i="10" s="1"/>
  <c r="G392" i="10" s="1"/>
  <c r="G393" i="10" s="1"/>
  <c r="G394" i="10" s="1"/>
  <c r="F389" i="10"/>
  <c r="F390" i="10"/>
  <c r="F391" i="10"/>
  <c r="F392" i="10"/>
  <c r="F393" i="10"/>
  <c r="F394" i="10"/>
  <c r="P12" i="11" l="1"/>
  <c r="M20" i="8"/>
  <c r="R30" i="8"/>
  <c r="N11" i="8"/>
  <c r="N13" i="8" s="1"/>
  <c r="I17" i="8"/>
  <c r="O11" i="8"/>
  <c r="O13" i="8" s="1"/>
  <c r="P17" i="11"/>
  <c r="P37" i="11" s="1"/>
  <c r="P16" i="11"/>
  <c r="M22" i="8"/>
  <c r="J34" i="9"/>
  <c r="F34" i="9"/>
  <c r="C34" i="9"/>
  <c r="K34" i="9"/>
  <c r="E34" i="9"/>
  <c r="M34" i="9"/>
  <c r="L34" i="9"/>
  <c r="I34" i="9"/>
  <c r="H34" i="9"/>
  <c r="P21" i="11"/>
  <c r="O17" i="8"/>
  <c r="P17" i="8"/>
  <c r="H17" i="8"/>
  <c r="N16" i="8"/>
  <c r="M16" i="8"/>
  <c r="O12" i="11"/>
  <c r="O18" i="11" s="1"/>
  <c r="P30" i="8"/>
  <c r="H30" i="8"/>
  <c r="K26" i="8"/>
  <c r="N22" i="8"/>
  <c r="N20" i="8"/>
  <c r="E17" i="8"/>
  <c r="C16" i="8"/>
  <c r="D17" i="8" s="1"/>
  <c r="L17" i="8"/>
  <c r="P26" i="8"/>
  <c r="H26" i="8"/>
  <c r="K17" i="8"/>
  <c r="J17" i="8"/>
  <c r="P18" i="11" l="1"/>
  <c r="M30" i="8"/>
  <c r="M17" i="8"/>
  <c r="M26" i="8"/>
  <c r="N26" i="8"/>
  <c r="N30" i="8"/>
  <c r="N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Elizabeth Agudelo Assuad</author>
  </authors>
  <commentList>
    <comment ref="C231" authorId="0" shapeId="0" xr:uid="{C41BA42C-1052-4C41-82AD-8A02E1A0B70D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0" authorId="0" shapeId="0" xr:uid="{34829914-391F-43F1-89B3-C5141C8065CC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49" authorId="0" shapeId="0" xr:uid="{0CB2837C-9A10-4B43-A892-C5640C0E0772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58" authorId="1" shapeId="0" xr:uid="{C31CD995-FB82-447D-A85A-F0827DCBAE0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67" authorId="1" shapeId="0" xr:uid="{261AC57C-69B2-400D-BF00-70A43503057F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76" authorId="1" shapeId="0" xr:uid="{4292FB9A-3621-4DEA-8D0A-AC5248FC7DC2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85" authorId="1" shapeId="0" xr:uid="{F40A1023-6030-4A4C-BDA0-4BFAE2E12E41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294" authorId="1" shapeId="0" xr:uid="{F632D31B-6087-4292-B857-F4F97D4A2CDE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03" authorId="1" shapeId="0" xr:uid="{626E3DD6-7A80-4373-8473-F5B6AAAAA374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12" authorId="1" shapeId="0" xr:uid="{E9BE5704-9F31-441F-8701-238C6FD37E85}">
      <text>
        <r>
          <rPr>
            <b/>
            <sz val="9"/>
            <color indexed="81"/>
            <rFont val="Tahoma"/>
            <family val="2"/>
          </rPr>
          <t>Elizabeth Agudelo Assuad:</t>
        </r>
        <r>
          <rPr>
            <sz val="9"/>
            <color indexed="81"/>
            <rFont val="Tahoma"/>
            <family val="2"/>
          </rPr>
          <t xml:space="preserve">
Unidades</t>
        </r>
      </text>
    </comment>
    <comment ref="C321" authorId="1" shapeId="0" xr:uid="{E129C60B-4E42-43AD-BAD6-60102DC433AB}">
      <text>
        <r>
          <rPr>
            <sz val="9"/>
            <color indexed="81"/>
            <rFont val="Tahoma"/>
            <family val="2"/>
          </rPr>
          <t>Unidades</t>
        </r>
      </text>
    </comment>
    <comment ref="C330" authorId="1" shapeId="0" xr:uid="{2B46C96E-5D9E-437D-B934-8712121340C7}">
      <text>
        <r>
          <rPr>
            <sz val="9"/>
            <color indexed="81"/>
            <rFont val="Tahoma"/>
            <family val="2"/>
          </rPr>
          <t>Unidades</t>
        </r>
      </text>
    </comment>
    <comment ref="C339" authorId="1" shapeId="0" xr:uid="{4B2F6635-E0BA-440C-90CC-5F6806019DAD}">
      <text>
        <r>
          <rPr>
            <sz val="9"/>
            <color indexed="81"/>
            <rFont val="Tahoma"/>
            <family val="2"/>
          </rPr>
          <t>Unidades</t>
        </r>
      </text>
    </comment>
    <comment ref="C348" authorId="1" shapeId="0" xr:uid="{59F8631A-42E4-46A9-8032-69C140ABCFAD}">
      <text>
        <r>
          <rPr>
            <sz val="9"/>
            <color indexed="81"/>
            <rFont val="Tahoma"/>
            <family val="2"/>
          </rPr>
          <t>Unidades</t>
        </r>
      </text>
    </comment>
    <comment ref="C357" authorId="1" shapeId="0" xr:uid="{09BFF1CA-5C9E-451D-A2DE-97460D87148E}">
      <text>
        <r>
          <rPr>
            <sz val="9"/>
            <color indexed="81"/>
            <rFont val="Tahoma"/>
            <family val="2"/>
          </rPr>
          <t>Unidades</t>
        </r>
      </text>
    </comment>
    <comment ref="C366" authorId="1" shapeId="0" xr:uid="{C09B956C-3117-45D9-9BF1-131D6F4562D2}">
      <text>
        <r>
          <rPr>
            <sz val="9"/>
            <color indexed="81"/>
            <rFont val="Tahoma"/>
            <family val="2"/>
          </rPr>
          <t>Unidades</t>
        </r>
      </text>
    </comment>
    <comment ref="C375" authorId="1" shapeId="0" xr:uid="{C612C0C0-ED74-4D87-A7BC-2525765F6017}">
      <text>
        <r>
          <rPr>
            <sz val="9"/>
            <color indexed="81"/>
            <rFont val="Tahoma"/>
            <family val="2"/>
          </rPr>
          <t>Unidades</t>
        </r>
      </text>
    </comment>
    <comment ref="C384" authorId="1" shapeId="0" xr:uid="{E6423C9E-AAFD-409B-ABBD-98CF9D72158A}">
      <text>
        <r>
          <rPr>
            <sz val="9"/>
            <color indexed="81"/>
            <rFont val="Tahoma"/>
            <family val="2"/>
          </rPr>
          <t>Unidades</t>
        </r>
      </text>
    </comment>
    <comment ref="C393" authorId="1" shapeId="0" xr:uid="{0365ECA8-7D41-422B-A270-42F6BE989AF8}">
      <text>
        <r>
          <rPr>
            <sz val="9"/>
            <color indexed="81"/>
            <rFont val="Tahoma"/>
            <family val="2"/>
          </rPr>
          <t>Unidades</t>
        </r>
      </text>
    </comment>
    <comment ref="C402" authorId="1" shapeId="0" xr:uid="{74F8C364-C8BF-4A1E-B956-E548113894C8}">
      <text>
        <r>
          <rPr>
            <sz val="9"/>
            <color indexed="81"/>
            <rFont val="Tahoma"/>
            <family val="2"/>
          </rPr>
          <t>Unidades</t>
        </r>
      </text>
    </comment>
    <comment ref="D409" authorId="0" shapeId="0" xr:uid="{4C7E6C1B-B546-4CB4-8941-4917AE314795}">
      <text>
        <r>
          <rPr>
            <sz val="9"/>
            <color indexed="81"/>
            <rFont val="Tahoma"/>
            <family val="2"/>
          </rPr>
          <t>No hay part. Política sobre estas acciones</t>
        </r>
      </text>
    </comment>
    <comment ref="C411" authorId="1" shapeId="0" xr:uid="{7348B4F0-9382-484C-A3F6-4DF039BCC8FD}">
      <text>
        <r>
          <rPr>
            <sz val="9"/>
            <color indexed="81"/>
            <rFont val="Tahoma"/>
            <family val="2"/>
          </rPr>
          <t>Unidades</t>
        </r>
      </text>
    </comment>
    <comment ref="D418" authorId="0" shapeId="0" xr:uid="{C7523458-27E0-44C6-9839-AE3931B9FDA5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0" authorId="1" shapeId="0" xr:uid="{A4022830-3FB1-4F45-B626-0A046F8E95AF}">
      <text>
        <r>
          <rPr>
            <sz val="9"/>
            <color indexed="81"/>
            <rFont val="Tahoma"/>
            <family val="2"/>
          </rPr>
          <t>Unidades</t>
        </r>
      </text>
    </comment>
    <comment ref="D427" authorId="0" shapeId="0" xr:uid="{C3B9CE7B-0D73-421D-815F-0DD90845AB81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28" authorId="1" shapeId="0" xr:uid="{40EC4B9D-EA14-48B1-8C70-37F0E4943930}">
      <text>
        <r>
          <rPr>
            <sz val="9"/>
            <color indexed="81"/>
            <rFont val="Tahoma"/>
            <family val="2"/>
          </rPr>
          <t>Unidades</t>
        </r>
      </text>
    </comment>
    <comment ref="D435" authorId="0" shapeId="0" xr:uid="{9D37B8D4-03AE-42F8-8CC9-2B4B9ECBA0C9}">
      <text>
        <r>
          <rPr>
            <b/>
            <sz val="9"/>
            <color indexed="81"/>
            <rFont val="Tahoma"/>
            <family val="2"/>
          </rPr>
          <t>Glomer Botero:</t>
        </r>
        <r>
          <rPr>
            <sz val="9"/>
            <color indexed="81"/>
            <rFont val="Tahoma"/>
            <family val="2"/>
          </rPr>
          <t xml:space="preserve">
No hay part. Política sobre estas acciones</t>
        </r>
      </text>
    </comment>
    <comment ref="C436" authorId="1" shapeId="0" xr:uid="{BD1405A8-A6F5-459A-8F89-C04F95868F50}">
      <text>
        <r>
          <rPr>
            <sz val="9"/>
            <color indexed="81"/>
            <rFont val="Tahoma"/>
            <family val="2"/>
          </rPr>
          <t>Unidades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  <author>tc={5BC57BB8-E13A-4CC3-8203-016D701BA9E9}</author>
    <author>Elizabeth Agudelo Assuad</author>
    <author>tc={BAE73A32-32F1-4325-8CAD-2F89175C7E8D}</author>
  </authors>
  <commentList>
    <comment ref="M16" authorId="0" shapeId="0" xr:uid="{17DA0C4F-2BD2-4AE8-856D-4057B92FD9B6}">
      <text>
        <r>
          <rPr>
            <b/>
            <sz val="9"/>
            <color indexed="81"/>
            <rFont val="Tahoma"/>
            <family val="2"/>
          </rPr>
          <t>Incluye usufructo</t>
        </r>
      </text>
    </comment>
    <comment ref="K20" authorId="0" shapeId="0" xr:uid="{BFDE31A2-21EF-4CC0-8132-CE172A5C8D94}">
      <text>
        <r>
          <rPr>
            <sz val="9"/>
            <color indexed="81"/>
            <rFont val="Tahoma"/>
            <family val="2"/>
          </rPr>
          <t>Valle cement</t>
        </r>
      </text>
    </comment>
    <comment ref="N20" authorId="1" shapeId="0" xr:uid="{5BC57BB8-E13A-4CC3-8203-016D701BA9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Pactia, FCP Pactia, Sator y SP
Respuesta:
    FCP Pactia, Pactia, Sator y SP</t>
      </text>
    </comment>
    <comment ref="J31" authorId="2" shapeId="0" xr:uid="{49B06735-4152-48DA-8ADE-BFDABD393176}">
      <text>
        <r>
          <rPr>
            <sz val="9"/>
            <color indexed="81"/>
            <rFont val="Tahoma"/>
            <family val="2"/>
          </rPr>
          <t>Colombates
Odempa</t>
        </r>
      </text>
    </comment>
    <comment ref="K31" authorId="0" shapeId="0" xr:uid="{545B71F9-5D6E-4D01-BAEB-C078135381B9}">
      <text>
        <r>
          <rPr>
            <sz val="9"/>
            <color indexed="81"/>
            <rFont val="Tahoma"/>
            <family val="2"/>
          </rPr>
          <t xml:space="preserve">STEM + IEA
</t>
        </r>
      </text>
    </comment>
    <comment ref="M31" authorId="0" shapeId="0" xr:uid="{9CC63234-9BD6-4DD5-8035-29F743B8541E}">
      <text>
        <r>
          <rPr>
            <b/>
            <sz val="9"/>
            <color indexed="81"/>
            <rFont val="Tahoma"/>
            <family val="2"/>
          </rPr>
          <t>Opain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1" authorId="3" shapeId="0" xr:uid="{BAE73A32-32F1-4325-8CAD-2F89175C7E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Vallecement y FCP Pactia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O10" authorId="0" shapeId="0" xr:uid="{0F75D6E7-5EF6-4AF9-AEBE-C1A821B68953}">
      <text>
        <r>
          <rPr>
            <sz val="9"/>
            <color indexed="81"/>
            <rFont val="Tahoma"/>
            <family val="2"/>
          </rPr>
          <t>Incluía la opción de pago en acciones y se pagó en una única cuota. Se calcula el valor trimestral con fines comparativos</t>
        </r>
      </text>
    </comment>
    <comment ref="P10" authorId="0" shapeId="0" xr:uid="{09FB8B95-F2F0-4FB8-9CF0-60C71592749C}">
      <text>
        <r>
          <rPr>
            <sz val="9"/>
            <color indexed="81"/>
            <rFont val="Tahoma"/>
            <family val="2"/>
          </rPr>
          <t>PDU propuesto</t>
        </r>
      </text>
    </comment>
    <comment ref="R10" authorId="0" shapeId="0" xr:uid="{C2FF73F8-C8C2-4D84-A06A-5A907B5811D0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S10" authorId="0" shapeId="0" xr:uid="{DE165845-AC15-40BD-89F1-6514AC84A88E}">
      <text>
        <r>
          <rPr>
            <b/>
            <sz val="9"/>
            <color indexed="81"/>
            <rFont val="Tahoma"/>
            <family val="2"/>
          </rPr>
          <t>PDU propuesto</t>
        </r>
      </text>
    </comment>
    <comment ref="R15" authorId="0" shapeId="0" xr:uid="{A9112237-1072-4ECE-B284-B8E90002FC36}">
      <text>
        <r>
          <rPr>
            <b/>
            <sz val="9"/>
            <color indexed="81"/>
            <rFont val="Tahoma"/>
            <family val="2"/>
          </rPr>
          <t>Solo incluye recompras cumplidas al 31/12/23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5" authorId="0" shapeId="0" xr:uid="{4E41DA28-5F98-4525-87D1-BDBB349FAC71}">
      <text>
        <r>
          <rPr>
            <b/>
            <sz val="9"/>
            <color indexed="81"/>
            <rFont val="Tahoma"/>
            <family val="2"/>
          </rPr>
          <t>Solo incluye recompras cumplidas al 31/12/24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Glomer Botero</author>
  </authors>
  <commentList>
    <comment ref="B30" authorId="0" shapeId="0" xr:uid="{30B4F214-9326-4CE6-8C12-D90EF57FE52D}">
      <text>
        <r>
          <rPr>
            <sz val="9"/>
            <color indexed="81"/>
            <rFont val="Tahoma"/>
            <family val="2"/>
          </rPr>
          <t>A partir de 2020 solo incluye Pactia FCP</t>
        </r>
      </text>
    </comment>
    <comment ref="N40" authorId="0" shapeId="0" xr:uid="{C859434C-827F-442C-AEBB-FD947802BA50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 shapeId="0" xr:uid="{68C88AEF-DAB2-4C60-BF23-4AD6D2C5ABA3}">
      <text>
        <r>
          <rPr>
            <b/>
            <sz val="9"/>
            <color indexed="81"/>
            <rFont val="Tahoma"/>
            <family val="2"/>
          </rPr>
          <t>Neto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<sst xmlns="http://schemas.openxmlformats.org/spreadsheetml/2006/main" count="564" uniqueCount="120">
  <si>
    <t>Fecha</t>
  </si>
  <si>
    <t>Etiquetas de fila</t>
  </si>
  <si>
    <t>CELSIA S.A. E.S.P.</t>
  </si>
  <si>
    <t>GRUPO DE INVERSIONES SURAMERICANA S.A. PREFERENCIAL</t>
  </si>
  <si>
    <t>Trimestre</t>
  </si>
  <si>
    <t>Total
$ millones</t>
  </si>
  <si>
    <t>EMPRESA DE ENERGIA DEL PACIFICO S.A. ESP EPSA</t>
  </si>
  <si>
    <r>
      <t>GRUPO DE INVERSIONES SURAMERICANA S.A.</t>
    </r>
    <r>
      <rPr>
        <sz val="7"/>
        <rFont val="Arial"/>
        <family val="2"/>
      </rPr>
      <t xml:space="preserve"> PREFERENCIAL</t>
    </r>
  </si>
  <si>
    <t>GRUPO NUTRESA S.A.</t>
  </si>
  <si>
    <t>GRUPO ODINSA S.A</t>
  </si>
  <si>
    <t>PORTAFOLIO HISTÓRICO</t>
  </si>
  <si>
    <t>CEMENTOS ARGOS S.A. ORDINARIA</t>
  </si>
  <si>
    <r>
      <t xml:space="preserve">CEMENTOS ARGOS S.A. </t>
    </r>
    <r>
      <rPr>
        <sz val="7"/>
        <rFont val="Arial"/>
        <family val="2"/>
      </rPr>
      <t>ORDINARIA</t>
    </r>
  </si>
  <si>
    <r>
      <t xml:space="preserve">GRUPO DE INVERSIONES SURAMERICANA S.A. </t>
    </r>
    <r>
      <rPr>
        <sz val="7"/>
        <rFont val="Arial"/>
        <family val="2"/>
      </rPr>
      <t>ORDINARIA</t>
    </r>
  </si>
  <si>
    <r>
      <t xml:space="preserve">BANCOLOMBIA S.A. </t>
    </r>
    <r>
      <rPr>
        <sz val="7"/>
        <rFont val="Arial"/>
        <family val="2"/>
      </rPr>
      <t>ORDINARIA</t>
    </r>
  </si>
  <si>
    <t>INDICADORES - SEPARADO</t>
  </si>
  <si>
    <r>
      <t xml:space="preserve">CEMENTOS ARGOS S.A. </t>
    </r>
    <r>
      <rPr>
        <sz val="7"/>
        <rFont val="Arial"/>
        <family val="2"/>
      </rPr>
      <t>PREFERENCIAL</t>
    </r>
  </si>
  <si>
    <t>CEMENTOS ARGOS S.A. PREFERENCIAL</t>
  </si>
  <si>
    <t>GRUPO DE INVERSIONES SURAMERICANA S.A. ORDINARIA</t>
  </si>
  <si>
    <r>
      <t xml:space="preserve">BANCOLOMBIA S.A. </t>
    </r>
    <r>
      <rPr>
        <sz val="7"/>
        <rFont val="Arial"/>
        <family val="2"/>
      </rPr>
      <t>PREFERENCIAL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</si>
  <si>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El valor de cada inversión está calculado con base en el precio a cierre de año para las empresas que cotizan en bolsa y en los términos generales de la escisión para los otros activos que incluyen el negocio inmobiliario, minas y puertos</t>
    </r>
  </si>
  <si>
    <r>
      <t>2</t>
    </r>
    <r>
      <rPr>
        <sz val="11"/>
        <color theme="1" tint="0.499984740745262"/>
        <rFont val="Franklin Gothic Book"/>
        <family val="2"/>
      </rPr>
      <t>Acciones en circulación a cierre de año</t>
    </r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</si>
  <si>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Según la calificadora de riesgo y para tener una mayor aproximación al flujo de caja de la empresa, se le resta el metodo de participación y se incluye los dividendos recibidos y las desinversiones al costo histórico</t>
    </r>
  </si>
  <si>
    <r>
      <t xml:space="preserve">Nota: </t>
    </r>
    <r>
      <rPr>
        <vertAlign val="superscript"/>
        <sz val="11"/>
        <color theme="1" tint="0.499984740745262"/>
        <rFont val="Franklin Gothic Book"/>
        <family val="2"/>
      </rPr>
      <t/>
    </r>
  </si>
  <si>
    <t>Utilidad por acción</t>
  </si>
  <si>
    <t>Utilidad Neta</t>
  </si>
  <si>
    <t>Deuda/EBITDA ajustado</t>
  </si>
  <si>
    <t>Gasto financiero (PyG)</t>
  </si>
  <si>
    <r>
      <t>EBITDA ajustado</t>
    </r>
    <r>
      <rPr>
        <vertAlign val="superscript"/>
        <sz val="11"/>
        <rFont val="Franklin Gothic Book"/>
        <family val="2"/>
      </rPr>
      <t>1</t>
    </r>
  </si>
  <si>
    <t>EBITDA</t>
  </si>
  <si>
    <t xml:space="preserve">Enterprise Value </t>
  </si>
  <si>
    <t>Deuda financiera</t>
  </si>
  <si>
    <t>Caja</t>
  </si>
  <si>
    <t>Otros</t>
  </si>
  <si>
    <t>Grupo Odinsa S.A</t>
  </si>
  <si>
    <t>Grupo Nutresa S.A.</t>
  </si>
  <si>
    <t>Grupo de Inversiones Suramericana S.A. preferencial</t>
  </si>
  <si>
    <t>Grupo de Inversiones Suramericana S.A.</t>
  </si>
  <si>
    <t>EPSA</t>
  </si>
  <si>
    <t>Cementos Argos S.A.</t>
  </si>
  <si>
    <t xml:space="preserve">Celsia S.A. </t>
  </si>
  <si>
    <t>Bancolombia S.A.</t>
  </si>
  <si>
    <r>
      <t>Inversiones de portafolio COP MM</t>
    </r>
    <r>
      <rPr>
        <b/>
        <vertAlign val="superscript"/>
        <sz val="11"/>
        <color theme="1"/>
        <rFont val="Franklin Gothic Book"/>
        <family val="2"/>
      </rPr>
      <t>3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</si>
  <si>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</si>
  <si>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Market Cap.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</si>
  <si>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 PROMEDIO</t>
    </r>
  </si>
  <si>
    <r>
      <t xml:space="preserve">Precio por acción preferencial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</si>
  <si>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</si>
  <si>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preferenciales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</si>
  <si>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PROMEDIO</t>
    </r>
  </si>
  <si>
    <r>
      <t xml:space="preserve">Precio por acción ordinaria </t>
    </r>
    <r>
      <rPr>
        <vertAlign val="subscript"/>
        <sz val="11"/>
        <color theme="1"/>
        <rFont val="Franklin Gothic Book"/>
        <family val="2"/>
      </rPr>
      <t>CIERRE</t>
    </r>
    <r>
      <rPr>
        <sz val="11"/>
        <color theme="1"/>
        <rFont val="Franklin Gothic Book"/>
        <family val="2"/>
      </rPr>
      <t xml:space="preserve"> 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</si>
  <si>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>PROMEDIO</t>
    </r>
  </si>
  <si>
    <r>
      <t># acciones circulación ordinarias</t>
    </r>
    <r>
      <rPr>
        <vertAlign val="superscript"/>
        <sz val="11"/>
        <color theme="1"/>
        <rFont val="Franklin Gothic Book"/>
        <family val="2"/>
      </rPr>
      <t xml:space="preserve">2 </t>
    </r>
    <r>
      <rPr>
        <vertAlign val="subscript"/>
        <sz val="11"/>
        <color theme="1"/>
        <rFont val="Franklin Gothic Book"/>
        <family val="2"/>
      </rPr>
      <t xml:space="preserve">CIERRE </t>
    </r>
  </si>
  <si>
    <t>2015 Reexpresado</t>
  </si>
  <si>
    <t>COP</t>
  </si>
  <si>
    <t>NIIF</t>
  </si>
  <si>
    <t>COLGAAP</t>
  </si>
  <si>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 xml:space="preserve"> Acciones en circulación del día en el que se decreta la distribución de utilidades</t>
    </r>
  </si>
  <si>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Corresponde a los dividendos pagados entre abril y marzo de los años siguientes</t>
    </r>
  </si>
  <si>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A partir del año 2014 con el uso de las normas NIIF corresponde a la utilidad neta atribuible a la controladora</t>
    </r>
  </si>
  <si>
    <t>Nota:</t>
  </si>
  <si>
    <t>% reparto</t>
  </si>
  <si>
    <t>Var. Util. neta separado</t>
  </si>
  <si>
    <t>Utilidad neta separado</t>
  </si>
  <si>
    <t xml:space="preserve">Var. Util. neta consolidado </t>
  </si>
  <si>
    <r>
      <t>Utilidad neta consolidado</t>
    </r>
    <r>
      <rPr>
        <vertAlign val="superscript"/>
        <sz val="10"/>
        <rFont val="Franklin Gothic Book"/>
        <family val="2"/>
      </rPr>
      <t>2</t>
    </r>
  </si>
  <si>
    <t>Yield - Acción preferencial</t>
  </si>
  <si>
    <t>Yield - acción ordinaria</t>
  </si>
  <si>
    <r>
      <t>Precio de la acción - ordinaria</t>
    </r>
    <r>
      <rPr>
        <vertAlign val="superscript"/>
        <sz val="10"/>
        <rFont val="Franklin Gothic Book"/>
        <family val="2"/>
      </rPr>
      <t>1</t>
    </r>
  </si>
  <si>
    <t>% var.</t>
  </si>
  <si>
    <r>
      <t>Dividendo decretado</t>
    </r>
    <r>
      <rPr>
        <vertAlign val="superscript"/>
        <sz val="10"/>
        <rFont val="Franklin Gothic Book"/>
        <family val="2"/>
      </rPr>
      <t>3</t>
    </r>
  </si>
  <si>
    <r>
      <t>Acciones en circulación</t>
    </r>
    <r>
      <rPr>
        <vertAlign val="superscript"/>
        <sz val="10"/>
        <rFont val="Franklin Gothic Book"/>
        <family val="2"/>
      </rPr>
      <t>4</t>
    </r>
  </si>
  <si>
    <t>Incremento real</t>
  </si>
  <si>
    <t>%. var. IPC</t>
  </si>
  <si>
    <t>Dividendo por acción - Trimestral</t>
  </si>
  <si>
    <t>2016</t>
  </si>
  <si>
    <t>DIVIDENDOS PAGADOS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</si>
  <si>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3</t>
    </r>
    <r>
      <rPr>
        <sz val="11"/>
        <color theme="1" tint="0.499984740745262"/>
        <rFont val="Franklin Gothic Book"/>
        <family val="2"/>
      </rPr>
      <t>Incluye inversiones y desinversiones de acciones</t>
    </r>
  </si>
  <si>
    <r>
      <rPr>
        <vertAlign val="superscript"/>
        <sz val="11"/>
        <color theme="1" tint="0.499984740745262"/>
        <rFont val="Franklin Gothic Book"/>
        <family val="2"/>
      </rPr>
      <t xml:space="preserve"> 1</t>
    </r>
    <r>
      <rPr>
        <sz val="11"/>
        <color theme="1" tint="0.499984740745262"/>
        <rFont val="Franklin Gothic Book"/>
        <family val="2"/>
      </rPr>
      <t xml:space="preserve">Solo incluye acciones listadas en la Bolsa de Valores </t>
    </r>
  </si>
  <si>
    <t>Total ingresos recibido en caja por la operación</t>
  </si>
  <si>
    <t>Total ingreso por venta de acciones</t>
  </si>
  <si>
    <t>Ingresos por venta de acciones</t>
  </si>
  <si>
    <t>Total restitución de aportes</t>
  </si>
  <si>
    <t>Opain + Consorcios</t>
  </si>
  <si>
    <t>Restitución de aportes</t>
  </si>
  <si>
    <t>Total dividendos recibidos</t>
  </si>
  <si>
    <t>Odinsa S.A</t>
  </si>
  <si>
    <t>Inversiones de portafolio</t>
  </si>
  <si>
    <t>COP millones de pesos</t>
  </si>
  <si>
    <t>INGRESOS RECIBIDOS EN CAJA POR OPERACION</t>
  </si>
  <si>
    <t xml:space="preserve">Pactia </t>
  </si>
  <si>
    <t>2017</t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</si>
  <si>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2</t>
    </r>
    <r>
      <rPr>
        <sz val="11"/>
        <color theme="1" tint="0.499984740745262"/>
        <rFont val="Franklin Gothic Book"/>
        <family val="2"/>
      </rPr>
      <t>Difiere de los dividendos decretados, debido a la periodicidad en el pago</t>
    </r>
  </si>
  <si>
    <t>2018</t>
  </si>
  <si>
    <r>
      <rPr>
        <vertAlign val="superscript"/>
        <sz val="11"/>
        <color theme="1"/>
        <rFont val="Franklin Gothic Book"/>
        <family val="2"/>
      </rPr>
      <t>4</t>
    </r>
    <r>
      <rPr>
        <sz val="11"/>
        <color theme="1"/>
        <rFont val="Franklin Gothic Book"/>
        <family val="2"/>
      </rPr>
      <t>Grupo de Inversiones Suramericana S.A.</t>
    </r>
  </si>
  <si>
    <r>
      <t xml:space="preserve"> </t>
    </r>
    <r>
      <rPr>
        <vertAlign val="superscript"/>
        <sz val="11"/>
        <color theme="1" tint="0.499984740745262"/>
        <rFont val="Franklin Gothic Book"/>
        <family val="2"/>
      </rPr>
      <t>4</t>
    </r>
    <r>
      <rPr>
        <sz val="11"/>
        <color theme="1" tint="0.499984740745262"/>
        <rFont val="Franklin Gothic Book"/>
        <family val="2"/>
      </rPr>
      <t>En el 2017 se recibieron dividendos en acciones</t>
    </r>
  </si>
  <si>
    <t>FCP PACTIA INMOBILIARIO</t>
  </si>
  <si>
    <t xml:space="preserve"> # Acciones/unidades en el portafolio </t>
  </si>
  <si>
    <t>2019</t>
  </si>
  <si>
    <t>Inversiones listadas en BVC</t>
  </si>
  <si>
    <t>Nota: Precio de la acción a cierre de trimestre</t>
  </si>
  <si>
    <t>2020</t>
  </si>
  <si>
    <t>2021</t>
  </si>
  <si>
    <r>
      <rPr>
        <vertAlign val="superscript"/>
        <sz val="11"/>
        <color theme="1" tint="0.499984740745262"/>
        <rFont val="Franklin Gothic Book"/>
        <family val="2"/>
      </rPr>
      <t>1</t>
    </r>
    <r>
      <rPr>
        <sz val="11"/>
        <color theme="1" tint="0.499984740745262"/>
        <rFont val="Franklin Gothic Book"/>
        <family val="2"/>
      </rPr>
      <t>Precio al cierre del año sobre el cual se decretan los dividendos, cifras en pesos</t>
    </r>
  </si>
  <si>
    <t>2022</t>
  </si>
  <si>
    <t>Precio 
($/Acc.)</t>
  </si>
  <si>
    <r>
      <t>Precio de la acción - Preferencial</t>
    </r>
    <r>
      <rPr>
        <vertAlign val="superscript"/>
        <sz val="10"/>
        <rFont val="Franklin Gothic Book"/>
        <family val="2"/>
      </rPr>
      <t>1</t>
    </r>
  </si>
  <si>
    <t>2023</t>
  </si>
  <si>
    <t>EBITDA ajustado/Gasto financiero P&amp;G</t>
  </si>
  <si>
    <t>SOCIEDAD PORTAFOLIO</t>
  </si>
  <si>
    <t>GRUPO DE INVERSIONES SURAMERICANA S.A. ORD. PROPIAS</t>
  </si>
  <si>
    <t>% de Part. Política</t>
  </si>
  <si>
    <t>GRUPO DE INVERSIONES SURAMERICANA S.A. ORD. PA Inhibidor</t>
  </si>
  <si>
    <t>Total general</t>
  </si>
  <si>
    <t>Valor total 
(COP millones)</t>
  </si>
  <si>
    <t xml:space="preserve"> % de Part. 
Política</t>
  </si>
  <si>
    <t>CEMENTOS ARGOS S.A.</t>
  </si>
  <si>
    <t>2024</t>
  </si>
  <si>
    <t xml:space="preserve">Dividendos de pactia 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</si>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</sst>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General_)"/>
    <numFmt numFmtId="168" formatCode="_(* #,##0_);_(* \(#,##0\);_(* &quot;-&quot;??_);_(@_)"/>
    <numFmt numFmtId="169" formatCode="_ [$€-2]\ * #,##0_ ;_ [$€-2]\ * \-#,##0_ ;_ [$€-2]\ * &quot;-&quot;??_ "/>
    <numFmt numFmtId="170" formatCode="0.0\x"/>
    <numFmt numFmtId="171" formatCode="_ * #,##0_ ;_ * \-#,##0_ ;_ * &quot;-&quot;??_ ;_ @_ "/>
    <numFmt numFmtId="172" formatCode="#,##0.00_ ;[Red]\-#,##0.00\ "/>
    <numFmt numFmtId="173" formatCode="#,##0.0_ ;[Red]\-#,##0.0\ "/>
    <numFmt numFmtId="174" formatCode="0.0"/>
    <numFmt numFmtId="175" formatCode="_-* #,##0.000_-;\-* #,##0.000_-;_-* &quot;-&quot;??_-;_-@_-"/>
    <numFmt numFmtId="176" formatCode="_-* #,##0.0_-;\-* #,##0.0_-;_-* &quot;-&quot;??_-;_-@_-"/>
    <numFmt numFmtId="177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Calibri"/>
      <family val="2"/>
      <scheme val="minor"/>
    </font>
    <font>
      <sz val="10"/>
      <name val="Helv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sz val="11"/>
      <color theme="1" tint="0.499984740745262"/>
      <name val="Franklin Gothic Book"/>
      <family val="2"/>
    </font>
    <font>
      <vertAlign val="superscript"/>
      <sz val="11"/>
      <color theme="1" tint="0.499984740745262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name val="Franklin Gothic Book"/>
      <family val="2"/>
    </font>
    <font>
      <sz val="11"/>
      <color rgb="FFFF0000"/>
      <name val="Franklin Gothic Book"/>
      <family val="2"/>
    </font>
    <font>
      <vertAlign val="superscript"/>
      <sz val="11"/>
      <name val="Franklin Gothic Book"/>
      <family val="2"/>
    </font>
    <font>
      <b/>
      <vertAlign val="superscript"/>
      <sz val="11"/>
      <color theme="1"/>
      <name val="Franklin Gothic Book"/>
      <family val="2"/>
    </font>
    <font>
      <vertAlign val="subscript"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11"/>
      <color theme="0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vertAlign val="superscript"/>
      <sz val="10"/>
      <name val="Franklin Gothic Book"/>
      <family val="2"/>
    </font>
    <font>
      <b/>
      <sz val="11"/>
      <name val="Franklin Gothic Book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Franklin Gothic Book"/>
      <family val="2"/>
    </font>
    <font>
      <sz val="11"/>
      <color rgb="FFFF0000"/>
      <name val="Calibri"/>
      <family val="2"/>
      <scheme val="minor"/>
    </font>
    <font>
      <sz val="11"/>
      <color rgb="FF0070C0"/>
      <name val="Arial"/>
      <family val="2"/>
    </font>
    <font>
      <sz val="11"/>
      <color theme="1"/>
      <name val="Franklin Gothic Book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ck">
        <color theme="0" tint="-0.249977111117893"/>
      </right>
      <top/>
      <bottom style="thick">
        <color rgb="FFC0C0C0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theme="0" tint="-0.249977111117893"/>
      </right>
      <top/>
      <bottom/>
      <diagonal/>
    </border>
    <border>
      <left/>
      <right style="thick">
        <color theme="0" tint="-0.249977111117893"/>
      </right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rgb="FFC0C0C0"/>
      </top>
      <bottom style="hair">
        <color rgb="FFC0C0C0"/>
      </bottom>
      <diagonal/>
    </border>
    <border>
      <left/>
      <right/>
      <top style="thick">
        <color indexed="22"/>
      </top>
      <bottom style="hair">
        <color rgb="FFC0C0C0"/>
      </bottom>
      <diagonal/>
    </border>
    <border>
      <left/>
      <right style="thick">
        <color rgb="FFC0C0C0"/>
      </right>
      <top style="hair">
        <color rgb="FFC0C0C0"/>
      </top>
      <bottom style="hair">
        <color rgb="FFC0C0C0"/>
      </bottom>
      <diagonal/>
    </border>
    <border>
      <left style="thick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hair">
        <color rgb="FFC0C0C0"/>
      </bottom>
      <diagonal/>
    </border>
    <border>
      <left/>
      <right/>
      <top style="thick">
        <color rgb="FFC0C0C0"/>
      </top>
      <bottom style="hair">
        <color rgb="FFC0C0C0"/>
      </bottom>
      <diagonal/>
    </border>
    <border>
      <left style="thick">
        <color rgb="FFC0C0C0"/>
      </left>
      <right/>
      <top style="thick">
        <color indexed="22"/>
      </top>
      <bottom style="hair">
        <color rgb="FFC0C0C0"/>
      </bottom>
      <diagonal/>
    </border>
    <border>
      <left style="thick">
        <color rgb="FFC0C0C0"/>
      </left>
      <right style="thick">
        <color rgb="FFC0C0C0"/>
      </right>
      <top/>
      <bottom/>
      <diagonal/>
    </border>
    <border>
      <left style="thick">
        <color rgb="FFC0C0C0"/>
      </left>
      <right/>
      <top/>
      <bottom/>
      <diagonal/>
    </border>
    <border>
      <left/>
      <right/>
      <top/>
      <bottom style="hair">
        <color rgb="FFC0C0C0"/>
      </bottom>
      <diagonal/>
    </border>
    <border>
      <left style="thick">
        <color rgb="FFC0C0C0"/>
      </left>
      <right/>
      <top/>
      <bottom style="hair">
        <color rgb="FFC0C0C0"/>
      </bottom>
      <diagonal/>
    </border>
    <border>
      <left/>
      <right/>
      <top/>
      <bottom style="thick">
        <color theme="0" tint="-0.249977111117893"/>
      </bottom>
      <diagonal/>
    </border>
    <border>
      <left style="thick">
        <color indexed="22"/>
      </left>
      <right style="thick">
        <color theme="0" tint="-0.249977111117893"/>
      </right>
      <top style="thick">
        <color indexed="22"/>
      </top>
      <bottom style="thick">
        <color rgb="FFC0C0C0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ck">
        <color theme="0" tint="-0.249977111117893"/>
      </right>
      <top/>
      <bottom/>
      <diagonal/>
    </border>
    <border>
      <left style="thick">
        <color theme="0" tint="-0.249977111117893"/>
      </left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 style="thick">
        <color theme="0" tint="-0.249977111117893"/>
      </bottom>
      <diagonal/>
    </border>
    <border>
      <left style="thick">
        <color rgb="FFC0C0C0"/>
      </left>
      <right/>
      <top style="hair">
        <color rgb="FFC0C0C0"/>
      </top>
      <bottom style="thick">
        <color theme="0" tint="-0.249977111117893"/>
      </bottom>
      <diagonal/>
    </border>
    <border>
      <left/>
      <right/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hair">
        <color rgb="FFC0C0C0"/>
      </top>
      <bottom style="thick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C0C0C0"/>
      </left>
      <right style="thick">
        <color rgb="FFC0C0C0"/>
      </right>
      <top style="hair">
        <color rgb="FFC0C0C0"/>
      </top>
      <bottom/>
      <diagonal/>
    </border>
    <border>
      <left style="thick">
        <color rgb="FFC0C0C0"/>
      </left>
      <right/>
      <top style="hair">
        <color rgb="FFC0C0C0"/>
      </top>
      <bottom/>
      <diagonal/>
    </border>
    <border>
      <left/>
      <right/>
      <top style="hair">
        <color rgb="FFC0C0C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8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" fontId="6" fillId="2" borderId="1" xfId="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167" fontId="8" fillId="2" borderId="5" xfId="7" applyFont="1" applyFill="1" applyBorder="1" applyAlignment="1" applyProtection="1">
      <alignment horizontal="left"/>
      <protection locked="0"/>
    </xf>
    <xf numFmtId="166" fontId="8" fillId="2" borderId="6" xfId="8" applyNumberFormat="1" applyFont="1" applyFill="1" applyBorder="1" applyAlignment="1" applyProtection="1">
      <alignment horizontal="right"/>
      <protection locked="0"/>
    </xf>
    <xf numFmtId="9" fontId="8" fillId="2" borderId="7" xfId="1" applyFont="1" applyFill="1" applyBorder="1" applyAlignment="1" applyProtection="1">
      <alignment horizontal="right"/>
      <protection locked="0"/>
    </xf>
    <xf numFmtId="167" fontId="8" fillId="2" borderId="8" xfId="7" applyFont="1" applyFill="1" applyBorder="1" applyAlignment="1" applyProtection="1">
      <alignment horizontal="left"/>
      <protection locked="0"/>
    </xf>
    <xf numFmtId="166" fontId="8" fillId="2" borderId="9" xfId="8" applyNumberFormat="1" applyFont="1" applyFill="1" applyBorder="1" applyAlignment="1" applyProtection="1">
      <alignment horizontal="right"/>
      <protection locked="0"/>
    </xf>
    <xf numFmtId="9" fontId="8" fillId="2" borderId="10" xfId="1" applyFont="1" applyFill="1" applyBorder="1" applyAlignment="1" applyProtection="1">
      <alignment horizontal="right"/>
      <protection locked="0"/>
    </xf>
    <xf numFmtId="167" fontId="8" fillId="2" borderId="11" xfId="7" applyFont="1" applyFill="1" applyBorder="1" applyAlignment="1" applyProtection="1">
      <alignment horizontal="left"/>
      <protection locked="0"/>
    </xf>
    <xf numFmtId="166" fontId="8" fillId="2" borderId="12" xfId="8" applyNumberFormat="1" applyFont="1" applyFill="1" applyBorder="1" applyAlignment="1" applyProtection="1">
      <alignment horizontal="right"/>
      <protection locked="0"/>
    </xf>
    <xf numFmtId="166" fontId="8" fillId="2" borderId="13" xfId="8" applyNumberFormat="1" applyFont="1" applyFill="1" applyBorder="1" applyAlignment="1" applyProtection="1">
      <alignment horizontal="right"/>
      <protection locked="0"/>
    </xf>
    <xf numFmtId="167" fontId="8" fillId="2" borderId="14" xfId="7" applyFont="1" applyFill="1" applyBorder="1" applyAlignment="1" applyProtection="1">
      <alignment horizontal="left"/>
      <protection locked="0"/>
    </xf>
    <xf numFmtId="9" fontId="8" fillId="2" borderId="0" xfId="1" applyFont="1" applyFill="1" applyBorder="1" applyAlignment="1" applyProtection="1">
      <alignment horizontal="right"/>
      <protection locked="0"/>
    </xf>
    <xf numFmtId="166" fontId="8" fillId="2" borderId="15" xfId="8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66" fontId="8" fillId="2" borderId="17" xfId="8" applyNumberFormat="1" applyFont="1" applyFill="1" applyBorder="1" applyAlignment="1" applyProtection="1">
      <alignment horizontal="right"/>
      <protection locked="0"/>
    </xf>
    <xf numFmtId="9" fontId="8" fillId="2" borderId="16" xfId="1" applyFont="1" applyFill="1" applyBorder="1" applyAlignment="1" applyProtection="1">
      <alignment horizontal="right"/>
      <protection locked="0"/>
    </xf>
    <xf numFmtId="166" fontId="8" fillId="2" borderId="12" xfId="8" applyNumberFormat="1" applyFont="1" applyFill="1" applyBorder="1" applyAlignment="1" applyProtection="1">
      <alignment horizontal="left"/>
      <protection locked="0"/>
    </xf>
    <xf numFmtId="166" fontId="8" fillId="2" borderId="16" xfId="8" applyNumberFormat="1" applyFont="1" applyFill="1" applyBorder="1" applyAlignment="1" applyProtection="1">
      <alignment horizontal="left"/>
      <protection locked="0"/>
    </xf>
    <xf numFmtId="166" fontId="8" fillId="2" borderId="10" xfId="8" applyNumberFormat="1" applyFont="1" applyFill="1" applyBorder="1" applyAlignment="1" applyProtection="1">
      <alignment horizontal="left"/>
      <protection locked="0"/>
    </xf>
    <xf numFmtId="166" fontId="8" fillId="2" borderId="0" xfId="8" applyNumberFormat="1" applyFont="1" applyFill="1" applyBorder="1" applyAlignment="1" applyProtection="1">
      <alignment horizontal="left"/>
      <protection locked="0"/>
    </xf>
    <xf numFmtId="17" fontId="8" fillId="2" borderId="21" xfId="8" applyNumberFormat="1" applyFont="1" applyFill="1" applyBorder="1" applyAlignment="1" applyProtection="1">
      <alignment horizontal="left"/>
      <protection locked="0"/>
    </xf>
    <xf numFmtId="17" fontId="8" fillId="2" borderId="22" xfId="8" applyNumberFormat="1" applyFont="1" applyFill="1" applyBorder="1" applyAlignment="1" applyProtection="1">
      <alignment horizontal="left"/>
      <protection locked="0"/>
    </xf>
    <xf numFmtId="17" fontId="8" fillId="2" borderId="22" xfId="7" applyNumberFormat="1" applyFont="1" applyFill="1" applyBorder="1" applyAlignment="1" applyProtection="1">
      <alignment horizontal="left"/>
      <protection locked="0"/>
    </xf>
    <xf numFmtId="17" fontId="8" fillId="2" borderId="23" xfId="8" applyNumberFormat="1" applyFont="1" applyFill="1" applyBorder="1" applyAlignment="1" applyProtection="1">
      <alignment horizontal="left"/>
      <protection locked="0"/>
    </xf>
    <xf numFmtId="167" fontId="8" fillId="2" borderId="24" xfId="7" applyFont="1" applyFill="1" applyBorder="1" applyAlignment="1" applyProtection="1">
      <alignment horizontal="left"/>
      <protection locked="0"/>
    </xf>
    <xf numFmtId="166" fontId="8" fillId="2" borderId="25" xfId="8" applyNumberFormat="1" applyFont="1" applyFill="1" applyBorder="1" applyAlignment="1" applyProtection="1">
      <alignment horizontal="right"/>
      <protection locked="0"/>
    </xf>
    <xf numFmtId="9" fontId="8" fillId="2" borderId="26" xfId="1" applyFont="1" applyFill="1" applyBorder="1" applyAlignment="1" applyProtection="1">
      <alignment horizontal="right"/>
      <protection locked="0"/>
    </xf>
    <xf numFmtId="166" fontId="8" fillId="2" borderId="27" xfId="8" applyNumberFormat="1" applyFont="1" applyFill="1" applyBorder="1" applyAlignment="1" applyProtection="1">
      <alignment horizontal="left"/>
      <protection locked="0"/>
    </xf>
    <xf numFmtId="166" fontId="8" fillId="2" borderId="28" xfId="8" applyNumberFormat="1" applyFont="1" applyFill="1" applyBorder="1" applyAlignment="1" applyProtection="1">
      <alignment horizontal="left"/>
      <protection locked="0"/>
    </xf>
    <xf numFmtId="17" fontId="8" fillId="2" borderId="23" xfId="7" applyNumberFormat="1" applyFont="1" applyFill="1" applyBorder="1" applyAlignment="1" applyProtection="1">
      <alignment horizontal="left"/>
      <protection locked="0"/>
    </xf>
    <xf numFmtId="166" fontId="8" fillId="2" borderId="5" xfId="8" applyNumberFormat="1" applyFont="1" applyFill="1" applyBorder="1" applyAlignment="1" applyProtection="1">
      <alignment horizontal="lef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6" fontId="8" fillId="0" borderId="17" xfId="8" applyNumberFormat="1" applyFont="1" applyFill="1" applyBorder="1" applyAlignment="1" applyProtection="1">
      <alignment horizontal="right"/>
      <protection locked="0"/>
    </xf>
    <xf numFmtId="165" fontId="8" fillId="0" borderId="16" xfId="1" applyNumberFormat="1" applyFont="1" applyFill="1" applyBorder="1" applyAlignment="1" applyProtection="1">
      <alignment horizontal="right"/>
      <protection locked="0"/>
    </xf>
    <xf numFmtId="166" fontId="8" fillId="0" borderId="16" xfId="8" applyNumberFormat="1" applyFont="1" applyFill="1" applyBorder="1" applyAlignment="1" applyProtection="1">
      <alignment horizontal="left"/>
      <protection locked="0"/>
    </xf>
    <xf numFmtId="166" fontId="8" fillId="0" borderId="9" xfId="8" applyNumberFormat="1" applyFont="1" applyFill="1" applyBorder="1" applyAlignment="1" applyProtection="1">
      <alignment horizontal="right"/>
      <protection locked="0"/>
    </xf>
    <xf numFmtId="165" fontId="8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8" applyNumberFormat="1" applyFont="1" applyFill="1" applyBorder="1" applyAlignment="1" applyProtection="1">
      <alignment horizontal="left"/>
      <protection locked="0"/>
    </xf>
    <xf numFmtId="166" fontId="8" fillId="0" borderId="25" xfId="8" applyNumberFormat="1" applyFont="1" applyFill="1" applyBorder="1" applyAlignment="1" applyProtection="1">
      <alignment horizontal="right"/>
      <protection locked="0"/>
    </xf>
    <xf numFmtId="165" fontId="8" fillId="0" borderId="26" xfId="1" applyNumberFormat="1" applyFont="1" applyFill="1" applyBorder="1" applyAlignment="1" applyProtection="1">
      <alignment horizontal="right"/>
      <protection locked="0"/>
    </xf>
    <xf numFmtId="166" fontId="8" fillId="0" borderId="27" xfId="8" applyNumberFormat="1" applyFont="1" applyFill="1" applyBorder="1" applyAlignment="1" applyProtection="1">
      <alignment horizontal="left"/>
      <protection locked="0"/>
    </xf>
    <xf numFmtId="168" fontId="2" fillId="0" borderId="0" xfId="0" applyNumberFormat="1" applyFont="1"/>
    <xf numFmtId="0" fontId="11" fillId="0" borderId="0" xfId="0" applyFont="1"/>
    <xf numFmtId="164" fontId="2" fillId="0" borderId="0" xfId="0" applyNumberFormat="1" applyFont="1"/>
    <xf numFmtId="168" fontId="2" fillId="0" borderId="0" xfId="6" applyNumberFormat="1" applyFont="1" applyFill="1"/>
    <xf numFmtId="169" fontId="2" fillId="0" borderId="0" xfId="2" applyNumberFormat="1" applyFont="1"/>
    <xf numFmtId="170" fontId="13" fillId="0" borderId="0" xfId="6" applyNumberFormat="1" applyFont="1" applyFill="1" applyBorder="1"/>
    <xf numFmtId="168" fontId="14" fillId="0" borderId="0" xfId="6" applyNumberFormat="1" applyFont="1" applyFill="1"/>
    <xf numFmtId="170" fontId="2" fillId="0" borderId="0" xfId="6" applyNumberFormat="1" applyFont="1" applyFill="1" applyBorder="1"/>
    <xf numFmtId="168" fontId="13" fillId="0" borderId="0" xfId="6" applyNumberFormat="1" applyFont="1" applyFill="1"/>
    <xf numFmtId="169" fontId="13" fillId="0" borderId="0" xfId="2" applyNumberFormat="1" applyFont="1"/>
    <xf numFmtId="0" fontId="13" fillId="0" borderId="0" xfId="0" applyFont="1"/>
    <xf numFmtId="168" fontId="2" fillId="0" borderId="0" xfId="3" applyNumberFormat="1" applyFont="1" applyFill="1"/>
    <xf numFmtId="168" fontId="2" fillId="3" borderId="0" xfId="3" applyNumberFormat="1" applyFont="1" applyFill="1"/>
    <xf numFmtId="168" fontId="13" fillId="3" borderId="0" xfId="3" applyNumberFormat="1" applyFont="1" applyFill="1"/>
    <xf numFmtId="169" fontId="2" fillId="3" borderId="0" xfId="2" applyNumberFormat="1" applyFont="1" applyFill="1"/>
    <xf numFmtId="169" fontId="2" fillId="3" borderId="0" xfId="2" applyNumberFormat="1" applyFont="1" applyFill="1" applyAlignment="1">
      <alignment horizontal="left" indent="1"/>
    </xf>
    <xf numFmtId="168" fontId="13" fillId="0" borderId="0" xfId="3" applyNumberFormat="1" applyFont="1" applyFill="1"/>
    <xf numFmtId="168" fontId="3" fillId="0" borderId="0" xfId="3" applyNumberFormat="1" applyFont="1" applyFill="1" applyAlignment="1">
      <alignment horizontal="center"/>
    </xf>
    <xf numFmtId="168" fontId="3" fillId="3" borderId="0" xfId="3" applyNumberFormat="1" applyFont="1" applyFill="1" applyAlignment="1">
      <alignment horizontal="center"/>
    </xf>
    <xf numFmtId="169" fontId="3" fillId="3" borderId="0" xfId="2" applyNumberFormat="1" applyFont="1" applyFill="1"/>
    <xf numFmtId="168" fontId="2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169" fontId="19" fillId="4" borderId="0" xfId="2" applyNumberFormat="1" applyFont="1" applyFill="1" applyAlignment="1">
      <alignment horizontal="center" wrapText="1"/>
    </xf>
    <xf numFmtId="0" fontId="12" fillId="0" borderId="0" xfId="0" applyFont="1"/>
    <xf numFmtId="3" fontId="20" fillId="0" borderId="29" xfId="4" applyNumberFormat="1" applyFont="1" applyBorder="1" applyAlignment="1">
      <alignment vertical="center"/>
    </xf>
    <xf numFmtId="164" fontId="2" fillId="0" borderId="0" xfId="6" applyFont="1"/>
    <xf numFmtId="169" fontId="19" fillId="4" borderId="0" xfId="2" applyNumberFormat="1" applyFont="1" applyFill="1"/>
    <xf numFmtId="168" fontId="3" fillId="0" borderId="0" xfId="6" applyNumberFormat="1" applyFont="1"/>
    <xf numFmtId="168" fontId="3" fillId="0" borderId="0" xfId="0" applyNumberFormat="1" applyFont="1"/>
    <xf numFmtId="169" fontId="3" fillId="0" borderId="0" xfId="2" applyNumberFormat="1" applyFont="1"/>
    <xf numFmtId="49" fontId="19" fillId="4" borderId="0" xfId="2" applyNumberFormat="1" applyFont="1" applyFill="1" applyAlignment="1">
      <alignment horizontal="center"/>
    </xf>
    <xf numFmtId="0" fontId="23" fillId="0" borderId="0" xfId="0" applyFont="1"/>
    <xf numFmtId="166" fontId="0" fillId="0" borderId="0" xfId="0" applyNumberFormat="1"/>
    <xf numFmtId="166" fontId="24" fillId="0" borderId="9" xfId="8" applyNumberFormat="1" applyFont="1" applyFill="1" applyBorder="1" applyAlignment="1" applyProtection="1">
      <alignment horizontal="right"/>
      <protection locked="0"/>
    </xf>
    <xf numFmtId="165" fontId="24" fillId="0" borderId="10" xfId="1" applyNumberFormat="1" applyFont="1" applyFill="1" applyBorder="1" applyAlignment="1" applyProtection="1">
      <alignment horizontal="right"/>
      <protection locked="0"/>
    </xf>
    <xf numFmtId="166" fontId="8" fillId="0" borderId="10" xfId="9" applyNumberFormat="1" applyFont="1" applyFill="1" applyBorder="1" applyAlignment="1" applyProtection="1">
      <alignment horizontal="left"/>
      <protection locked="0"/>
    </xf>
    <xf numFmtId="166" fontId="8" fillId="0" borderId="27" xfId="9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41" fontId="2" fillId="0" borderId="0" xfId="10" applyFont="1" applyFill="1"/>
    <xf numFmtId="168" fontId="3" fillId="0" borderId="0" xfId="6" applyNumberFormat="1" applyFont="1" applyFill="1"/>
    <xf numFmtId="166" fontId="8" fillId="0" borderId="31" xfId="8" applyNumberFormat="1" applyFont="1" applyFill="1" applyBorder="1" applyAlignment="1" applyProtection="1">
      <alignment horizontal="right"/>
      <protection locked="0"/>
    </xf>
    <xf numFmtId="175" fontId="8" fillId="0" borderId="10" xfId="9" applyNumberFormat="1" applyFont="1" applyFill="1" applyBorder="1" applyAlignment="1" applyProtection="1">
      <alignment horizontal="left"/>
      <protection locked="0"/>
    </xf>
    <xf numFmtId="165" fontId="8" fillId="0" borderId="32" xfId="1" applyNumberFormat="1" applyFont="1" applyFill="1" applyBorder="1" applyAlignment="1" applyProtection="1">
      <alignment horizontal="right"/>
      <protection locked="0"/>
    </xf>
    <xf numFmtId="176" fontId="8" fillId="0" borderId="10" xfId="9" applyNumberFormat="1" applyFont="1" applyFill="1" applyBorder="1" applyAlignment="1" applyProtection="1">
      <alignment horizontal="left"/>
      <protection locked="0"/>
    </xf>
    <xf numFmtId="17" fontId="8" fillId="0" borderId="22" xfId="8" applyNumberFormat="1" applyFont="1" applyFill="1" applyBorder="1" applyAlignment="1" applyProtection="1">
      <alignment horizontal="left"/>
      <protection locked="0"/>
    </xf>
    <xf numFmtId="17" fontId="8" fillId="0" borderId="23" xfId="8" applyNumberFormat="1" applyFont="1" applyFill="1" applyBorder="1" applyAlignment="1" applyProtection="1">
      <alignment horizontal="left"/>
      <protection locked="0"/>
    </xf>
    <xf numFmtId="41" fontId="2" fillId="0" borderId="0" xfId="10" applyFont="1"/>
    <xf numFmtId="41" fontId="3" fillId="0" borderId="0" xfId="10" applyFont="1" applyFill="1"/>
    <xf numFmtId="41" fontId="3" fillId="0" borderId="0" xfId="10" applyFont="1"/>
    <xf numFmtId="167" fontId="8" fillId="0" borderId="24" xfId="7" applyFont="1" applyBorder="1" applyAlignment="1" applyProtection="1">
      <alignment horizontal="left"/>
      <protection locked="0"/>
    </xf>
    <xf numFmtId="167" fontId="8" fillId="0" borderId="30" xfId="7" applyFont="1" applyBorder="1" applyAlignment="1" applyProtection="1">
      <alignment horizontal="left"/>
      <protection locked="0"/>
    </xf>
    <xf numFmtId="167" fontId="8" fillId="0" borderId="11" xfId="7" applyFont="1" applyBorder="1" applyAlignment="1" applyProtection="1">
      <alignment horizontal="left"/>
      <protection locked="0"/>
    </xf>
    <xf numFmtId="43" fontId="8" fillId="0" borderId="10" xfId="9" applyFont="1" applyFill="1" applyBorder="1" applyAlignment="1" applyProtection="1">
      <alignment horizontal="left"/>
      <protection locked="0"/>
    </xf>
    <xf numFmtId="9" fontId="8" fillId="0" borderId="32" xfId="1" applyFont="1" applyFill="1" applyBorder="1" applyAlignment="1" applyProtection="1">
      <alignment horizontal="right"/>
      <protection locked="0"/>
    </xf>
    <xf numFmtId="43" fontId="8" fillId="0" borderId="10" xfId="8" applyFont="1" applyFill="1" applyBorder="1" applyAlignment="1" applyProtection="1">
      <alignment horizontal="left"/>
      <protection locked="0"/>
    </xf>
    <xf numFmtId="3" fontId="7" fillId="0" borderId="20" xfId="7" applyNumberFormat="1" applyFont="1" applyBorder="1" applyAlignment="1" applyProtection="1">
      <alignment horizontal="center" vertical="center" wrapText="1"/>
      <protection locked="0"/>
    </xf>
    <xf numFmtId="3" fontId="7" fillId="0" borderId="19" xfId="7" applyNumberFormat="1" applyFont="1" applyBorder="1" applyAlignment="1" applyProtection="1">
      <alignment horizontal="center" vertical="center" wrapText="1"/>
      <protection locked="0"/>
    </xf>
    <xf numFmtId="4" fontId="7" fillId="0" borderId="3" xfId="7" applyNumberFormat="1" applyFont="1" applyBorder="1" applyAlignment="1" applyProtection="1">
      <alignment horizontal="center" vertical="center" wrapText="1"/>
      <protection locked="0"/>
    </xf>
    <xf numFmtId="3" fontId="7" fillId="0" borderId="2" xfId="7" applyNumberFormat="1" applyFont="1" applyBorder="1" applyAlignment="1" applyProtection="1">
      <alignment horizontal="center" vertical="center" wrapText="1"/>
      <protection locked="0"/>
    </xf>
    <xf numFmtId="0" fontId="4" fillId="0" borderId="18" xfId="0" applyFont="1" applyBorder="1"/>
    <xf numFmtId="0" fontId="4" fillId="0" borderId="0" xfId="0" applyFont="1"/>
    <xf numFmtId="41" fontId="8" fillId="0" borderId="10" xfId="10" applyFont="1" applyFill="1" applyBorder="1" applyAlignment="1" applyProtection="1">
      <alignment horizontal="left"/>
      <protection locked="0"/>
    </xf>
    <xf numFmtId="41" fontId="8" fillId="0" borderId="27" xfId="1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9" fontId="19" fillId="4" borderId="0" xfId="2" applyNumberFormat="1" applyFont="1" applyFill="1" applyAlignment="1">
      <alignment vertical="center"/>
    </xf>
    <xf numFmtId="0" fontId="19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 wrapText="1"/>
    </xf>
    <xf numFmtId="49" fontId="19" fillId="4" borderId="0" xfId="2" applyNumberFormat="1" applyFont="1" applyFill="1" applyAlignment="1">
      <alignment horizontal="center" vertical="center" wrapText="1"/>
    </xf>
    <xf numFmtId="0" fontId="20" fillId="0" borderId="29" xfId="4" applyFont="1" applyBorder="1" applyAlignment="1">
      <alignment vertical="center"/>
    </xf>
    <xf numFmtId="173" fontId="20" fillId="0" borderId="29" xfId="4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72" fontId="20" fillId="0" borderId="29" xfId="4" applyNumberFormat="1" applyFont="1" applyBorder="1" applyAlignment="1">
      <alignment vertical="center"/>
    </xf>
    <xf numFmtId="174" fontId="29" fillId="0" borderId="29" xfId="0" applyNumberFormat="1" applyFont="1" applyBorder="1" applyAlignment="1">
      <alignment vertical="center"/>
    </xf>
    <xf numFmtId="0" fontId="20" fillId="0" borderId="0" xfId="4" applyFont="1" applyAlignment="1">
      <alignment vertical="center"/>
    </xf>
    <xf numFmtId="10" fontId="20" fillId="0" borderId="0" xfId="5" applyNumberFormat="1" applyFont="1" applyFill="1" applyBorder="1" applyAlignment="1">
      <alignment vertical="center"/>
    </xf>
    <xf numFmtId="164" fontId="29" fillId="0" borderId="0" xfId="6" applyFont="1" applyAlignment="1">
      <alignment vertical="center"/>
    </xf>
    <xf numFmtId="171" fontId="20" fillId="0" borderId="29" xfId="6" applyNumberFormat="1" applyFont="1" applyFill="1" applyBorder="1" applyAlignment="1">
      <alignment vertical="center"/>
    </xf>
    <xf numFmtId="41" fontId="29" fillId="0" borderId="29" xfId="10" applyFont="1" applyFill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3" fontId="29" fillId="0" borderId="2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10" fillId="0" borderId="0" xfId="0" applyFont="1" applyAlignment="1">
      <alignment vertical="center"/>
    </xf>
    <xf numFmtId="165" fontId="20" fillId="0" borderId="29" xfId="1" applyNumberFormat="1" applyFont="1" applyBorder="1" applyAlignment="1">
      <alignment vertical="center"/>
    </xf>
    <xf numFmtId="165" fontId="20" fillId="0" borderId="29" xfId="1" applyNumberFormat="1" applyFont="1" applyFill="1" applyBorder="1" applyAlignment="1">
      <alignment vertical="center"/>
    </xf>
    <xf numFmtId="165" fontId="29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29" fillId="0" borderId="29" xfId="1" applyNumberFormat="1" applyFont="1" applyFill="1" applyBorder="1" applyAlignment="1">
      <alignment vertical="center"/>
    </xf>
    <xf numFmtId="165" fontId="21" fillId="0" borderId="0" xfId="1" applyNumberFormat="1" applyFont="1" applyAlignment="1">
      <alignment vertical="center"/>
    </xf>
    <xf numFmtId="165" fontId="14" fillId="0" borderId="0" xfId="1" applyNumberFormat="1" applyFont="1" applyAlignment="1">
      <alignment vertical="center"/>
    </xf>
    <xf numFmtId="165" fontId="20" fillId="0" borderId="29" xfId="1" applyNumberFormat="1" applyFont="1" applyFill="1" applyBorder="1" applyAlignment="1">
      <alignment horizontal="right" vertical="center"/>
    </xf>
    <xf numFmtId="168" fontId="13" fillId="0" borderId="0" xfId="0" applyNumberFormat="1" applyFont="1"/>
    <xf numFmtId="177" fontId="2" fillId="0" borderId="0" xfId="10" applyNumberFormat="1" applyFont="1" applyFill="1"/>
    <xf numFmtId="3" fontId="2" fillId="0" borderId="0" xfId="0" applyNumberFormat="1" applyFont="1"/>
    <xf numFmtId="169" fontId="2" fillId="0" borderId="0" xfId="2" applyNumberFormat="1" applyFont="1" applyAlignment="1">
      <alignment horizontal="left" indent="1"/>
    </xf>
    <xf numFmtId="0" fontId="19" fillId="4" borderId="0" xfId="2" applyFont="1" applyFill="1" applyAlignment="1">
      <alignment horizontal="center" wrapText="1"/>
    </xf>
    <xf numFmtId="0" fontId="19" fillId="0" borderId="0" xfId="2" applyFont="1" applyAlignment="1">
      <alignment horizontal="center" wrapText="1"/>
    </xf>
    <xf numFmtId="0" fontId="19" fillId="4" borderId="0" xfId="0" applyFont="1" applyFill="1"/>
    <xf numFmtId="43" fontId="30" fillId="0" borderId="0" xfId="9" applyFont="1"/>
    <xf numFmtId="17" fontId="31" fillId="2" borderId="22" xfId="8" applyNumberFormat="1" applyFont="1" applyFill="1" applyBorder="1" applyAlignment="1" applyProtection="1">
      <alignment horizontal="left"/>
      <protection locked="0"/>
    </xf>
    <xf numFmtId="166" fontId="31" fillId="0" borderId="31" xfId="8" applyNumberFormat="1" applyFont="1" applyFill="1" applyBorder="1" applyAlignment="1" applyProtection="1">
      <alignment horizontal="right"/>
      <protection locked="0"/>
    </xf>
    <xf numFmtId="166" fontId="31" fillId="0" borderId="9" xfId="8" applyNumberFormat="1" applyFont="1" applyFill="1" applyBorder="1" applyAlignment="1" applyProtection="1">
      <alignment horizontal="right"/>
      <protection locked="0"/>
    </xf>
    <xf numFmtId="165" fontId="31" fillId="0" borderId="10" xfId="1" applyNumberFormat="1" applyFont="1" applyFill="1" applyBorder="1" applyAlignment="1" applyProtection="1">
      <alignment horizontal="right"/>
      <protection locked="0"/>
    </xf>
    <xf numFmtId="41" fontId="31" fillId="0" borderId="10" xfId="10" applyFont="1" applyFill="1" applyBorder="1" applyAlignment="1" applyProtection="1">
      <alignment horizontal="left"/>
      <protection locked="0"/>
    </xf>
    <xf numFmtId="165" fontId="31" fillId="0" borderId="32" xfId="1" applyNumberFormat="1" applyFont="1" applyFill="1" applyBorder="1" applyAlignment="1" applyProtection="1">
      <alignment horizontal="right"/>
      <protection locked="0"/>
    </xf>
    <xf numFmtId="166" fontId="31" fillId="0" borderId="25" xfId="8" applyNumberFormat="1" applyFont="1" applyFill="1" applyBorder="1" applyAlignment="1" applyProtection="1">
      <alignment horizontal="right"/>
      <protection locked="0"/>
    </xf>
    <xf numFmtId="165" fontId="31" fillId="0" borderId="26" xfId="1" applyNumberFormat="1" applyFont="1" applyFill="1" applyBorder="1" applyAlignment="1" applyProtection="1">
      <alignment horizontal="right"/>
      <protection locked="0"/>
    </xf>
    <xf numFmtId="41" fontId="31" fillId="0" borderId="27" xfId="1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10" fontId="31" fillId="0" borderId="10" xfId="1" applyNumberFormat="1" applyFont="1" applyFill="1" applyBorder="1" applyAlignment="1" applyProtection="1">
      <alignment horizontal="right"/>
      <protection locked="0"/>
    </xf>
    <xf numFmtId="10" fontId="31" fillId="0" borderId="32" xfId="1" applyNumberFormat="1" applyFont="1" applyFill="1" applyBorder="1" applyAlignment="1" applyProtection="1">
      <alignment horizontal="right"/>
      <protection locked="0"/>
    </xf>
    <xf numFmtId="10" fontId="31" fillId="0" borderId="26" xfId="1" applyNumberFormat="1" applyFont="1" applyFill="1" applyBorder="1" applyAlignment="1" applyProtection="1">
      <alignment horizontal="right"/>
      <protection locked="0"/>
    </xf>
    <xf numFmtId="0" fontId="2" fillId="5" borderId="0" xfId="0" applyFont="1" applyFill="1"/>
    <xf numFmtId="17" fontId="31" fillId="0" borderId="22" xfId="8" applyNumberFormat="1" applyFont="1" applyFill="1" applyBorder="1" applyAlignment="1" applyProtection="1">
      <alignment horizontal="left"/>
      <protection locked="0"/>
    </xf>
    <xf numFmtId="4" fontId="0" fillId="0" borderId="0" xfId="0" applyNumberFormat="1"/>
    <xf numFmtId="175" fontId="0" fillId="0" borderId="0" xfId="0" applyNumberFormat="1"/>
    <xf numFmtId="41" fontId="2" fillId="3" borderId="0" xfId="10" applyFont="1" applyFill="1"/>
    <xf numFmtId="41" fontId="3" fillId="3" borderId="0" xfId="10" applyFont="1" applyFill="1"/>
    <xf numFmtId="3" fontId="2" fillId="3" borderId="0" xfId="0" applyNumberFormat="1" applyFont="1" applyFill="1"/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32" fillId="0" borderId="0" xfId="0" pivotButton="1" applyFont="1" applyAlignment="1">
      <alignment vertical="center"/>
    </xf>
    <xf numFmtId="0" fontId="32" fillId="0" borderId="0" xfId="0" pivotButton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166" fontId="32" fillId="0" borderId="0" xfId="0" applyNumberFormat="1" applyFont="1" applyFill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9" fontId="32" fillId="0" borderId="0" xfId="0" applyNumberFormat="1" applyFont="1" applyFill="1" applyAlignment="1">
      <alignment horizontal="center" vertical="center"/>
    </xf>
    <xf numFmtId="0" fontId="32" fillId="0" borderId="34" xfId="0" applyFont="1" applyBorder="1" applyAlignment="1">
      <alignment horizontal="left" vertical="center"/>
    </xf>
    <xf numFmtId="9" fontId="32" fillId="0" borderId="34" xfId="0" applyNumberFormat="1" applyFont="1" applyFill="1" applyBorder="1" applyAlignment="1">
      <alignment horizontal="center" vertical="center"/>
    </xf>
    <xf numFmtId="166" fontId="32" fillId="0" borderId="34" xfId="0" applyNumberFormat="1" applyFont="1" applyFill="1" applyBorder="1" applyAlignment="1">
      <alignment vertical="center"/>
    </xf>
    <xf numFmtId="9" fontId="32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" fontId="32" fillId="0" borderId="0" xfId="0" applyNumberFormat="1" applyFont="1" applyAlignment="1">
      <alignment horizontal="center" vertical="center"/>
    </xf>
    <xf numFmtId="9" fontId="32" fillId="0" borderId="33" xfId="0" applyNumberFormat="1" applyFont="1" applyFill="1" applyBorder="1" applyAlignment="1">
      <alignment horizontal="center" vertical="center"/>
    </xf>
    <xf numFmtId="166" fontId="32" fillId="0" borderId="33" xfId="0" applyNumberFormat="1" applyFont="1" applyFill="1" applyBorder="1" applyAlignment="1">
      <alignment vertical="center"/>
    </xf>
    <xf numFmtId="0" fontId="32" fillId="0" borderId="33" xfId="0" applyFont="1" applyFill="1" applyBorder="1" applyAlignment="1">
      <alignment horizontal="left" vertical="center"/>
    </xf>
  </cellXfs>
  <cellStyles count="12">
    <cellStyle name="Millares" xfId="9" builtinId="3"/>
    <cellStyle name="Millares [0]" xfId="10" builtinId="6"/>
    <cellStyle name="Millares 2" xfId="8" xr:uid="{00000000-0005-0000-0000-000001000000}"/>
    <cellStyle name="Millares 28 2" xfId="6" xr:uid="{00000000-0005-0000-0000-000002000000}"/>
    <cellStyle name="Millares 3" xfId="3" xr:uid="{00000000-0005-0000-0000-000003000000}"/>
    <cellStyle name="Millares 9 2" xfId="11" xr:uid="{2806B156-1448-4BBC-B7E5-233487F738C9}"/>
    <cellStyle name="Normal" xfId="0" builtinId="0"/>
    <cellStyle name="Normal 11" xfId="2" xr:uid="{00000000-0005-0000-0000-000005000000}"/>
    <cellStyle name="Normal 11 2" xfId="4" xr:uid="{00000000-0005-0000-0000-000006000000}"/>
    <cellStyle name="Normal_Portafolio junta JULIO 31 de 2009" xfId="7" xr:uid="{00000000-0005-0000-0000-000007000000}"/>
    <cellStyle name="Porcentaje" xfId="1" builtinId="5"/>
    <cellStyle name="Porcentual 12" xfId="5" xr:uid="{00000000-0005-0000-0000-000009000000}"/>
  </cellStyles>
  <dxfs count="147">
    <dxf>
      <numFmt numFmtId="166" formatCode="_-* #,##0_-;\-* #,##0_-;_-* &quot;-&quot;??_-;_-@_-"/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fill>
        <patternFill patternType="none">
          <bgColor auto="1"/>
        </patternFill>
      </fill>
    </dxf>
    <dxf>
      <border>
        <horizontal/>
      </border>
    </dxf>
    <dxf>
      <border>
        <horizontal/>
      </border>
    </dxf>
    <dxf>
      <font>
        <b/>
        <family val="2"/>
      </font>
    </dxf>
    <dxf>
      <border>
        <bottom style="thin">
          <color indexed="64"/>
        </bottom>
      </border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theme="0"/>
      </font>
    </dxf>
    <dxf>
      <numFmt numFmtId="13" formatCode="0%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/>
      </border>
    </dxf>
    <dxf>
      <border>
        <top/>
      </border>
    </dxf>
    <dxf>
      <alignment horizontal="center"/>
    </dxf>
    <dxf>
      <numFmt numFmtId="13" formatCode="0%"/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13" formatCode="0%"/>
    </dxf>
    <dxf>
      <numFmt numFmtId="166" formatCode="_-* #,##0_-;\-* #,##0_-;_-* &quot;-&quot;??_-;_-@_-"/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fill>
        <patternFill patternType="none">
          <bgColor auto="1"/>
        </patternFill>
      </fill>
    </dxf>
    <dxf>
      <border>
        <horizontal/>
      </border>
    </dxf>
    <dxf>
      <border>
        <horizontal/>
      </border>
    </dxf>
    <dxf>
      <font>
        <b/>
        <family val="2"/>
      </font>
    </dxf>
    <dxf>
      <border>
        <bottom style="thin">
          <color indexed="64"/>
        </bottom>
      </border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color theme="0"/>
      </font>
    </dxf>
    <dxf>
      <numFmt numFmtId="13" formatCode="0%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/>
      </border>
    </dxf>
    <dxf>
      <border>
        <top/>
      </border>
    </dxf>
    <dxf>
      <alignment horizontal="center"/>
    </dxf>
    <dxf>
      <numFmt numFmtId="13" formatCode="0%"/>
    </dxf>
    <dxf>
      <alignment horizontal="center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numFmt numFmtId="13" formatCode="0%"/>
    </dxf>
    <dxf>
      <numFmt numFmtId="13" formatCode="0%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/>
    </dxf>
    <dxf>
      <numFmt numFmtId="13" formatCode="0%"/>
    </dxf>
    <dxf>
      <alignment horizontal="center"/>
    </dxf>
    <dxf>
      <border>
        <top/>
      </border>
    </dxf>
    <dxf>
      <border>
        <top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3" formatCode="0%"/>
    </dxf>
    <dxf>
      <font>
        <color theme="0"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bottom style="thin">
          <color indexed="64"/>
        </bottom>
      </border>
    </dxf>
    <dxf>
      <font>
        <b/>
        <family val="2"/>
      </font>
    </dxf>
    <dxf>
      <border>
        <horizontal/>
      </border>
    </dxf>
    <dxf>
      <border>
        <horizontal/>
      </border>
    </dxf>
    <dxf>
      <fill>
        <patternFill patternType="none">
          <bgColor auto="1"/>
        </patternFill>
      </fill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alignment horizontal="center"/>
    </dxf>
    <dxf>
      <alignment horizontal="center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numFmt numFmtId="166" formatCode="_-* #,##0_-;\-* #,##0_-;_-* &quot;-&quot;??_-;_-@_-"/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tted">
          <color auto="1"/>
        </top>
        <bottom style="dotted">
          <color auto="1"/>
        </bottom>
      </border>
    </dxf>
    <dxf>
      <border>
        <top/>
        <bottom/>
      </border>
    </dxf>
    <dxf>
      <font>
        <b/>
        <i val="0"/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dotted">
          <color auto="1"/>
        </bottom>
      </border>
    </dxf>
  </dxfs>
  <tableStyles count="1" defaultTableStyle="TableStyleMedium2" defaultPivotStyle="PivotStyleLight16">
    <tableStyle name="Estilo de tabla dinámica 1" table="0" count="6" xr9:uid="{00000000-0011-0000-FFFF-FFFF00000000}">
      <tableStyleElement type="wholeTable" dxfId="146"/>
      <tableStyleElement type="headerRow" dxfId="145"/>
      <tableStyleElement type="firstRowStripe" dxfId="144"/>
      <tableStyleElement type="firstColumnStripe" dxfId="143"/>
      <tableStyleElement type="pageFieldLabels" dxfId="142"/>
      <tableStyleElement type="pageFieldValues" dxfId="1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2334656</xdr:colOff>
      <xdr:row>3</xdr:row>
      <xdr:rowOff>97848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23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4282F79-1A35-4DD7-9B16-C7AF4D7A5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</xdr:row>
      <xdr:rowOff>180975</xdr:rowOff>
    </xdr:from>
    <xdr:ext cx="2505075" cy="695325"/>
    <xdr:pic>
      <xdr:nvPicPr>
        <xdr:cNvPr id="3" name="0 Imagen">
          <a:extLst>
            <a:ext uri="{FF2B5EF4-FFF2-40B4-BE49-F238E27FC236}">
              <a16:creationId xmlns:a16="http://schemas.microsoft.com/office/drawing/2014/main" id="{5D5A17A1-E485-44E8-BDEF-1A25A6AF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561975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7EE9A3D2-AD36-45C3-8585-A9B3FA109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5075" cy="695325"/>
    <xdr:pic>
      <xdr:nvPicPr>
        <xdr:cNvPr id="2" name="0 Imagen">
          <a:extLst>
            <a:ext uri="{FF2B5EF4-FFF2-40B4-BE49-F238E27FC236}">
              <a16:creationId xmlns:a16="http://schemas.microsoft.com/office/drawing/2014/main" id="{6C460FFB-AEEA-48F5-9DA3-893535A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243" b="35979"/>
        <a:stretch>
          <a:fillRect/>
        </a:stretch>
      </xdr:blipFill>
      <xdr:spPr bwMode="auto">
        <a:xfrm>
          <a:off x="0" y="0"/>
          <a:ext cx="2505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dro Pablo Cardona Agudelo" id="{4F7CEB18-2372-484C-B22D-63F858CFDD9B}" userId="S::pcardona65@summa-sci.com::572c3dff-b843-4d82-9e78-dd80eb477a3d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sana Gomez" refreshedDate="45785.656627777775" createdVersion="8" refreshedVersion="8" minRefreshableVersion="3" recordCount="435" xr:uid="{E85235B0-A1A2-4432-A879-8ADA2ECAFF7D}">
  <cacheSource type="worksheet">
    <worksheetSource ref="B7:G507" sheet="Datos"/>
  </cacheSource>
  <cacheFields count="6">
    <cacheField name="Inversiones listadas en BVC" numFmtId="0">
      <sharedItems containsBlank="1" count="16">
        <s v="BANCOLOMBIA S.A. ORDINARIA"/>
        <s v="BANCOLOMBIA S.A. PREFERENCIAL"/>
        <s v="CELSIA S.A. E.S.P."/>
        <s v="CEMENTOS ARGOS S.A. ORDINARIA"/>
        <s v="CEMENTOS ARGOS S.A. PREFERENCIAL"/>
        <s v="EMPRESA DE ENERGIA DEL PACIFICO S.A. ESP EPSA"/>
        <s v="GRUPO DE INVERSIONES SURAMERICANA S.A. ORDINARIA"/>
        <s v="GRUPO DE INVERSIONES SURAMERICANA S.A. PREFERENCIAL"/>
        <s v="GRUPO NUTRESA S.A."/>
        <s v="GRUPO ODINSA S.A"/>
        <s v="FCP PACTIA INMOBILIARIO"/>
        <s v="SOCIEDAD PORTAFOLIO"/>
        <s v="CEMENTOS ARGOS S.A."/>
        <s v="GRUPO DE INVERSIONES SURAMERICANA S.A. ORD. PROPIAS"/>
        <s v="GRUPO DE INVERSIONES SURAMERICANA S.A. ORD. PA Inhibidor"/>
        <m/>
      </sharedItems>
    </cacheField>
    <cacheField name=" # Acciones/unidades en el portafolio " numFmtId="0">
      <sharedItems containsString="0" containsBlank="1" containsNumber="1" minValue="0" maxValue="705930534"/>
    </cacheField>
    <cacheField name="% de Part. Política" numFmtId="0">
      <sharedItems containsString="0" containsBlank="1" containsNumber="1" minValue="0" maxValue="0.99943118690289201"/>
    </cacheField>
    <cacheField name="Precio _x000a_($/Acc.)" numFmtId="0">
      <sharedItems containsString="0" containsBlank="1" containsNumber="1" minValue="2579" maxValue="52430"/>
    </cacheField>
    <cacheField name="Total_x000a_$ millones" numFmtId="0">
      <sharedItems containsString="0" containsBlank="1" containsNumber="1" minValue="0" maxValue="8259894.6266400004"/>
    </cacheField>
    <cacheField name="Fecha" numFmtId="0">
      <sharedItems containsNonDate="0" containsDate="1" containsString="0" containsBlank="1" minDate="2013-06-01T00:00:00" maxDate="2025-04-01T00:00:00" count="49">
        <d v="2013-06-01T00:00:00"/>
        <d v="2013-09-01T00:00:00"/>
        <d v="2013-12-01T00:00:00"/>
        <d v="2014-03-01T00:00:00"/>
        <d v="2014-06-01T00:00:00"/>
        <d v="2014-09-01T00:00:00"/>
        <d v="2014-12-01T00:00:00"/>
        <d v="2015-03-01T00:00:00"/>
        <d v="2015-06-01T00:00:00"/>
        <d v="2015-09-01T00:00:00"/>
        <d v="2015-12-01T00:00:00"/>
        <d v="2016-03-01T00:00:00"/>
        <d v="2016-06-30T00:00:00"/>
        <d v="2016-09-01T00:00:00"/>
        <d v="2016-12-01T00:00:00"/>
        <d v="2017-03-31T00:00:00"/>
        <d v="2017-06-30T00:00:00"/>
        <d v="2017-09-30T00:00:00"/>
        <d v="2017-12-01T00:00:00"/>
        <d v="2018-03-01T00:00:00"/>
        <d v="2018-06-01T00:00:00"/>
        <d v="2018-09-01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03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5">
  <r>
    <x v="0"/>
    <n v="12701958"/>
    <n v="2.4920234972813194E-2"/>
    <m/>
    <n v="335331.6912"/>
    <x v="0"/>
  </r>
  <r>
    <x v="1"/>
    <n v="0"/>
    <n v="0"/>
    <m/>
    <n v="0"/>
    <x v="0"/>
  </r>
  <r>
    <x v="2"/>
    <n v="361051665"/>
    <n v="0.50175019750981298"/>
    <m/>
    <n v="1751100.57525"/>
    <x v="0"/>
  </r>
  <r>
    <x v="3"/>
    <n v="698806652"/>
    <n v="0.60677559574216033"/>
    <m/>
    <n v="5576477.0829600003"/>
    <x v="0"/>
  </r>
  <r>
    <x v="4"/>
    <n v="0"/>
    <n v="0"/>
    <m/>
    <n v="0"/>
    <x v="0"/>
  </r>
  <r>
    <x v="5"/>
    <n v="41134405"/>
    <n v="0.11864506386706992"/>
    <m/>
    <n v="370209.64500000002"/>
    <x v="0"/>
  </r>
  <r>
    <x v="6"/>
    <n v="136998942"/>
    <n v="0.29208541342749617"/>
    <m/>
    <n v="5123760.4308000002"/>
    <x v="0"/>
  </r>
  <r>
    <x v="7"/>
    <n v="9540781"/>
    <n v="8.9723806836883441E-2"/>
    <m/>
    <n v="361977.23113999999"/>
    <x v="0"/>
  </r>
  <r>
    <x v="8"/>
    <n v="45243781"/>
    <n v="9.8329655255264117E-2"/>
    <m/>
    <n v="1084945.8683800001"/>
    <x v="0"/>
  </r>
  <r>
    <x v="0"/>
    <n v="12701958"/>
    <n v="2.4920234972813194E-2"/>
    <m/>
    <n v="341682.67019999999"/>
    <x v="1"/>
  </r>
  <r>
    <x v="1"/>
    <n v="0"/>
    <n v="0"/>
    <m/>
    <n v="0"/>
    <x v="1"/>
  </r>
  <r>
    <x v="2"/>
    <n v="361051665"/>
    <n v="0.50175019750981298"/>
    <m/>
    <n v="2242130.83965"/>
    <x v="1"/>
  </r>
  <r>
    <x v="3"/>
    <n v="698806652"/>
    <n v="0.60677559574216033"/>
    <m/>
    <n v="6988066.5199999996"/>
    <x v="1"/>
  </r>
  <r>
    <x v="4"/>
    <n v="0"/>
    <n v="0"/>
    <m/>
    <n v="0"/>
    <x v="1"/>
  </r>
  <r>
    <x v="5"/>
    <n v="41134405"/>
    <n v="0.11864506386706992"/>
    <m/>
    <n v="370209.64500000002"/>
    <x v="1"/>
  </r>
  <r>
    <x v="6"/>
    <n v="136998942"/>
    <n v="0.29208541342749617"/>
    <m/>
    <n v="5222399.6690400001"/>
    <x v="1"/>
  </r>
  <r>
    <x v="7"/>
    <n v="8840781"/>
    <n v="8.3140866847341635E-2"/>
    <m/>
    <n v="340900.51536000002"/>
    <x v="1"/>
  </r>
  <r>
    <x v="8"/>
    <n v="45243781"/>
    <n v="9.8329655255264117E-2"/>
    <m/>
    <n v="1231535.7188200001"/>
    <x v="1"/>
  </r>
  <r>
    <x v="0"/>
    <n v="12701958"/>
    <n v="2.4920234972813194E-2"/>
    <m/>
    <n v="302560.63955999998"/>
    <x v="2"/>
  </r>
  <r>
    <x v="1"/>
    <n v="0"/>
    <n v="0"/>
    <m/>
    <n v="0"/>
    <x v="2"/>
  </r>
  <r>
    <x v="2"/>
    <n v="361051665"/>
    <n v="0.50175019750981298"/>
    <m/>
    <n v="2050773.4572000001"/>
    <x v="2"/>
  </r>
  <r>
    <x v="3"/>
    <n v="698806652"/>
    <n v="0.60677559574216033"/>
    <m/>
    <n v="6848305.1896000002"/>
    <x v="2"/>
  </r>
  <r>
    <x v="4"/>
    <n v="0"/>
    <n v="0"/>
    <m/>
    <n v="0"/>
    <x v="2"/>
  </r>
  <r>
    <x v="5"/>
    <n v="41134405"/>
    <n v="0.11864506386706992"/>
    <m/>
    <n v="370209.64500000002"/>
    <x v="2"/>
  </r>
  <r>
    <x v="6"/>
    <n v="136998942"/>
    <n v="0.29208541342749617"/>
    <m/>
    <n v="4616864.3454"/>
    <x v="2"/>
  </r>
  <r>
    <x v="7"/>
    <n v="8840781"/>
    <n v="8.3140866847341635E-2"/>
    <m/>
    <n v="309250.51938000001"/>
    <x v="2"/>
  </r>
  <r>
    <x v="8"/>
    <n v="45243781"/>
    <n v="9.8329655255264117E-2"/>
    <m/>
    <n v="1196245.5696399999"/>
    <x v="2"/>
  </r>
  <r>
    <x v="0"/>
    <n v="12701958"/>
    <n v="2.4920234972813194E-2"/>
    <m/>
    <n v="342190.74852000002"/>
    <x v="3"/>
  </r>
  <r>
    <x v="1"/>
    <n v="0"/>
    <n v="0"/>
    <m/>
    <n v="0"/>
    <x v="3"/>
  </r>
  <r>
    <x v="2"/>
    <n v="376704138"/>
    <n v="0.52350229611671739"/>
    <m/>
    <n v="2218787.3728200002"/>
    <x v="3"/>
  </r>
  <r>
    <x v="3"/>
    <n v="698806652"/>
    <n v="0.60677559574216033"/>
    <m/>
    <n v="7043971.0521600004"/>
    <x v="3"/>
  </r>
  <r>
    <x v="4"/>
    <n v="0"/>
    <n v="0"/>
    <m/>
    <n v="0"/>
    <x v="3"/>
  </r>
  <r>
    <x v="5"/>
    <n v="41134405"/>
    <n v="0.11864506386706992"/>
    <m/>
    <n v="370209.64500000002"/>
    <x v="3"/>
  </r>
  <r>
    <x v="6"/>
    <n v="137998942"/>
    <n v="0.29421744020933432"/>
    <m/>
    <n v="5036961.3830000004"/>
    <x v="3"/>
  </r>
  <r>
    <x v="7"/>
    <n v="7828636"/>
    <n v="7.3622407711751409E-2"/>
    <m/>
    <n v="288093.80479999998"/>
    <x v="3"/>
  </r>
  <r>
    <x v="8"/>
    <n v="45243781"/>
    <n v="9.8329655255264117E-2"/>
    <m/>
    <n v="1234250.34568"/>
    <x v="3"/>
  </r>
  <r>
    <x v="0"/>
    <n v="12701958"/>
    <n v="2.4920234972813194E-2"/>
    <m/>
    <n v="337109.96532000002"/>
    <x v="4"/>
  </r>
  <r>
    <x v="1"/>
    <n v="0"/>
    <n v="0"/>
    <m/>
    <n v="0"/>
    <x v="4"/>
  </r>
  <r>
    <x v="2"/>
    <n v="376704138"/>
    <n v="0.52350229611671739"/>
    <m/>
    <n v="2297895.2418"/>
    <x v="4"/>
  </r>
  <r>
    <x v="3"/>
    <n v="698806652"/>
    <n v="0.51349987128823515"/>
    <m/>
    <n v="8259894.6266400004"/>
    <x v="4"/>
  </r>
  <r>
    <x v="4"/>
    <n v="0"/>
    <n v="0"/>
    <m/>
    <n v="0"/>
    <x v="4"/>
  </r>
  <r>
    <x v="5"/>
    <n v="41134405"/>
    <n v="0.11864506386706992"/>
    <m/>
    <n v="370209.64500000002"/>
    <x v="4"/>
  </r>
  <r>
    <x v="6"/>
    <n v="137998942"/>
    <n v="0.29421744020933432"/>
    <m/>
    <n v="5506157.7857999997"/>
    <x v="4"/>
  </r>
  <r>
    <x v="7"/>
    <n v="4253767"/>
    <n v="4.0003465276044717E-2"/>
    <m/>
    <n v="169299.92660000001"/>
    <x v="4"/>
  </r>
  <r>
    <x v="8"/>
    <n v="45243781"/>
    <n v="9.8329655255264117E-2"/>
    <m/>
    <n v="1249633.23122"/>
    <x v="4"/>
  </r>
  <r>
    <x v="0"/>
    <n v="12701958"/>
    <n v="2.4920234972813194E-2"/>
    <m/>
    <n v="351590.19744000002"/>
    <x v="5"/>
  </r>
  <r>
    <x v="1"/>
    <n v="0"/>
    <n v="0"/>
    <m/>
    <n v="0"/>
    <x v="5"/>
  </r>
  <r>
    <x v="2"/>
    <n v="376704138"/>
    <n v="0.52350229611671739"/>
    <m/>
    <n v="2290361.1590399998"/>
    <x v="5"/>
  </r>
  <r>
    <x v="3"/>
    <n v="698806652"/>
    <n v="0.60677559574216033"/>
    <m/>
    <n v="7547111.8415999999"/>
    <x v="5"/>
  </r>
  <r>
    <x v="4"/>
    <n v="0"/>
    <n v="0"/>
    <m/>
    <n v="0"/>
    <x v="5"/>
  </r>
  <r>
    <x v="5"/>
    <n v="41134405"/>
    <n v="0.11864506386706992"/>
    <m/>
    <n v="370209.64500000002"/>
    <x v="5"/>
  </r>
  <r>
    <x v="6"/>
    <n v="137498942"/>
    <n v="0.29315142681841522"/>
    <m/>
    <n v="5587957.0028799996"/>
    <x v="5"/>
  </r>
  <r>
    <x v="7"/>
    <n v="2519207"/>
    <n v="2.3691238788506468E-2"/>
    <m/>
    <n v="102027.8835"/>
    <x v="5"/>
  </r>
  <r>
    <x v="8"/>
    <n v="45243781"/>
    <n v="9.8329655255264117E-2"/>
    <m/>
    <n v="1253252.7337"/>
    <x v="5"/>
  </r>
  <r>
    <x v="0"/>
    <n v="12701958"/>
    <n v="2.4920234972813194E-2"/>
    <m/>
    <n v="351082.11911999999"/>
    <x v="6"/>
  </r>
  <r>
    <x v="1"/>
    <n v="0"/>
    <n v="0"/>
    <m/>
    <n v="0"/>
    <x v="6"/>
  </r>
  <r>
    <x v="2"/>
    <n v="376729138"/>
    <n v="0.52353703838812538"/>
    <m/>
    <n v="2211400.04006"/>
    <x v="6"/>
  </r>
  <r>
    <x v="3"/>
    <n v="698806652"/>
    <n v="0.60677559574216033"/>
    <m/>
    <n v="7127827.8503999999"/>
    <x v="6"/>
  </r>
  <r>
    <x v="4"/>
    <n v="0"/>
    <n v="0"/>
    <m/>
    <n v="0"/>
    <x v="6"/>
  </r>
  <r>
    <x v="5"/>
    <n v="41134405"/>
    <n v="0.11864506386706992"/>
    <m/>
    <n v="370209.64500000002"/>
    <x v="6"/>
  </r>
  <r>
    <x v="6"/>
    <n v="137498942"/>
    <n v="0.29315142681841522"/>
    <m/>
    <n v="5499957.6799999997"/>
    <x v="6"/>
  </r>
  <r>
    <x v="7"/>
    <n v="2519207"/>
    <n v="2.3691238788506468E-2"/>
    <m/>
    <n v="99508.676500000001"/>
    <x v="6"/>
  </r>
  <r>
    <x v="8"/>
    <n v="45243781"/>
    <n v="9.8329655255264117E-2"/>
    <m/>
    <n v="1293972.1366000001"/>
    <x v="6"/>
  </r>
  <r>
    <x v="0"/>
    <n v="12701958"/>
    <n v="2.4920234972813194E-2"/>
    <m/>
    <n v="311197.97100000002"/>
    <x v="7"/>
  </r>
  <r>
    <x v="1"/>
    <n v="0"/>
    <n v="0"/>
    <m/>
    <n v="0"/>
    <x v="7"/>
  </r>
  <r>
    <x v="2"/>
    <n v="376729138"/>
    <n v="0.52353703838812538"/>
    <m/>
    <n v="1819601.73654"/>
    <x v="7"/>
  </r>
  <r>
    <x v="3"/>
    <n v="698806652"/>
    <n v="0.60677559574216033"/>
    <m/>
    <n v="5960820.74156"/>
    <x v="7"/>
  </r>
  <r>
    <x v="4"/>
    <n v="0"/>
    <n v="0"/>
    <m/>
    <n v="0"/>
    <x v="7"/>
  </r>
  <r>
    <x v="5"/>
    <n v="41134405"/>
    <n v="0.11864506386706992"/>
    <m/>
    <n v="370209.64500000002"/>
    <x v="7"/>
  </r>
  <r>
    <x v="6"/>
    <n v="137498942"/>
    <n v="0.29315142681841522"/>
    <m/>
    <n v="4614464.49352"/>
    <x v="7"/>
  </r>
  <r>
    <x v="7"/>
    <n v="2519207"/>
    <n v="2.3691238788506468E-2"/>
    <m/>
    <n v="84393.434500000003"/>
    <x v="7"/>
  </r>
  <r>
    <x v="8"/>
    <n v="45243781"/>
    <n v="9.8329655255264117E-2"/>
    <m/>
    <n v="1036082.5849"/>
    <x v="7"/>
  </r>
  <r>
    <x v="0"/>
    <n v="7701958"/>
    <n v="1.5110631220063737E-2"/>
    <m/>
    <n v="205642.27859999999"/>
    <x v="8"/>
  </r>
  <r>
    <x v="1"/>
    <n v="0"/>
    <n v="0"/>
    <m/>
    <n v="0"/>
    <x v="8"/>
  </r>
  <r>
    <x v="2"/>
    <n v="376729138"/>
    <n v="0.52353703838812538"/>
    <m/>
    <n v="1595447.89943"/>
    <x v="8"/>
  </r>
  <r>
    <x v="3"/>
    <n v="698806652"/>
    <n v="0.60677559574216033"/>
    <m/>
    <n v="6463961.5310000004"/>
    <x v="8"/>
  </r>
  <r>
    <x v="4"/>
    <n v="0"/>
    <n v="0"/>
    <m/>
    <n v="0"/>
    <x v="8"/>
  </r>
  <r>
    <x v="5"/>
    <n v="41134405"/>
    <n v="0.11864506386706992"/>
    <m/>
    <n v="370209.64500000002"/>
    <x v="8"/>
  </r>
  <r>
    <x v="6"/>
    <n v="134795646"/>
    <n v="0.28738792734717922"/>
    <m/>
    <n v="4990134.8149199998"/>
    <x v="8"/>
  </r>
  <r>
    <x v="7"/>
    <n v="2219207"/>
    <n v="2.0869965412975221E-2"/>
    <m/>
    <n v="80779.1348"/>
    <x v="8"/>
  </r>
  <r>
    <x v="8"/>
    <n v="45243781"/>
    <n v="9.8329655255264117E-2"/>
    <m/>
    <n v="1036082.5849"/>
    <x v="8"/>
  </r>
  <r>
    <x v="9"/>
    <n v="97631317"/>
    <n v="0.49800901863140207"/>
    <m/>
    <n v="876729.22666000004"/>
    <x v="8"/>
  </r>
  <r>
    <x v="0"/>
    <n v="7701958"/>
    <n v="1.5110631220063737E-2"/>
    <m/>
    <n v="182690.44375999999"/>
    <x v="9"/>
  </r>
  <r>
    <x v="1"/>
    <n v="0"/>
    <n v="0"/>
    <m/>
    <n v="0"/>
    <x v="9"/>
  </r>
  <r>
    <x v="2"/>
    <n v="377944051"/>
    <n v="0.52522539187545036"/>
    <m/>
    <n v="1349260.2620699999"/>
    <x v="9"/>
  </r>
  <r>
    <x v="3"/>
    <n v="637323670"/>
    <n v="0.55338976587880284"/>
    <m/>
    <n v="6016335.4447999997"/>
    <x v="9"/>
  </r>
  <r>
    <x v="4"/>
    <n v="0"/>
    <n v="0"/>
    <m/>
    <n v="0"/>
    <x v="9"/>
  </r>
  <r>
    <x v="5"/>
    <n v="41134405"/>
    <n v="0.11864506386706992"/>
    <m/>
    <n v="370209.64500000002"/>
    <x v="9"/>
  </r>
  <r>
    <x v="6"/>
    <n v="134795646"/>
    <n v="0.28738792734717922"/>
    <m/>
    <n v="4836467.7784799999"/>
    <x v="9"/>
  </r>
  <r>
    <x v="7"/>
    <n v="2219207"/>
    <n v="2.0869965412975221E-2"/>
    <m/>
    <n v="78559.927800000005"/>
    <x v="9"/>
  </r>
  <r>
    <x v="8"/>
    <n v="45243781"/>
    <n v="9.8329655255264117E-2"/>
    <m/>
    <n v="940165.76917999994"/>
    <x v="9"/>
  </r>
  <r>
    <x v="9"/>
    <n v="107335635"/>
    <n v="0.54750991682851491"/>
    <m/>
    <n v="966020.71499999997"/>
    <x v="9"/>
  </r>
  <r>
    <x v="0"/>
    <n v="7701958"/>
    <n v="1.5110631220063737E-2"/>
    <m/>
    <n v="161587.07884"/>
    <x v="10"/>
  </r>
  <r>
    <x v="1"/>
    <n v="0"/>
    <n v="0"/>
    <m/>
    <n v="0"/>
    <x v="10"/>
  </r>
  <r>
    <x v="2"/>
    <n v="377944051"/>
    <n v="0.52522539187545036"/>
    <m/>
    <n v="1058243.3428"/>
    <x v="10"/>
  </r>
  <r>
    <x v="3"/>
    <n v="637323670"/>
    <n v="0.55338976587880284"/>
    <m/>
    <n v="6194786.0723999999"/>
    <x v="10"/>
  </r>
  <r>
    <x v="4"/>
    <n v="0"/>
    <n v="0"/>
    <m/>
    <n v="0"/>
    <x v="10"/>
  </r>
  <r>
    <x v="5"/>
    <n v="41134405"/>
    <n v="0.11864506386706992"/>
    <m/>
    <n v="370209.64500000002"/>
    <x v="10"/>
  </r>
  <r>
    <x v="6"/>
    <n v="134795646"/>
    <n v="0.28738792734717922"/>
    <m/>
    <n v="4812204.5621999996"/>
    <x v="10"/>
  </r>
  <r>
    <x v="7"/>
    <n v="2219207"/>
    <n v="2.0869965412975221E-2"/>
    <m/>
    <n v="77228.403600000005"/>
    <x v="10"/>
  </r>
  <r>
    <x v="8"/>
    <n v="45243781"/>
    <n v="9.8329655255264117E-2"/>
    <m/>
    <n v="1023414.32622"/>
    <x v="10"/>
  </r>
  <r>
    <x v="9"/>
    <n v="107335635"/>
    <n v="0.54749999977046304"/>
    <m/>
    <n v="912352.89749999996"/>
    <x v="10"/>
  </r>
  <r>
    <x v="0"/>
    <n v="7701958"/>
    <n v="1.5110631220063737E-2"/>
    <m/>
    <n v="190238.36259999999"/>
    <x v="11"/>
  </r>
  <r>
    <x v="1"/>
    <n v="0"/>
    <n v="0"/>
    <m/>
    <n v="0"/>
    <x v="11"/>
  </r>
  <r>
    <x v="2"/>
    <n v="377944051"/>
    <n v="0.52522539187545036"/>
    <m/>
    <n v="1470202.35839"/>
    <x v="11"/>
  </r>
  <r>
    <x v="3"/>
    <n v="637323670"/>
    <n v="0.55338976587880284"/>
    <m/>
    <n v="7405701.0454000002"/>
    <x v="11"/>
  </r>
  <r>
    <x v="4"/>
    <n v="0"/>
    <n v="0"/>
    <m/>
    <n v="0"/>
    <x v="11"/>
  </r>
  <r>
    <x v="5"/>
    <n v="41134405"/>
    <n v="0.11864506386706992"/>
    <m/>
    <n v="370209.64500000002"/>
    <x v="11"/>
  </r>
  <r>
    <x v="6"/>
    <n v="134795646"/>
    <n v="0.28738792734717922"/>
    <m/>
    <n v="5378346.2753999997"/>
    <x v="11"/>
  </r>
  <r>
    <x v="7"/>
    <n v="2219207"/>
    <n v="2.0869965412975221E-2"/>
    <m/>
    <n v="86992.914399999994"/>
    <x v="11"/>
  </r>
  <r>
    <x v="8"/>
    <n v="45243781"/>
    <n v="9.8329655255264117E-2"/>
    <m/>
    <n v="1153716.4154999999"/>
    <x v="11"/>
  </r>
  <r>
    <x v="9"/>
    <n v="107335635"/>
    <n v="0.54749999977046304"/>
    <m/>
    <n v="933820.02450000006"/>
    <x v="11"/>
  </r>
  <r>
    <x v="0"/>
    <n v="7701958"/>
    <n v="1.5110631220063737E-2"/>
    <m/>
    <n v="187157.57939999999"/>
    <x v="12"/>
  </r>
  <r>
    <x v="1"/>
    <m/>
    <m/>
    <m/>
    <m/>
    <x v="12"/>
  </r>
  <r>
    <x v="2"/>
    <n v="391683307"/>
    <n v="0.52932139831770031"/>
    <m/>
    <n v="1474687.6508549999"/>
    <x v="12"/>
  </r>
  <r>
    <x v="3"/>
    <n v="637323670"/>
    <n v="0.55338976587880284"/>
    <m/>
    <n v="7329222.2050000001"/>
    <x v="12"/>
  </r>
  <r>
    <x v="4"/>
    <m/>
    <m/>
    <m/>
    <m/>
    <x v="12"/>
  </r>
  <r>
    <x v="5"/>
    <n v="41134405"/>
    <n v="0.11864506386706992"/>
    <m/>
    <n v="370209.64500000002"/>
    <x v="12"/>
  </r>
  <r>
    <x v="6"/>
    <n v="134795646"/>
    <n v="0.28738792734717922"/>
    <m/>
    <n v="5165369.15472"/>
    <x v="12"/>
  </r>
  <r>
    <x v="7"/>
    <n v="2219207"/>
    <n v="2.0869965412975221E-2"/>
    <m/>
    <n v="83264.646640000006"/>
    <x v="12"/>
  </r>
  <r>
    <x v="8"/>
    <n v="45243781"/>
    <n v="9.8329655255264117E-2"/>
    <m/>
    <n v="1141048.1568199999"/>
    <x v="12"/>
  </r>
  <r>
    <x v="9"/>
    <n v="107335635"/>
    <n v="0.54749999977046304"/>
    <m/>
    <n v="942406.87529999996"/>
    <x v="12"/>
  </r>
  <r>
    <x v="0"/>
    <n v="180"/>
    <n v="3.531457350989804E-7"/>
    <m/>
    <n v="4.6980000000000004"/>
    <x v="13"/>
  </r>
  <r>
    <x v="1"/>
    <m/>
    <m/>
    <m/>
    <m/>
    <x v="13"/>
  </r>
  <r>
    <x v="2"/>
    <n v="391683307"/>
    <n v="0.52932139831770031"/>
    <m/>
    <n v="1547149.06265"/>
    <x v="13"/>
  </r>
  <r>
    <x v="3"/>
    <n v="637323670"/>
    <n v="0.55338976587880284"/>
    <m/>
    <n v="7316475.7315999996"/>
    <x v="13"/>
  </r>
  <r>
    <x v="4"/>
    <m/>
    <m/>
    <m/>
    <m/>
    <x v="13"/>
  </r>
  <r>
    <x v="5"/>
    <n v="41134405"/>
    <n v="0.11864506386706992"/>
    <m/>
    <n v="370209.64500000002"/>
    <x v="13"/>
  </r>
  <r>
    <x v="6"/>
    <n v="134795646"/>
    <n v="0.28738792734717922"/>
    <m/>
    <n v="5071012.2025199998"/>
    <x v="13"/>
  </r>
  <r>
    <x v="7"/>
    <m/>
    <m/>
    <m/>
    <m/>
    <x v="13"/>
  </r>
  <r>
    <x v="8"/>
    <n v="45243781"/>
    <n v="9.8329655255264117E-2"/>
    <m/>
    <n v="1146477.4105400001"/>
    <x v="13"/>
  </r>
  <r>
    <x v="9"/>
    <n v="107335635"/>
    <n v="0.54749999977046304"/>
    <m/>
    <n v="966020.71499999997"/>
    <x v="13"/>
  </r>
  <r>
    <x v="0"/>
    <n v="0"/>
    <n v="0"/>
    <m/>
    <n v="0"/>
    <x v="14"/>
  </r>
  <r>
    <x v="1"/>
    <n v="0"/>
    <n v="0"/>
    <m/>
    <n v="0"/>
    <x v="14"/>
  </r>
  <r>
    <x v="2"/>
    <n v="391683307"/>
    <n v="0.52932139831770031"/>
    <m/>
    <n v="1576525.3106750001"/>
    <x v="14"/>
  </r>
  <r>
    <x v="3"/>
    <n v="637323670"/>
    <n v="0.55338976587880284"/>
    <m/>
    <n v="7558658.7262000004"/>
    <x v="14"/>
  </r>
  <r>
    <x v="4"/>
    <n v="0"/>
    <n v="0"/>
    <m/>
    <n v="0"/>
    <x v="14"/>
  </r>
  <r>
    <x v="5"/>
    <n v="41134405"/>
    <n v="0.11864506386706992"/>
    <m/>
    <n v="370209.64500000002"/>
    <x v="14"/>
  </r>
  <r>
    <x v="6"/>
    <n v="129721643"/>
    <n v="0.27657001706005191"/>
    <m/>
    <n v="4955366.7626"/>
    <x v="14"/>
  </r>
  <r>
    <x v="7"/>
    <n v="0"/>
    <n v="0"/>
    <m/>
    <n v="0"/>
    <x v="14"/>
  </r>
  <r>
    <x v="8"/>
    <n v="45243781"/>
    <n v="9.8329655255264117E-2"/>
    <m/>
    <n v="1126570.1469000001"/>
    <x v="14"/>
  </r>
  <r>
    <x v="9"/>
    <n v="193205716"/>
    <n v="0.98550802318029929"/>
    <m/>
    <n v="1800677.27312"/>
    <x v="14"/>
  </r>
  <r>
    <x v="0"/>
    <n v="0"/>
    <n v="0"/>
    <m/>
    <n v="0"/>
    <x v="15"/>
  </r>
  <r>
    <x v="1"/>
    <n v="0"/>
    <n v="0"/>
    <m/>
    <n v="0"/>
    <x v="15"/>
  </r>
  <r>
    <x v="2"/>
    <n v="391683307"/>
    <n v="0.52932139831770031"/>
    <m/>
    <n v="1715573"/>
    <x v="15"/>
  </r>
  <r>
    <x v="3"/>
    <n v="637323670"/>
    <n v="0.55338976587880284"/>
    <m/>
    <n v="7520419"/>
    <x v="15"/>
  </r>
  <r>
    <x v="4"/>
    <n v="0"/>
    <n v="0"/>
    <m/>
    <n v="0"/>
    <x v="15"/>
  </r>
  <r>
    <x v="5"/>
    <n v="41134405"/>
    <n v="0.11864506386706992"/>
    <m/>
    <n v="370210"/>
    <x v="15"/>
  </r>
  <r>
    <x v="6"/>
    <n v="129721643"/>
    <n v="0.27657001706005191"/>
    <m/>
    <n v="5069521.8084399998"/>
    <x v="15"/>
  </r>
  <r>
    <x v="7"/>
    <n v="0"/>
    <n v="0"/>
    <m/>
    <n v="0"/>
    <x v="15"/>
  </r>
  <r>
    <x v="8"/>
    <n v="45243781"/>
    <n v="9.8329655255264117E-2"/>
    <m/>
    <n v="1103043.38078"/>
    <x v="15"/>
  </r>
  <r>
    <x v="9"/>
    <n v="193205716"/>
    <n v="0.98550802318029929"/>
    <m/>
    <n v="1642248.5859999999"/>
    <x v="15"/>
  </r>
  <r>
    <x v="2"/>
    <n v="391683307"/>
    <n v="0.52932139831770031"/>
    <m/>
    <n v="1801743.2122"/>
    <x v="16"/>
  </r>
  <r>
    <x v="3"/>
    <n v="637323670"/>
    <n v="0.55338976587880284"/>
    <m/>
    <n v="7545912.2527999999"/>
    <x v="16"/>
  </r>
  <r>
    <x v="4"/>
    <n v="0"/>
    <n v="0"/>
    <m/>
    <n v="0"/>
    <x v="16"/>
  </r>
  <r>
    <x v="5"/>
    <n v="41134405"/>
    <n v="0.11864506386706992"/>
    <m/>
    <n v="370209.64500000002"/>
    <x v="16"/>
  </r>
  <r>
    <x v="6"/>
    <n v="129721643"/>
    <n v="0.27657001706005191"/>
    <m/>
    <n v="5136977.0628000004"/>
    <x v="16"/>
  </r>
  <r>
    <x v="7"/>
    <n v="0"/>
    <n v="0"/>
    <m/>
    <n v="0"/>
    <x v="16"/>
  </r>
  <r>
    <x v="8"/>
    <n v="45243781"/>
    <n v="9.8329655255264117E-2"/>
    <m/>
    <n v="1194435.8184"/>
    <x v="16"/>
  </r>
  <r>
    <x v="9"/>
    <n v="193285369"/>
    <n v="0.98591431897835102"/>
    <m/>
    <n v="1720239.7841"/>
    <x v="16"/>
  </r>
  <r>
    <x v="2"/>
    <n v="391683307"/>
    <n v="0.52932139831770031"/>
    <m/>
    <n v="1758658.04843"/>
    <x v="17"/>
  </r>
  <r>
    <x v="3"/>
    <n v="637323670"/>
    <n v="0.55338976587880284"/>
    <m/>
    <n v="7074292.7369999997"/>
    <x v="17"/>
  </r>
  <r>
    <x v="4"/>
    <n v="0"/>
    <n v="0"/>
    <m/>
    <n v="0"/>
    <x v="17"/>
  </r>
  <r>
    <x v="5"/>
    <n v="41134405"/>
    <n v="0.11864506386706992"/>
    <m/>
    <n v="370209.64500000002"/>
    <x v="17"/>
  </r>
  <r>
    <x v="6"/>
    <n v="129721643"/>
    <n v="0.27657001706005191"/>
    <m/>
    <n v="5009849.8526600003"/>
    <x v="17"/>
  </r>
  <r>
    <x v="7"/>
    <n v="0"/>
    <n v="0"/>
    <m/>
    <n v="0"/>
    <x v="17"/>
  </r>
  <r>
    <x v="8"/>
    <n v="45243781"/>
    <n v="9.8329655255264117E-2"/>
    <m/>
    <n v="1222486.9626199999"/>
    <x v="17"/>
  </r>
  <r>
    <x v="9"/>
    <n v="195471461"/>
    <n v="0.99706518578505698"/>
    <m/>
    <n v="1896073.1717000001"/>
    <x v="17"/>
  </r>
  <r>
    <x v="2"/>
    <n v="391683307"/>
    <n v="0.52932139831770031"/>
    <m/>
    <n v="1843986.2568599503"/>
    <x v="18"/>
  </r>
  <r>
    <x v="3"/>
    <n v="637323670"/>
    <n v="0.55338976587880284"/>
    <m/>
    <n v="7341968.6783999996"/>
    <x v="18"/>
  </r>
  <r>
    <x v="4"/>
    <n v="0"/>
    <n v="0"/>
    <m/>
    <n v="0"/>
    <x v="18"/>
  </r>
  <r>
    <x v="5"/>
    <n v="41134405"/>
    <n v="0.11864506386706992"/>
    <m/>
    <n v="777440.25450000004"/>
    <x v="18"/>
  </r>
  <r>
    <x v="6"/>
    <n v="129721643"/>
    <n v="0.27657001706005191"/>
    <m/>
    <n v="5227782.2128999997"/>
    <x v="18"/>
  </r>
  <r>
    <x v="7"/>
    <n v="0"/>
    <n v="0"/>
    <m/>
    <n v="0"/>
    <x v="18"/>
  </r>
  <r>
    <x v="8"/>
    <n v="45243781"/>
    <n v="9.8329655255264117E-2"/>
    <m/>
    <n v="1258681.9874199999"/>
    <x v="18"/>
  </r>
  <r>
    <x v="9"/>
    <n v="195471461"/>
    <n v="0.99706518578505698"/>
    <m/>
    <n v="1690481.0012999999"/>
    <x v="18"/>
  </r>
  <r>
    <x v="2"/>
    <n v="566360307"/>
    <n v="0.52932227549455446"/>
    <m/>
    <n v="2557116.7861049999"/>
    <x v="19"/>
  </r>
  <r>
    <x v="3"/>
    <n v="667746710"/>
    <n v="0.57980616899610971"/>
    <m/>
    <n v="6470465.6199000003"/>
    <x v="19"/>
  </r>
  <r>
    <x v="4"/>
    <n v="0"/>
    <n v="0"/>
    <m/>
    <n v="0"/>
    <x v="19"/>
  </r>
  <r>
    <x v="5"/>
    <n v="6499405"/>
    <n v="1.8746407571057697E-2"/>
    <m/>
    <n v="122838.7545"/>
    <x v="19"/>
  </r>
  <r>
    <x v="6"/>
    <n v="129721643"/>
    <n v="0.27657001706005191"/>
    <m/>
    <n v="4836022.8510400001"/>
    <x v="19"/>
  </r>
  <r>
    <x v="7"/>
    <n v="0"/>
    <n v="0"/>
    <m/>
    <n v="0"/>
    <x v="19"/>
  </r>
  <r>
    <x v="8"/>
    <n v="45243781"/>
    <n v="9.8329655255264117E-2"/>
    <m/>
    <n v="1175433.43038"/>
    <x v="19"/>
  </r>
  <r>
    <x v="9"/>
    <n v="195733680"/>
    <n v="0.99840271830573213"/>
    <m/>
    <n v="2055203.64"/>
    <x v="19"/>
  </r>
  <r>
    <x v="2"/>
    <n v="566360307"/>
    <n v="0.52932227549455446"/>
    <m/>
    <n v="2630743.626015"/>
    <x v="20"/>
  </r>
  <r>
    <x v="3"/>
    <n v="667746710"/>
    <n v="0.57980616899610971"/>
    <m/>
    <n v="6543917.7580000004"/>
    <x v="20"/>
  </r>
  <r>
    <x v="4"/>
    <n v="0"/>
    <n v="0"/>
    <m/>
    <n v="0"/>
    <x v="20"/>
  </r>
  <r>
    <x v="5"/>
    <n v="6499405"/>
    <n v="1.8746407571057697E-2"/>
    <m/>
    <n v="122838.7545"/>
    <x v="20"/>
  </r>
  <r>
    <x v="6"/>
    <n v="129721643"/>
    <n v="0.27657001706005191"/>
    <m/>
    <n v="4877533.7768000001"/>
    <x v="20"/>
  </r>
  <r>
    <x v="7"/>
    <n v="0"/>
    <n v="0"/>
    <m/>
    <n v="0"/>
    <x v="20"/>
  </r>
  <r>
    <x v="8"/>
    <n v="45243781"/>
    <n v="9.8329655255264117E-2"/>
    <m/>
    <n v="1221582.0870000001"/>
    <x v="20"/>
  </r>
  <r>
    <x v="9"/>
    <n v="195734017"/>
    <n v="0.99840443728284456"/>
    <m/>
    <n v="2055207.1784999999"/>
    <x v="20"/>
  </r>
  <r>
    <x v="2"/>
    <n v="566360307"/>
    <n v="0.52932227549455446"/>
    <m/>
    <n v="2458003.7323799999"/>
    <x v="21"/>
  </r>
  <r>
    <x v="3"/>
    <n v="667746710"/>
    <n v="0.57980616899610971"/>
    <m/>
    <n v="5141649.6670000004"/>
    <x v="21"/>
  </r>
  <r>
    <x v="4"/>
    <n v="0"/>
    <n v="0"/>
    <m/>
    <n v="0"/>
    <x v="21"/>
  </r>
  <r>
    <x v="5"/>
    <n v="6499405"/>
    <n v="1.8746407571057697E-2"/>
    <m/>
    <n v="122838.7545"/>
    <x v="21"/>
  </r>
  <r>
    <x v="6"/>
    <n v="129721643"/>
    <n v="0.27657001706005191"/>
    <m/>
    <n v="4509124.3106800001"/>
    <x v="21"/>
  </r>
  <r>
    <x v="7"/>
    <n v="0"/>
    <n v="0"/>
    <m/>
    <n v="0"/>
    <x v="21"/>
  </r>
  <r>
    <x v="8"/>
    <n v="45243781"/>
    <n v="9.8329655255264117E-2"/>
    <m/>
    <n v="1094899.5001999999"/>
    <x v="21"/>
  </r>
  <r>
    <x v="9"/>
    <n v="195734207"/>
    <n v="0.99840540643908016"/>
    <m/>
    <n v="2055209.1735"/>
    <x v="21"/>
  </r>
  <r>
    <x v="2"/>
    <n v="566360307"/>
    <n v="0.52932227549455446"/>
    <m/>
    <n v="2265441.2280000001"/>
    <x v="22"/>
  </r>
  <r>
    <x v="3"/>
    <n v="667746710"/>
    <n v="0.57980616899610971"/>
    <m/>
    <n v="4647517.1015999997"/>
    <x v="22"/>
  </r>
  <r>
    <x v="4"/>
    <n v="0"/>
    <n v="0"/>
    <m/>
    <n v="0"/>
    <x v="22"/>
  </r>
  <r>
    <x v="5"/>
    <n v="6495205"/>
    <n v="1.8746407571057697E-2"/>
    <m/>
    <n v="124967.7442"/>
    <x v="22"/>
  </r>
  <r>
    <x v="6"/>
    <n v="129721643"/>
    <n v="0.27657001706005191"/>
    <m/>
    <n v="4166659.1731599998"/>
    <x v="22"/>
  </r>
  <r>
    <x v="7"/>
    <n v="0"/>
    <n v="0"/>
    <m/>
    <n v="0"/>
    <x v="22"/>
  </r>
  <r>
    <x v="8"/>
    <n v="45243781"/>
    <n v="9.8329655255264117E-2"/>
    <m/>
    <n v="1063228.8535"/>
    <x v="22"/>
  </r>
  <r>
    <x v="9"/>
    <n v="195734277"/>
    <n v="0.99840540643908016"/>
    <m/>
    <n v="2055209.9084999999"/>
    <x v="22"/>
  </r>
  <r>
    <x v="2"/>
    <n v="566360307"/>
    <n v="0.52932227549455446"/>
    <m/>
    <n v="2508976.1600100002"/>
    <x v="23"/>
  </r>
  <r>
    <x v="3"/>
    <n v="667746710"/>
    <n v="0.57980616899610971"/>
    <m/>
    <n v="5261844.0747999996"/>
    <x v="23"/>
  </r>
  <r>
    <x v="4"/>
    <n v="0"/>
    <n v="0"/>
    <m/>
    <n v="0"/>
    <x v="23"/>
  </r>
  <r>
    <x v="5"/>
    <n v="0"/>
    <n v="0"/>
    <m/>
    <n v="0"/>
    <x v="23"/>
  </r>
  <r>
    <x v="6"/>
    <n v="129721643"/>
    <n v="0.27657001706005191"/>
    <m/>
    <n v="4753000.9995200001"/>
    <x v="23"/>
  </r>
  <r>
    <x v="7"/>
    <n v="0"/>
    <n v="0"/>
    <m/>
    <n v="0"/>
    <x v="23"/>
  </r>
  <r>
    <x v="8"/>
    <n v="45243781"/>
    <n v="9.8329655255264117E-2"/>
    <m/>
    <n v="1166384.6741800001"/>
    <x v="23"/>
  </r>
  <r>
    <x v="9"/>
    <n v="195734277"/>
    <n v="0.99840540643908016"/>
    <m/>
    <n v="2055209.9084999999"/>
    <x v="23"/>
  </r>
  <r>
    <x v="2"/>
    <n v="566360307"/>
    <n v="0.52932227549455446"/>
    <m/>
    <n v="2460835.533915"/>
    <x v="24"/>
  </r>
  <r>
    <x v="3"/>
    <n v="667746710"/>
    <n v="0.57980616899610971"/>
    <m/>
    <n v="5008100.3250000002"/>
    <x v="24"/>
  </r>
  <r>
    <x v="4"/>
    <n v="0"/>
    <n v="0"/>
    <m/>
    <n v="0"/>
    <x v="24"/>
  </r>
  <r>
    <x v="5"/>
    <n v="0"/>
    <n v="0"/>
    <m/>
    <n v="0"/>
    <x v="24"/>
  </r>
  <r>
    <x v="6"/>
    <n v="129721643"/>
    <n v="0.27657001706005191"/>
    <m/>
    <n v="4423508.0263"/>
    <x v="24"/>
  </r>
  <r>
    <x v="7"/>
    <n v="0"/>
    <n v="0"/>
    <m/>
    <n v="0"/>
    <x v="24"/>
  </r>
  <r>
    <x v="8"/>
    <n v="45243781"/>
    <n v="9.8329655255264117E-2"/>
    <m/>
    <n v="1131999.40062"/>
    <x v="24"/>
  </r>
  <r>
    <x v="10"/>
    <n v="59752919"/>
    <n v="0.32019956761951152"/>
    <m/>
    <n v="682649.14715949178"/>
    <x v="24"/>
  </r>
  <r>
    <x v="9"/>
    <n v="195913649"/>
    <n v="0.99932070819286223"/>
    <m/>
    <n v="2057093.3145000001"/>
    <x v="24"/>
  </r>
  <r>
    <x v="2"/>
    <n v="566360307"/>
    <n v="0.52932227549455402"/>
    <m/>
    <n v="2463667.3354500001"/>
    <x v="25"/>
  </r>
  <r>
    <x v="3"/>
    <n v="667746710"/>
    <n v="0.57980616899610971"/>
    <m/>
    <n v="4968035.5224000001"/>
    <x v="25"/>
  </r>
  <r>
    <x v="4"/>
    <n v="0"/>
    <n v="0"/>
    <m/>
    <n v="0"/>
    <x v="25"/>
  </r>
  <r>
    <x v="5"/>
    <n v="0"/>
    <n v="0"/>
    <m/>
    <n v="0"/>
    <x v="25"/>
  </r>
  <r>
    <x v="6"/>
    <n v="129721643"/>
    <n v="0.27657001706005191"/>
    <m/>
    <n v="4280814.2189999996"/>
    <x v="25"/>
  </r>
  <r>
    <x v="7"/>
    <n v="0"/>
    <n v="0"/>
    <m/>
    <n v="0"/>
    <x v="25"/>
  </r>
  <r>
    <x v="8"/>
    <n v="45243781"/>
    <n v="9.8329655255264117E-2"/>
    <m/>
    <n v="1146477.4105400001"/>
    <x v="25"/>
  </r>
  <r>
    <x v="10"/>
    <n v="75143282.659999996"/>
    <n v="0.372"/>
    <m/>
    <n v="867607.70099499996"/>
    <x v="25"/>
  </r>
  <r>
    <x v="9"/>
    <n v="195925747"/>
    <n v="0.99938241794095495"/>
    <m/>
    <n v="2057220.3435"/>
    <x v="25"/>
  </r>
  <r>
    <x v="2"/>
    <n v="566360307"/>
    <n v="0.52932227549455446"/>
    <m/>
    <n v="2497648.9538699999"/>
    <x v="26"/>
  </r>
  <r>
    <x v="3"/>
    <n v="667746710"/>
    <n v="0.57980616899610971"/>
    <m/>
    <n v="4874550.983"/>
    <x v="26"/>
  </r>
  <r>
    <x v="4"/>
    <n v="0"/>
    <n v="0"/>
    <m/>
    <n v="0"/>
    <x v="26"/>
  </r>
  <r>
    <x v="5"/>
    <n v="0"/>
    <n v="0"/>
    <m/>
    <n v="0"/>
    <x v="26"/>
  </r>
  <r>
    <x v="6"/>
    <n v="129721643"/>
    <n v="0.27657001706005191"/>
    <m/>
    <n v="4410535.8619999997"/>
    <x v="26"/>
  </r>
  <r>
    <x v="7"/>
    <n v="0"/>
    <n v="0"/>
    <m/>
    <n v="0"/>
    <x v="26"/>
  </r>
  <r>
    <x v="8"/>
    <n v="45243781"/>
    <n v="9.8329655255264117E-2"/>
    <m/>
    <n v="1149192.0374"/>
    <x v="26"/>
  </r>
  <r>
    <x v="10"/>
    <n v="75143282.659999996"/>
    <n v="0.372"/>
    <m/>
    <n v="870132.72206199996"/>
    <x v="26"/>
  </r>
  <r>
    <x v="9"/>
    <n v="195926517"/>
    <n v="0.99938241794095495"/>
    <m/>
    <n v="2057228.4284999999"/>
    <x v="26"/>
  </r>
  <r>
    <x v="2"/>
    <n v="566360307"/>
    <n v="0.52932227549455446"/>
    <m/>
    <n v="2429685.7170299999"/>
    <x v="27"/>
  </r>
  <r>
    <x v="3"/>
    <n v="668786536"/>
    <n v="0.58070905256027217"/>
    <m/>
    <n v="2735336.93224"/>
    <x v="27"/>
  </r>
  <r>
    <x v="4"/>
    <n v="0"/>
    <n v="0"/>
    <m/>
    <n v="0"/>
    <x v="27"/>
  </r>
  <r>
    <x v="5"/>
    <n v="0"/>
    <n v="0"/>
    <m/>
    <n v="0"/>
    <x v="27"/>
  </r>
  <r>
    <x v="6"/>
    <n v="129721643"/>
    <n v="0.27657001706005191"/>
    <m/>
    <n v="2597027.2928599999"/>
    <x v="27"/>
  </r>
  <r>
    <x v="7"/>
    <n v="0"/>
    <n v="0"/>
    <m/>
    <n v="0"/>
    <x v="27"/>
  </r>
  <r>
    <x v="8"/>
    <n v="45243781"/>
    <n v="9.8329655255264117E-2"/>
    <m/>
    <n v="864156.21710000001"/>
    <x v="27"/>
  </r>
  <r>
    <x v="10"/>
    <n v="75143282.659999996"/>
    <n v="0.372"/>
    <m/>
    <n v="884438.21279899997"/>
    <x v="27"/>
  </r>
  <r>
    <x v="9"/>
    <n v="195926657"/>
    <n v="0.99938705968924102"/>
    <m/>
    <n v="2057229.8984999999"/>
    <x v="27"/>
  </r>
  <r>
    <x v="2"/>
    <n v="566360307"/>
    <n v="0.52932227549455446"/>
    <m/>
    <n v="2330572.6633049999"/>
    <x v="28"/>
  </r>
  <r>
    <x v="3"/>
    <n v="668786536"/>
    <n v="0.58070905256027217"/>
    <m/>
    <n v="2273874.2223999999"/>
    <x v="28"/>
  </r>
  <r>
    <x v="4"/>
    <n v="0"/>
    <n v="0"/>
    <m/>
    <n v="0"/>
    <x v="28"/>
  </r>
  <r>
    <x v="5"/>
    <n v="0"/>
    <n v="0"/>
    <m/>
    <n v="0"/>
    <x v="28"/>
  </r>
  <r>
    <x v="6"/>
    <n v="129721643"/>
    <n v="0.27657001706005191"/>
    <m/>
    <n v="2418011.42552"/>
    <x v="28"/>
  </r>
  <r>
    <x v="7"/>
    <n v="0"/>
    <n v="0"/>
    <m/>
    <n v="0"/>
    <x v="28"/>
  </r>
  <r>
    <x v="8"/>
    <n v="45243781"/>
    <n v="9.8329655255264117E-2"/>
    <m/>
    <n v="945595.02289999998"/>
    <x v="28"/>
  </r>
  <r>
    <x v="10"/>
    <n v="75143282.659999996"/>
    <n v="0.37180000000000002"/>
    <m/>
    <n v="892737.82519200002"/>
    <x v="28"/>
  </r>
  <r>
    <x v="9"/>
    <n v="195926657"/>
    <n v="0.99938705968924102"/>
    <m/>
    <n v="2057229.8984999999"/>
    <x v="28"/>
  </r>
  <r>
    <x v="2"/>
    <n v="566360307"/>
    <n v="0.52932227549455446"/>
    <m/>
    <n v="2616584.61834"/>
    <x v="29"/>
  </r>
  <r>
    <x v="3"/>
    <n v="668786536"/>
    <n v="0.58070905256027217"/>
    <m/>
    <n v="3096481.6616799999"/>
    <x v="29"/>
  </r>
  <r>
    <x v="4"/>
    <n v="0"/>
    <n v="0"/>
    <m/>
    <n v="0"/>
    <x v="29"/>
  </r>
  <r>
    <x v="5"/>
    <n v="0"/>
    <n v="0"/>
    <m/>
    <n v="0"/>
    <x v="29"/>
  </r>
  <r>
    <x v="6"/>
    <n v="129721643"/>
    <n v="0.27657001706005191"/>
    <m/>
    <n v="2674860.2786599998"/>
    <x v="29"/>
  </r>
  <r>
    <x v="7"/>
    <n v="0"/>
    <n v="0"/>
    <m/>
    <n v="0"/>
    <x v="29"/>
  </r>
  <r>
    <x v="8"/>
    <n v="45243781"/>
    <n v="9.8329655255264117E-2"/>
    <m/>
    <n v="1025224.0774599999"/>
    <x v="29"/>
  </r>
  <r>
    <x v="10"/>
    <n v="75143282.659999996"/>
    <n v="0.37180000000000002"/>
    <m/>
    <n v="870547.08233100001"/>
    <x v="29"/>
  </r>
  <r>
    <x v="9"/>
    <n v="195926657"/>
    <n v="0.99938705968924102"/>
    <m/>
    <n v="2057229.8984999999"/>
    <x v="29"/>
  </r>
  <r>
    <x v="2"/>
    <n v="566360307"/>
    <n v="0.52932227549455446"/>
    <m/>
    <n v="2683415.1345660002"/>
    <x v="30"/>
  </r>
  <r>
    <x v="3"/>
    <n v="668786536"/>
    <n v="0.58070905256027217"/>
    <m/>
    <n v="4133100.7924799998"/>
    <x v="30"/>
  </r>
  <r>
    <x v="4"/>
    <n v="0"/>
    <n v="0"/>
    <m/>
    <n v="0"/>
    <x v="30"/>
  </r>
  <r>
    <x v="5"/>
    <n v="0"/>
    <n v="0"/>
    <m/>
    <n v="0"/>
    <x v="30"/>
  </r>
  <r>
    <x v="6"/>
    <n v="129721643"/>
    <n v="0.27657001706005191"/>
    <m/>
    <n v="3279363.1350400001"/>
    <x v="30"/>
  </r>
  <r>
    <x v="7"/>
    <n v="0"/>
    <n v="0"/>
    <m/>
    <n v="0"/>
    <x v="30"/>
  </r>
  <r>
    <x v="8"/>
    <n v="45243781"/>
    <n v="9.8329655255264117E-2"/>
    <m/>
    <n v="1085850.7439999999"/>
    <x v="30"/>
  </r>
  <r>
    <x v="10"/>
    <n v="75143282.659999996"/>
    <n v="0.37180000000000002"/>
    <m/>
    <n v="879791.608412"/>
    <x v="30"/>
  </r>
  <r>
    <x v="9"/>
    <n v="195926657"/>
    <n v="0.99938705968924102"/>
    <m/>
    <n v="2057229.8984999999"/>
    <x v="30"/>
  </r>
  <r>
    <x v="2"/>
    <n v="566360307"/>
    <n v="0.52932227549455446"/>
    <m/>
    <n v="2634141.7878569998"/>
    <x v="31"/>
  </r>
  <r>
    <x v="3"/>
    <n v="668786536"/>
    <n v="0.58070905256027217"/>
    <m/>
    <n v="3444250.6603999999"/>
    <x v="31"/>
  </r>
  <r>
    <x v="4"/>
    <n v="0"/>
    <n v="0"/>
    <m/>
    <n v="0"/>
    <x v="31"/>
  </r>
  <r>
    <x v="5"/>
    <n v="0"/>
    <n v="0"/>
    <m/>
    <n v="0"/>
    <x v="31"/>
  </r>
  <r>
    <x v="6"/>
    <n v="129721643"/>
    <n v="0.27657001706005191"/>
    <m/>
    <n v="2814959.6531000002"/>
    <x v="31"/>
  </r>
  <r>
    <x v="7"/>
    <n v="0"/>
    <n v="0"/>
    <m/>
    <n v="0"/>
    <x v="31"/>
  </r>
  <r>
    <x v="8"/>
    <n v="45243781"/>
    <n v="9.8329655255264117E-2"/>
    <m/>
    <n v="1048298.40577"/>
    <x v="31"/>
  </r>
  <r>
    <x v="10"/>
    <n v="75143282.659999996"/>
    <n v="0.37180000000000002"/>
    <m/>
    <n v="882766.09061900002"/>
    <x v="31"/>
  </r>
  <r>
    <x v="9"/>
    <n v="195926657"/>
    <n v="0.99938705968924102"/>
    <m/>
    <n v="2057229.8984999999"/>
    <x v="31"/>
  </r>
  <r>
    <x v="2"/>
    <n v="566360307"/>
    <n v="0.52932227549455446"/>
    <m/>
    <n v="2407031.3047500001"/>
    <x v="32"/>
  </r>
  <r>
    <x v="3"/>
    <n v="684797259"/>
    <n v="0.58505740807379825"/>
    <m/>
    <n v="3663665.3356499998"/>
    <x v="32"/>
  </r>
  <r>
    <x v="4"/>
    <n v="0"/>
    <n v="0"/>
    <m/>
    <n v="0"/>
    <x v="32"/>
  </r>
  <r>
    <x v="5"/>
    <n v="0"/>
    <n v="0"/>
    <m/>
    <n v="0"/>
    <x v="32"/>
  </r>
  <r>
    <x v="6"/>
    <n v="129721643"/>
    <n v="0.27657001706005191"/>
    <m/>
    <n v="2399850.3955000001"/>
    <x v="32"/>
  </r>
  <r>
    <x v="7"/>
    <n v="0"/>
    <n v="0"/>
    <m/>
    <n v="0"/>
    <x v="32"/>
  </r>
  <r>
    <x v="8"/>
    <n v="45243781"/>
    <n v="9.8583308037700906E-2"/>
    <m/>
    <n v="989933.92827999999"/>
    <x v="32"/>
  </r>
  <r>
    <x v="10"/>
    <n v="75143282.659999996"/>
    <n v="0.37180000000000002"/>
    <m/>
    <n v="906968.38580499997"/>
    <x v="32"/>
  </r>
  <r>
    <x v="9"/>
    <n v="195926657"/>
    <n v="0.99938705968924102"/>
    <m/>
    <n v="2057229.8984999999"/>
    <x v="32"/>
  </r>
  <r>
    <x v="2"/>
    <n v="566360307"/>
    <n v="0.52932227549455446"/>
    <m/>
    <n v="2395137.7383030001"/>
    <x v="33"/>
  </r>
  <r>
    <x v="3"/>
    <n v="684797259"/>
    <n v="0.58505740807379825"/>
    <m/>
    <n v="4036879.8418049999"/>
    <x v="33"/>
  </r>
  <r>
    <x v="4"/>
    <n v="0"/>
    <n v="0"/>
    <m/>
    <n v="0"/>
    <x v="33"/>
  </r>
  <r>
    <x v="5"/>
    <n v="0"/>
    <n v="0"/>
    <m/>
    <n v="0"/>
    <x v="33"/>
  </r>
  <r>
    <x v="6"/>
    <n v="129721643"/>
    <n v="0.27657001706005191"/>
    <m/>
    <n v="2776043.1601999998"/>
    <x v="33"/>
  </r>
  <r>
    <x v="7"/>
    <n v="0"/>
    <n v="0"/>
    <m/>
    <n v="0"/>
    <x v="33"/>
  </r>
  <r>
    <x v="8"/>
    <n v="45243781"/>
    <n v="9.8583308037700906E-2"/>
    <m/>
    <n v="979980.29645999998"/>
    <x v="33"/>
  </r>
  <r>
    <x v="10"/>
    <n v="75143282.659999996"/>
    <n v="0.37180000000000002"/>
    <m/>
    <n v="913999.41202499997"/>
    <x v="33"/>
  </r>
  <r>
    <x v="9"/>
    <n v="195926657"/>
    <n v="0.99938705968924102"/>
    <m/>
    <n v="2057229.8984999999"/>
    <x v="33"/>
  </r>
  <r>
    <x v="2"/>
    <n v="566360307"/>
    <n v="0.52932227549455446"/>
    <m/>
    <n v="2369651.5244880002"/>
    <x v="34"/>
  </r>
  <r>
    <x v="3"/>
    <n v="684797259"/>
    <n v="0.58505740807379825"/>
    <m/>
    <n v="4184111.2524899999"/>
    <x v="34"/>
  </r>
  <r>
    <x v="4"/>
    <n v="0"/>
    <n v="0"/>
    <m/>
    <n v="0"/>
    <x v="34"/>
  </r>
  <r>
    <x v="5"/>
    <n v="0"/>
    <n v="0"/>
    <m/>
    <n v="0"/>
    <x v="34"/>
  </r>
  <r>
    <x v="6"/>
    <n v="130012643"/>
    <n v="0.27856626492954178"/>
    <m/>
    <n v="3900379.29"/>
    <x v="34"/>
  </r>
  <r>
    <x v="7"/>
    <n v="0"/>
    <n v="0"/>
    <m/>
    <n v="0"/>
    <x v="34"/>
  </r>
  <r>
    <x v="8"/>
    <n v="45243781"/>
    <n v="9.8837800645214025E-2"/>
    <m/>
    <n v="1295781.88784"/>
    <x v="34"/>
  </r>
  <r>
    <x v="10"/>
    <n v="71006331.650000006"/>
    <n v="0.37130000000000002"/>
    <m/>
    <n v="870784.56700000004"/>
    <x v="34"/>
  </r>
  <r>
    <x v="9"/>
    <n v="195926657"/>
    <n v="0.99938705968924102"/>
    <m/>
    <n v="2057229.8984999999"/>
    <x v="34"/>
  </r>
  <r>
    <x v="2"/>
    <n v="566360307"/>
    <n v="0.52932227549455446"/>
    <m/>
    <n v="2469330.9385199999"/>
    <x v="35"/>
  </r>
  <r>
    <x v="3"/>
    <n v="684797259"/>
    <n v="0.58505740807379825"/>
    <m/>
    <n v="4266286.9235699996"/>
    <x v="35"/>
  </r>
  <r>
    <x v="4"/>
    <n v="0"/>
    <n v="0"/>
    <m/>
    <n v="0"/>
    <x v="35"/>
  </r>
  <r>
    <x v="5"/>
    <n v="0"/>
    <n v="0"/>
    <m/>
    <n v="0"/>
    <x v="35"/>
  </r>
  <r>
    <x v="6"/>
    <n v="130012643"/>
    <n v="0.27856626492954178"/>
    <m/>
    <n v="4631050.3436599998"/>
    <x v="35"/>
  </r>
  <r>
    <x v="7"/>
    <n v="0"/>
    <n v="0"/>
    <m/>
    <n v="0"/>
    <x v="35"/>
  </r>
  <r>
    <x v="8"/>
    <n v="45243781"/>
    <n v="9.8837800645214025E-2"/>
    <m/>
    <n v="2072165.1698"/>
    <x v="35"/>
  </r>
  <r>
    <x v="10"/>
    <n v="70106639"/>
    <n v="0.37130000000000002"/>
    <m/>
    <n v="859068.23"/>
    <x v="35"/>
  </r>
  <r>
    <x v="9"/>
    <n v="195926657"/>
    <n v="0.99938705968924102"/>
    <m/>
    <n v="2057229.8984999999"/>
    <x v="35"/>
  </r>
  <r>
    <x v="2"/>
    <n v="566360307"/>
    <n v="0.52932227549455446"/>
    <m/>
    <n v="2152169.1666000001"/>
    <x v="36"/>
  </r>
  <r>
    <x v="3"/>
    <n v="684797259"/>
    <n v="0.58505740807379825"/>
    <m/>
    <n v="3177459.2817600002"/>
    <x v="36"/>
  </r>
  <r>
    <x v="4"/>
    <n v="0"/>
    <n v="0"/>
    <m/>
    <n v="0"/>
    <x v="36"/>
  </r>
  <r>
    <x v="5"/>
    <n v="0"/>
    <n v="0"/>
    <m/>
    <n v="0"/>
    <x v="36"/>
  </r>
  <r>
    <x v="6"/>
    <n v="130012643"/>
    <n v="0.27856626492954178"/>
    <m/>
    <n v="5122498.1342000002"/>
    <x v="36"/>
  </r>
  <r>
    <x v="7"/>
    <n v="0"/>
    <n v="0"/>
    <m/>
    <n v="0"/>
    <x v="36"/>
  </r>
  <r>
    <x v="8"/>
    <n v="45243781"/>
    <n v="9.8837800645214025E-2"/>
    <m/>
    <n v="1791653.7276000001"/>
    <x v="36"/>
  </r>
  <r>
    <x v="10"/>
    <n v="70106639"/>
    <n v="0.37130000000000002"/>
    <m/>
    <n v="894568.64575120399"/>
    <x v="36"/>
  </r>
  <r>
    <x v="9"/>
    <n v="195926657"/>
    <n v="0.99938705968924102"/>
    <m/>
    <n v="2057229.8984999999"/>
    <x v="36"/>
  </r>
  <r>
    <x v="2"/>
    <n v="566360307"/>
    <n v="0.52932227549455446"/>
    <m/>
    <n v="1593171.5435909999"/>
    <x v="37"/>
  </r>
  <r>
    <x v="3"/>
    <n v="687885624"/>
    <n v="0.58769595663446916"/>
    <m/>
    <n v="2325053.40912"/>
    <x v="37"/>
  </r>
  <r>
    <x v="4"/>
    <n v="0"/>
    <n v="0"/>
    <m/>
    <n v="0"/>
    <x v="37"/>
  </r>
  <r>
    <x v="5"/>
    <n v="0"/>
    <n v="0"/>
    <m/>
    <n v="0"/>
    <x v="37"/>
  </r>
  <r>
    <x v="6"/>
    <n v="130012643"/>
    <n v="0.27856626492954178"/>
    <m/>
    <n v="4875474.1124999998"/>
    <x v="37"/>
  </r>
  <r>
    <x v="7"/>
    <n v="0"/>
    <n v="0"/>
    <m/>
    <n v="0"/>
    <x v="37"/>
  </r>
  <r>
    <x v="8"/>
    <n v="45243781"/>
    <n v="9.8837800645214025E-2"/>
    <m/>
    <n v="1673115.02138"/>
    <x v="37"/>
  </r>
  <r>
    <x v="10"/>
    <n v="70106639"/>
    <n v="0.37129087648440456"/>
    <m/>
    <n v="894973.58339513792"/>
    <x v="37"/>
  </r>
  <r>
    <x v="9"/>
    <n v="195926657"/>
    <n v="0.99938705968924102"/>
    <m/>
    <n v="2057229.8984999999"/>
    <x v="37"/>
  </r>
  <r>
    <x v="2"/>
    <n v="566360307"/>
    <n v="0.52932227549455446"/>
    <n v="2780"/>
    <n v="1574481.6534599999"/>
    <x v="38"/>
  </r>
  <r>
    <x v="3"/>
    <n v="687885624"/>
    <n v="0.58769595663446916"/>
    <n v="3600"/>
    <n v="2476388.2464000001"/>
    <x v="38"/>
  </r>
  <r>
    <x v="4"/>
    <n v="0"/>
    <n v="0"/>
    <m/>
    <n v="0"/>
    <x v="38"/>
  </r>
  <r>
    <x v="5"/>
    <n v="0"/>
    <n v="0"/>
    <m/>
    <n v="0"/>
    <x v="38"/>
  </r>
  <r>
    <x v="6"/>
    <n v="130012643"/>
    <n v="0.27856626492954178"/>
    <n v="42000"/>
    <n v="5460531.0060000001"/>
    <x v="38"/>
  </r>
  <r>
    <x v="7"/>
    <n v="0"/>
    <n v="0"/>
    <m/>
    <n v="0"/>
    <x v="38"/>
  </r>
  <r>
    <x v="8"/>
    <n v="45243781"/>
    <n v="9.8837800645214025E-2"/>
    <n v="44500"/>
    <n v="2013348.2545"/>
    <x v="38"/>
  </r>
  <r>
    <x v="10"/>
    <n v="70106639"/>
    <n v="0.37386746224245232"/>
    <m/>
    <n v="931169.76267535298"/>
    <x v="38"/>
  </r>
  <r>
    <x v="9"/>
    <n v="195926657"/>
    <n v="0.99938705968924102"/>
    <n v="10500"/>
    <n v="2057229.8984999999"/>
    <x v="38"/>
  </r>
  <r>
    <x v="2"/>
    <n v="566360307"/>
    <n v="0.52932227549455446"/>
    <n v="2900"/>
    <n v="1642444.8903000001"/>
    <x v="39"/>
  </r>
  <r>
    <x v="3"/>
    <n v="701385624"/>
    <n v="0.59922969878251753"/>
    <n v="3018"/>
    <n v="2116781.813232"/>
    <x v="39"/>
  </r>
  <r>
    <x v="4"/>
    <n v="0"/>
    <n v="0"/>
    <m/>
    <n v="0"/>
    <x v="39"/>
  </r>
  <r>
    <x v="5"/>
    <n v="0"/>
    <n v="0"/>
    <m/>
    <n v="0"/>
    <x v="39"/>
  </r>
  <r>
    <x v="6"/>
    <n v="130012643"/>
    <n v="0.27856626492954178"/>
    <n v="40450"/>
    <n v="5259011.4093500003"/>
    <x v="39"/>
  </r>
  <r>
    <x v="7"/>
    <n v="0"/>
    <n v="0"/>
    <m/>
    <n v="0"/>
    <x v="39"/>
  </r>
  <r>
    <x v="8"/>
    <n v="45243781"/>
    <n v="9.8837800645214025E-2"/>
    <n v="50000"/>
    <n v="2262189.0499999998"/>
    <x v="39"/>
  </r>
  <r>
    <x v="10"/>
    <n v="70106639"/>
    <n v="0.37386746224245232"/>
    <m/>
    <n v="946375.75064627291"/>
    <x v="39"/>
  </r>
  <r>
    <x v="9"/>
    <n v="195926657"/>
    <n v="0.99938705968924102"/>
    <n v="10500"/>
    <n v="2057229.8984999999"/>
    <x v="39"/>
  </r>
  <r>
    <x v="2"/>
    <n v="566360307"/>
    <n v="0.52932227549455446"/>
    <n v="2680"/>
    <n v="1517845.6227599999"/>
    <x v="40"/>
  </r>
  <r>
    <x v="3"/>
    <n v="705813624"/>
    <n v="0.60301276620707733"/>
    <n v="3400"/>
    <n v="2399766.3215999999"/>
    <x v="40"/>
  </r>
  <r>
    <x v="4"/>
    <n v="0"/>
    <n v="0"/>
    <m/>
    <n v="0"/>
    <x v="40"/>
  </r>
  <r>
    <x v="5"/>
    <n v="0"/>
    <n v="0"/>
    <m/>
    <n v="0"/>
    <x v="40"/>
  </r>
  <r>
    <x v="6"/>
    <n v="130012643"/>
    <n v="0.27856626492954178"/>
    <n v="36000"/>
    <n v="4680455.148"/>
    <x v="40"/>
  </r>
  <r>
    <x v="7"/>
    <n v="0"/>
    <n v="0"/>
    <m/>
    <n v="0"/>
    <x v="40"/>
  </r>
  <r>
    <x v="8"/>
    <n v="45243781"/>
    <n v="9.8837800645214025E-2"/>
    <n v="52430"/>
    <n v="2372131.4378300002"/>
    <x v="40"/>
  </r>
  <r>
    <x v="10"/>
    <n v="70106639"/>
    <n v="0.37386746224245232"/>
    <m/>
    <n v="956659.10096356203"/>
    <x v="40"/>
  </r>
  <r>
    <x v="9"/>
    <n v="195935168"/>
    <n v="0.99938705968924102"/>
    <n v="10500"/>
    <n v="2057319.264"/>
    <x v="40"/>
  </r>
  <r>
    <x v="2"/>
    <n v="566360307"/>
    <n v="0.52932227549455446"/>
    <n v="2579"/>
    <n v="1460643.2317530001"/>
    <x v="41"/>
  </r>
  <r>
    <x v="3"/>
    <n v="705813624"/>
    <n v="0.60301276620707733"/>
    <n v="4910"/>
    <n v="3465544.89384"/>
    <x v="41"/>
  </r>
  <r>
    <x v="4"/>
    <n v="0"/>
    <n v="0"/>
    <m/>
    <n v="0"/>
    <x v="41"/>
  </r>
  <r>
    <x v="5"/>
    <n v="0"/>
    <n v="0"/>
    <m/>
    <n v="0"/>
    <x v="41"/>
  </r>
  <r>
    <x v="6"/>
    <n v="130012643"/>
    <n v="0.27856626492954178"/>
    <n v="31990"/>
    <n v="4159104.4495700002"/>
    <x v="41"/>
  </r>
  <r>
    <x v="7"/>
    <n v="0"/>
    <n v="0"/>
    <m/>
    <n v="0"/>
    <x v="41"/>
  </r>
  <r>
    <x v="8"/>
    <n v="45243781"/>
    <n v="9.8837800645214025E-2"/>
    <n v="49520"/>
    <n v="2240472.0351200001"/>
    <x v="41"/>
  </r>
  <r>
    <x v="10"/>
    <n v="70106639"/>
    <n v="0.37386746224245232"/>
    <n v="13453.891052249999"/>
    <n v="943207.08314542077"/>
    <x v="41"/>
  </r>
  <r>
    <x v="9"/>
    <n v="195935238"/>
    <n v="0.99938705968924102"/>
    <n v="10500"/>
    <n v="2057319.9990000001"/>
    <x v="41"/>
  </r>
  <r>
    <x v="2"/>
    <n v="566360307"/>
    <n v="0.52939999999999998"/>
    <n v="2960"/>
    <n v="1676426.50872"/>
    <x v="42"/>
  </r>
  <r>
    <x v="3"/>
    <n v="705813624"/>
    <n v="0.60660000000000003"/>
    <n v="6110"/>
    <n v="4312521.2426399998"/>
    <x v="42"/>
  </r>
  <r>
    <x v="4"/>
    <n v="0"/>
    <n v="0"/>
    <m/>
    <n v="0"/>
    <x v="42"/>
  </r>
  <r>
    <x v="5"/>
    <n v="0"/>
    <n v="0"/>
    <m/>
    <n v="0"/>
    <x v="42"/>
  </r>
  <r>
    <x v="6"/>
    <n v="130012643"/>
    <n v="0.27856626492954178"/>
    <n v="29000"/>
    <n v="3770366.6469999999"/>
    <x v="42"/>
  </r>
  <r>
    <x v="7"/>
    <n v="0"/>
    <n v="0"/>
    <m/>
    <n v="0"/>
    <x v="42"/>
  </r>
  <r>
    <x v="8"/>
    <n v="45243781"/>
    <n v="9.8837800645214025E-2"/>
    <n v="45000"/>
    <n v="2035970.145"/>
    <x v="42"/>
  </r>
  <r>
    <x v="10"/>
    <n v="70106639"/>
    <n v="0.37386746224245232"/>
    <n v="13490.89614744"/>
    <n v="945801.38599506684"/>
    <x v="42"/>
  </r>
  <r>
    <x v="9"/>
    <n v="195935238"/>
    <n v="0.99938705968924102"/>
    <n v="10500"/>
    <n v="2057319.9990000001"/>
    <x v="42"/>
  </r>
  <r>
    <x v="2"/>
    <n v="566360307"/>
    <n v="0.52941187110374766"/>
    <n v="3935"/>
    <n v="2228627.8080449998"/>
    <x v="43"/>
  </r>
  <r>
    <x v="3"/>
    <n v="705813624"/>
    <n v="0.6066376013218765"/>
    <n v="8640"/>
    <n v="6098229.7113600001"/>
    <x v="43"/>
  </r>
  <r>
    <x v="4"/>
    <n v="0"/>
    <n v="0"/>
    <m/>
    <n v="0"/>
    <x v="43"/>
  </r>
  <r>
    <x v="5"/>
    <n v="0"/>
    <n v="0"/>
    <m/>
    <n v="0"/>
    <x v="43"/>
  </r>
  <r>
    <x v="6"/>
    <n v="166083479"/>
    <n v="0.35585196518666534"/>
    <n v="30480"/>
    <n v="5062224.4399199998"/>
    <x v="43"/>
  </r>
  <r>
    <x v="7"/>
    <n v="0"/>
    <n v="0"/>
    <m/>
    <n v="0"/>
    <x v="43"/>
  </r>
  <r>
    <x v="11"/>
    <n v="60176194"/>
    <n v="0.13145914247142071"/>
    <n v="6480"/>
    <n v="389941.73712000001"/>
    <x v="43"/>
  </r>
  <r>
    <x v="10"/>
    <n v="70106639"/>
    <n v="0.37386746224245232"/>
    <n v="13613.900823370001"/>
    <n v="954424.8304058034"/>
    <x v="43"/>
  </r>
  <r>
    <x v="9"/>
    <n v="195935308"/>
    <n v="0.99943118690289201"/>
    <n v="10500"/>
    <n v="2057320.7339999999"/>
    <x v="43"/>
  </r>
  <r>
    <x v="2"/>
    <n v="566360307"/>
    <n v="0.53563012021003631"/>
    <n v="4100"/>
    <n v="2322077.2587000001"/>
    <x v="44"/>
  </r>
  <r>
    <x v="12"/>
    <n v="705930534"/>
    <n v="0.53643919056482536"/>
    <n v="8330"/>
    <n v="5880401.34822"/>
    <x v="44"/>
  </r>
  <r>
    <x v="4"/>
    <n v="0"/>
    <n v="0"/>
    <m/>
    <n v="0"/>
    <x v="44"/>
  </r>
  <r>
    <x v="5"/>
    <n v="0"/>
    <n v="0"/>
    <m/>
    <n v="0"/>
    <x v="44"/>
  </r>
  <r>
    <x v="13"/>
    <n v="56283340"/>
    <n v="0.17597844100620652"/>
    <n v="34400"/>
    <n v="1936146.8959999999"/>
    <x v="44"/>
  </r>
  <r>
    <x v="14"/>
    <n v="114500000"/>
    <n v="0"/>
    <n v="34400"/>
    <n v="3938800"/>
    <x v="44"/>
  </r>
  <r>
    <x v="11"/>
    <n v="76214986"/>
    <n v="0.16649701546480883"/>
    <n v="7100"/>
    <n v="541126.40060000005"/>
    <x v="44"/>
  </r>
  <r>
    <x v="10"/>
    <n v="70106639"/>
    <n v="0.37386746224245232"/>
    <n v="13823.02200605"/>
    <n v="969085.61366720311"/>
    <x v="44"/>
  </r>
  <r>
    <x v="9"/>
    <n v="195935308"/>
    <n v="0.99943118690289201"/>
    <n v="10500"/>
    <n v="2057320.7339999999"/>
    <x v="44"/>
  </r>
  <r>
    <x v="2"/>
    <n v="566360307"/>
    <n v="0.53740401663074566"/>
    <n v="3915"/>
    <n v="2217300.6019049999"/>
    <x v="45"/>
  </r>
  <r>
    <x v="12"/>
    <n v="705930534"/>
    <n v="0.53946313309689187"/>
    <n v="7500"/>
    <n v="5294479.0049999999"/>
    <x v="45"/>
  </r>
  <r>
    <x v="4"/>
    <n v="0"/>
    <n v="0"/>
    <m/>
    <n v="0"/>
    <x v="45"/>
  </r>
  <r>
    <x v="5"/>
    <n v="0"/>
    <n v="0"/>
    <m/>
    <n v="0"/>
    <x v="45"/>
  </r>
  <r>
    <x v="13"/>
    <n v="15583340"/>
    <n v="4.8723687664407593E-2"/>
    <n v="29000"/>
    <n v="451916.86"/>
    <x v="45"/>
  </r>
  <r>
    <x v="14"/>
    <n v="155200000"/>
    <n v="0"/>
    <n v="29000"/>
    <n v="4500800"/>
    <x v="45"/>
  </r>
  <r>
    <x v="11"/>
    <n v="76214986"/>
    <n v="0.16649701546480883"/>
    <n v="7100"/>
    <n v="541126.40060000005"/>
    <x v="45"/>
  </r>
  <r>
    <x v="10"/>
    <n v="70106639"/>
    <n v="0.37450084716646853"/>
    <n v="13972.47753964"/>
    <n v="979563.43880714965"/>
    <x v="45"/>
  </r>
  <r>
    <x v="9"/>
    <n v="195935378"/>
    <n v="0.99943118690289201"/>
    <n v="10500"/>
    <n v="2057321.469"/>
    <x v="45"/>
  </r>
  <r>
    <x v="2"/>
    <n v="566360307"/>
    <n v="0.53886576602534386"/>
    <n v="3680"/>
    <n v="2084205.92976"/>
    <x v="46"/>
  </r>
  <r>
    <x v="12"/>
    <n v="705930534"/>
    <n v="0.54224298480841437"/>
    <n v="10200"/>
    <n v="7200491.4468"/>
    <x v="46"/>
  </r>
  <r>
    <x v="4"/>
    <n v="0"/>
    <n v="0"/>
    <m/>
    <n v="0"/>
    <x v="46"/>
  </r>
  <r>
    <x v="5"/>
    <n v="0"/>
    <n v="0"/>
    <m/>
    <n v="0"/>
    <x v="46"/>
  </r>
  <r>
    <x v="13"/>
    <n v="26507774"/>
    <n v="9.3792844677905426E-2"/>
    <n v="37200"/>
    <n v="986089.19279999996"/>
    <x v="46"/>
  </r>
  <r>
    <x v="14"/>
    <n v="155200000"/>
    <n v="0"/>
    <n v="37200"/>
    <n v="5773440"/>
    <x v="46"/>
  </r>
  <r>
    <x v="10"/>
    <n v="63255152.2729619"/>
    <n v="0.3745008471685019"/>
    <n v="14016.21627678"/>
    <n v="886597.89487848594"/>
    <x v="46"/>
  </r>
  <r>
    <x v="9"/>
    <n v="195935378"/>
    <n v="0.99943118690289201"/>
    <n v="10500"/>
    <n v="2057321.469"/>
    <x v="46"/>
  </r>
  <r>
    <x v="2"/>
    <n v="566360307"/>
    <n v="0.54009793319797628"/>
    <n v="3940"/>
    <n v="2231459.6095799999"/>
    <x v="47"/>
  </r>
  <r>
    <x v="12"/>
    <n v="705930534"/>
    <n v="0.5441850141865533"/>
    <n v="10240"/>
    <n v="7228728.6681599999"/>
    <x v="47"/>
  </r>
  <r>
    <x v="4"/>
    <n v="0"/>
    <n v="0"/>
    <m/>
    <n v="0"/>
    <x v="47"/>
  </r>
  <r>
    <x v="5"/>
    <n v="0"/>
    <n v="0"/>
    <m/>
    <n v="0"/>
    <x v="47"/>
  </r>
  <r>
    <x v="13"/>
    <n v="26507774"/>
    <n v="9.3792844677905426E-2"/>
    <n v="42500"/>
    <n v="1126580.395"/>
    <x v="47"/>
  </r>
  <r>
    <x v="14"/>
    <n v="155200000"/>
    <n v="0"/>
    <n v="42500"/>
    <n v="6596000"/>
    <x v="47"/>
  </r>
  <r>
    <x v="10"/>
    <n v="62728212.084775001"/>
    <n v="0.37138110846276684"/>
    <n v="14586.604447093448"/>
    <n v="914991.61735399999"/>
    <x v="47"/>
  </r>
  <r>
    <x v="9"/>
    <n v="195935378"/>
    <n v="0.99943118690289201"/>
    <n v="10500"/>
    <n v="2057321.469"/>
    <x v="47"/>
  </r>
  <r>
    <x v="15"/>
    <m/>
    <m/>
    <m/>
    <m/>
    <x v="48"/>
  </r>
  <r>
    <x v="15"/>
    <m/>
    <m/>
    <m/>
    <m/>
    <x v="48"/>
  </r>
  <r>
    <x v="15"/>
    <m/>
    <m/>
    <m/>
    <m/>
    <x v="48"/>
  </r>
  <r>
    <x v="15"/>
    <m/>
    <m/>
    <m/>
    <m/>
    <x v="48"/>
  </r>
  <r>
    <x v="15"/>
    <m/>
    <m/>
    <m/>
    <m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FFC52B-B9B4-408E-8E0E-DBCE6CCA95ED}" name="Tabla dinámica1" cacheId="114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5" indent="0" outline="1" outlineData="1" multipleFieldFilters="0">
  <location ref="B10:D17" firstHeaderRow="0" firstDataRow="1" firstDataCol="1" rowPageCount="1" colPageCount="1"/>
  <pivotFields count="6">
    <pivotField axis="axisRow" showAll="0">
      <items count="17">
        <item x="3"/>
        <item x="6"/>
        <item h="1" x="4"/>
        <item x="12"/>
        <item x="2"/>
        <item x="8"/>
        <item x="7"/>
        <item h="1" x="5"/>
        <item x="1"/>
        <item x="0"/>
        <item x="9"/>
        <item x="15"/>
        <item x="13"/>
        <item x="14"/>
        <item x="10"/>
        <item x="11"/>
        <item t="default"/>
      </items>
    </pivotField>
    <pivotField showAll="0"/>
    <pivotField dataField="1" showAll="0"/>
    <pivotField showAll="0"/>
    <pivotField dataField="1" numFmtId="166" showAll="0"/>
    <pivotField axis="axisPage" numFmtId="17" multipleItemSelectionAllowed="1" showAll="0">
      <items count="50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48"/>
        <item h="1" x="39"/>
        <item h="1" x="40"/>
        <item h="1" x="41"/>
        <item h="1" x="42"/>
        <item h="1" x="43"/>
        <item h="1" x="44"/>
        <item h="1" x="45"/>
        <item h="1" x="46"/>
        <item x="47"/>
        <item t="default"/>
      </items>
    </pivotField>
  </pivotFields>
  <rowFields count="1">
    <field x="0"/>
  </rowFields>
  <rowItems count="7">
    <i>
      <x v="3"/>
    </i>
    <i>
      <x v="4"/>
    </i>
    <i>
      <x v="10"/>
    </i>
    <i>
      <x v="12"/>
    </i>
    <i>
      <x v="13"/>
    </i>
    <i>
      <x v="14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 % de Part. _x000a_Política" fld="2" baseField="0" baseItem="0"/>
    <dataField name="Valor total _x000a_(COP millones)" fld="4" baseField="0" baseItem="0" numFmtId="166"/>
  </dataFields>
  <formats count="47">
    <format dxfId="14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0" type="button" dataOnly="0" labelOnly="1" outline="0" axis="axisRow" fieldPosition="0"/>
    </format>
    <format dxfId="136">
      <pivotArea dataOnly="0" labelOnly="1" fieldPosition="0">
        <references count="1">
          <reference field="0" count="0"/>
        </references>
      </pivotArea>
    </format>
    <format dxfId="13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4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33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132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31">
      <pivotArea outline="0" collapsedLevelsAreSubtotals="1" fieldPosition="0"/>
    </format>
    <format dxfId="130">
      <pivotArea field="0" type="button" dataOnly="0" labelOnly="1" outline="0" axis="axisRow" fieldPosition="0"/>
    </format>
    <format dxfId="12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8">
      <pivotArea field="0" type="button" dataOnly="0" labelOnly="1" outline="0" axis="axisRow" fieldPosition="0"/>
    </format>
    <format dxfId="12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6">
      <pivotArea collapsedLevelsAreSubtotals="1" fieldPosition="0">
        <references count="1">
          <reference field="0" count="1">
            <x v="2"/>
          </reference>
        </references>
      </pivotArea>
    </format>
    <format dxfId="125">
      <pivotArea dataOnly="0" labelOnly="1" fieldPosition="0">
        <references count="1">
          <reference field="0" count="1">
            <x v="2"/>
          </reference>
        </references>
      </pivotArea>
    </format>
    <format dxfId="124">
      <pivotArea dataOnly="0" fieldPosition="0">
        <references count="1">
          <reference field="0" count="2">
            <x v="10"/>
            <x v="14"/>
          </reference>
        </references>
      </pivotArea>
    </format>
    <format dxfId="123">
      <pivotArea collapsedLevelsAreSubtotals="1" fieldPosition="0">
        <references count="1">
          <reference field="0" count="2">
            <x v="2"/>
            <x v="4"/>
          </reference>
        </references>
      </pivotArea>
    </format>
    <format dxfId="122">
      <pivotArea dataOnly="0" labelOnly="1" fieldPosition="0">
        <references count="1">
          <reference field="0" count="2">
            <x v="2"/>
            <x v="4"/>
          </reference>
        </references>
      </pivotArea>
    </format>
    <format dxfId="121">
      <pivotArea dataOnly="0" grandRow="1" fieldPosition="0"/>
    </format>
    <format dxfId="120">
      <pivotArea dataOnly="0" fieldPosition="0">
        <references count="1">
          <reference field="0" count="1">
            <x v="13"/>
          </reference>
        </references>
      </pivotArea>
    </format>
    <format dxfId="119">
      <pivotArea collapsedLevelsAreSubtotals="1" fieldPosition="0">
        <references count="1">
          <reference field="0" count="1">
            <x v="0"/>
          </reference>
        </references>
      </pivotArea>
    </format>
    <format dxfId="118">
      <pivotArea collapsedLevelsAreSubtotals="1" fieldPosition="0">
        <references count="1">
          <reference field="0" count="1">
            <x v="14"/>
          </reference>
        </references>
      </pivotArea>
    </format>
    <format dxfId="117">
      <pivotArea collapsedLevelsAreSubtotals="1" fieldPosition="0">
        <references count="1">
          <reference field="0" count="1">
            <x v="15"/>
          </reference>
        </references>
      </pivotArea>
    </format>
    <format dxfId="116">
      <pivotArea collapsedLevelsAreSubtotals="1" fieldPosition="0">
        <references count="1">
          <reference field="0" count="1">
            <x v="4"/>
          </reference>
        </references>
      </pivotArea>
    </format>
    <format dxfId="115">
      <pivotArea collapsedLevelsAreSubtotals="1" fieldPosition="0">
        <references count="1">
          <reference field="0" count="1">
            <x v="10"/>
          </reference>
        </references>
      </pivotArea>
    </format>
    <format dxfId="114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113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3">
      <pivotArea collapsedLevelsAreSubtotals="1" fieldPosition="0">
        <references count="2">
          <reference field="4294967294" count="1" selected="0">
            <x v="0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02">
      <pivotArea collapsedLevelsAreSubtotals="1" fieldPosition="0">
        <references count="2">
          <reference field="4294967294" count="1" selected="0">
            <x v="1"/>
          </reference>
          <reference field="0" count="8">
            <x v="0"/>
            <x v="2"/>
            <x v="4"/>
            <x v="10"/>
            <x v="12"/>
            <x v="13"/>
            <x v="14"/>
            <x v="15"/>
          </reference>
        </references>
      </pivotArea>
    </format>
    <format dxfId="101">
      <pivotArea grandRow="1" outline="0" collapsedLevelsAreSubtotals="1" fieldPosition="0"/>
    </format>
    <format dxfId="100">
      <pivotArea dataOnly="0" labelOnly="1" grandRow="1" outline="0" fieldPosition="0"/>
    </format>
    <format dxfId="99">
      <pivotArea dataOnly="0" labelOnly="1" outline="0" fieldPosition="0">
        <references count="1">
          <reference field="5" count="0"/>
        </references>
      </pivotArea>
    </format>
    <format dxfId="98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97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96">
      <pivotArea collapsedLevelsAreSubtotals="1" fieldPosition="0">
        <references count="1">
          <reference field="0" count="3">
            <x v="13"/>
            <x v="14"/>
            <x v="15"/>
          </reference>
        </references>
      </pivotArea>
    </format>
    <format dxfId="95">
      <pivotArea dataOnly="0" labelOnly="1" fieldPosition="0">
        <references count="1">
          <reference field="0" count="3">
            <x v="13"/>
            <x v="14"/>
            <x v="15"/>
          </reference>
        </references>
      </pivotArea>
    </format>
    <format dxfId="94">
      <pivotArea collapsedLevelsAreSubtotals="1" fieldPosition="0">
        <references count="2">
          <reference field="4294967294" count="1" selected="0">
            <x v="0"/>
          </reference>
          <reference field="0" count="7">
            <x v="3"/>
            <x v="4"/>
            <x v="10"/>
            <x v="12"/>
            <x v="13"/>
            <x v="14"/>
            <x v="15"/>
          </reference>
        </references>
      </pivotArea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0" dT="2025-02-23T18:02:59.76" personId="{4F7CEB18-2372-484C-B22D-63F858CFDD9B}" id="{5BC57BB8-E13A-4CC3-8203-016D701BA9E9}">
    <text>Pactia, FCP Pactia, Sator y SP</text>
  </threadedComment>
  <threadedComment ref="N20" dT="2025-02-24T21:48:03.13" personId="{4F7CEB18-2372-484C-B22D-63F858CFDD9B}" id="{CB419C4E-1C96-4703-B598-A8AB1820F0D2}" parentId="{5BC57BB8-E13A-4CC3-8203-016D701BA9E9}">
    <text>FCP Pactia, Pactia, Sator y SP</text>
  </threadedComment>
  <threadedComment ref="N31" dT="2025-02-24T19:01:02.45" personId="{4F7CEB18-2372-484C-B22D-63F858CFDD9B}" id="{BAE73A32-32F1-4325-8CAD-2F89175C7E8D}">
    <text>Vallecement y FCP Pactia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</sheetPr>
  <dimension ref="A5:E21"/>
  <sheetViews>
    <sheetView showGridLines="0" tabSelected="1" topLeftCell="A7" zoomScaleNormal="100" workbookViewId="0">
      <selection activeCell="D17" sqref="D17"/>
    </sheetView>
  </sheetViews>
  <sheetFormatPr baseColWidth="10" defaultColWidth="11.453125" defaultRowHeight="15" x14ac:dyDescent="0.35"/>
  <cols>
    <col min="1" max="1" width="2.453125" style="109" customWidth="1"/>
    <col min="2" max="2" width="56.6328125" style="109" bestFit="1" customWidth="1"/>
    <col min="3" max="3" width="15" style="109" bestFit="1" customWidth="1"/>
    <col min="4" max="4" width="14.453125" style="109" bestFit="1" customWidth="1"/>
    <col min="5" max="5" width="19.1796875" style="109" customWidth="1"/>
    <col min="6" max="16384" width="11.453125" style="109"/>
  </cols>
  <sheetData>
    <row r="5" spans="1:5" x14ac:dyDescent="0.35">
      <c r="A5" s="108" t="s">
        <v>15</v>
      </c>
    </row>
    <row r="6" spans="1:5" x14ac:dyDescent="0.35">
      <c r="A6" s="108" t="s">
        <v>10</v>
      </c>
    </row>
    <row r="8" spans="1:5" x14ac:dyDescent="0.35">
      <c r="B8" s="169" t="s">
        <v>0</v>
      </c>
      <c r="C8" s="185">
        <v>45747</v>
      </c>
    </row>
    <row r="10" spans="1:5" s="82" customFormat="1" ht="30" x14ac:dyDescent="0.35">
      <c r="B10" s="170" t="s">
        <v>1</v>
      </c>
      <c r="C10" s="171" t="s">
        <v>115</v>
      </c>
      <c r="D10" s="171" t="s">
        <v>114</v>
      </c>
      <c r="E10" s="155"/>
    </row>
    <row r="11" spans="1:5" x14ac:dyDescent="0.35">
      <c r="B11" s="172" t="s">
        <v>116</v>
      </c>
      <c r="C11" s="176">
        <v>0.5441850141865533</v>
      </c>
      <c r="D11" s="173">
        <v>7228728.6681599999</v>
      </c>
      <c r="E11" s="155"/>
    </row>
    <row r="12" spans="1:5" x14ac:dyDescent="0.35">
      <c r="B12" s="174" t="s">
        <v>2</v>
      </c>
      <c r="C12" s="180">
        <v>0.54009793319797628</v>
      </c>
      <c r="D12" s="181">
        <v>2231459.6095799999</v>
      </c>
      <c r="E12" s="155"/>
    </row>
    <row r="13" spans="1:5" x14ac:dyDescent="0.35">
      <c r="B13" s="175" t="s">
        <v>9</v>
      </c>
      <c r="C13" s="176">
        <v>0.99943118690289201</v>
      </c>
      <c r="D13" s="173">
        <v>2057321.469</v>
      </c>
      <c r="E13" s="155"/>
    </row>
    <row r="14" spans="1:5" x14ac:dyDescent="0.35">
      <c r="B14" s="172" t="s">
        <v>110</v>
      </c>
      <c r="C14" s="176">
        <v>9.3792844677905426E-2</v>
      </c>
      <c r="D14" s="173">
        <v>1126580.395</v>
      </c>
      <c r="E14" s="155"/>
    </row>
    <row r="15" spans="1:5" x14ac:dyDescent="0.35">
      <c r="B15" s="177" t="s">
        <v>112</v>
      </c>
      <c r="C15" s="178">
        <v>0</v>
      </c>
      <c r="D15" s="179">
        <v>6596000</v>
      </c>
      <c r="E15" s="155"/>
    </row>
    <row r="16" spans="1:5" ht="15.5" thickBot="1" x14ac:dyDescent="0.4">
      <c r="B16" s="188" t="s">
        <v>96</v>
      </c>
      <c r="C16" s="186">
        <v>0.37138110846276684</v>
      </c>
      <c r="D16" s="187">
        <v>914991.61735399999</v>
      </c>
      <c r="E16" s="155"/>
    </row>
    <row r="17" spans="2:5" x14ac:dyDescent="0.35">
      <c r="B17" s="184" t="s">
        <v>113</v>
      </c>
      <c r="C17" s="182">
        <v>2.5488880874280939</v>
      </c>
      <c r="D17" s="183">
        <v>20155081.759094</v>
      </c>
      <c r="E17" s="155"/>
    </row>
    <row r="18" spans="2:5" x14ac:dyDescent="0.35">
      <c r="B18"/>
      <c r="C18"/>
      <c r="D18"/>
      <c r="E18" s="155"/>
    </row>
    <row r="19" spans="2:5" x14ac:dyDescent="0.35">
      <c r="B19"/>
      <c r="C19"/>
      <c r="D19"/>
      <c r="E19" s="155"/>
    </row>
    <row r="20" spans="2:5" x14ac:dyDescent="0.35">
      <c r="B20" s="155"/>
      <c r="C20" s="155"/>
      <c r="D20" s="155"/>
      <c r="E20" s="155"/>
    </row>
    <row r="21" spans="2:5" x14ac:dyDescent="0.35">
      <c r="B21" s="129" t="s">
        <v>100</v>
      </c>
    </row>
  </sheetData>
  <pageMargins left="0.7" right="0.7" top="0.75" bottom="0.75" header="0.3" footer="0.3"/>
  <pageSetup orientation="portrait" verticalDpi="597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F282-FC19-42AC-8C79-4F08FF73E3D3}">
  <sheetPr codeName="Hoja1">
    <tabColor rgb="FF002060"/>
  </sheetPr>
  <dimension ref="A6:H441"/>
  <sheetViews>
    <sheetView showGridLines="0" zoomScaleNormal="100" workbookViewId="0">
      <pane xSplit="2" ySplit="7" topLeftCell="C428" activePane="bottomRight" state="frozen"/>
      <selection pane="topRight" activeCell="C1" sqref="C1"/>
      <selection pane="bottomLeft" activeCell="A8" sqref="A8"/>
      <selection pane="bottomRight" activeCell="C436" sqref="C436"/>
    </sheetView>
  </sheetViews>
  <sheetFormatPr baseColWidth="10" defaultRowHeight="14.5" x14ac:dyDescent="0.35"/>
  <cols>
    <col min="1" max="1" width="4" customWidth="1"/>
    <col min="2" max="2" width="66.08984375" customWidth="1"/>
    <col min="3" max="3" width="22.26953125" customWidth="1"/>
    <col min="4" max="4" width="15.26953125" customWidth="1"/>
    <col min="5" max="5" width="17.26953125" customWidth="1"/>
    <col min="6" max="6" width="22.26953125" customWidth="1"/>
    <col min="7" max="7" width="12.1796875" customWidth="1"/>
    <col min="8" max="8" width="11.7265625" bestFit="1" customWidth="1"/>
  </cols>
  <sheetData>
    <row r="6" spans="1:7" ht="15" thickBot="1" x14ac:dyDescent="0.4">
      <c r="B6" s="105" t="s">
        <v>4</v>
      </c>
      <c r="C6" s="105"/>
      <c r="D6" s="105"/>
      <c r="E6" s="105"/>
      <c r="F6" s="105"/>
      <c r="G6" s="104"/>
    </row>
    <row r="7" spans="1:7" ht="38.25" customHeight="1" thickTop="1" thickBot="1" x14ac:dyDescent="0.4">
      <c r="B7" s="3" t="s">
        <v>99</v>
      </c>
      <c r="C7" s="103" t="s">
        <v>97</v>
      </c>
      <c r="D7" s="102" t="s">
        <v>111</v>
      </c>
      <c r="E7" s="101" t="s">
        <v>105</v>
      </c>
      <c r="F7" s="103" t="s">
        <v>5</v>
      </c>
      <c r="G7" s="100" t="s">
        <v>0</v>
      </c>
    </row>
    <row r="8" spans="1:7" ht="15" thickTop="1" x14ac:dyDescent="0.35">
      <c r="A8" s="4"/>
      <c r="B8" s="5" t="s">
        <v>14</v>
      </c>
      <c r="C8" s="6">
        <v>12701958</v>
      </c>
      <c r="D8" s="7">
        <v>2.4920234972813194E-2</v>
      </c>
      <c r="E8" s="20"/>
      <c r="F8" s="6">
        <f>335331691200/1000000</f>
        <v>335331.6912</v>
      </c>
      <c r="G8" s="24">
        <v>41426</v>
      </c>
    </row>
    <row r="9" spans="1:7" x14ac:dyDescent="0.35">
      <c r="A9" s="4"/>
      <c r="B9" s="11" t="s">
        <v>19</v>
      </c>
      <c r="C9" s="18">
        <v>0</v>
      </c>
      <c r="D9" s="19">
        <v>0</v>
      </c>
      <c r="E9" s="21"/>
      <c r="F9" s="18">
        <v>0</v>
      </c>
      <c r="G9" s="25">
        <v>41426</v>
      </c>
    </row>
    <row r="10" spans="1:7" x14ac:dyDescent="0.35">
      <c r="A10" s="4"/>
      <c r="B10" s="8" t="s">
        <v>2</v>
      </c>
      <c r="C10" s="9">
        <v>361051665</v>
      </c>
      <c r="D10" s="10">
        <v>0.50175019750981298</v>
      </c>
      <c r="E10" s="22"/>
      <c r="F10" s="9">
        <v>1751100.57525</v>
      </c>
      <c r="G10" s="26">
        <v>41426</v>
      </c>
    </row>
    <row r="11" spans="1:7" x14ac:dyDescent="0.35">
      <c r="A11" s="4"/>
      <c r="B11" s="11" t="s">
        <v>12</v>
      </c>
      <c r="C11" s="9">
        <v>698806652</v>
      </c>
      <c r="D11" s="10">
        <v>0.60677559574216033</v>
      </c>
      <c r="E11" s="22"/>
      <c r="F11" s="9">
        <v>5576477.0829600003</v>
      </c>
      <c r="G11" s="26">
        <v>41426</v>
      </c>
    </row>
    <row r="12" spans="1:7" x14ac:dyDescent="0.35">
      <c r="A12" s="4"/>
      <c r="B12" s="11" t="s">
        <v>16</v>
      </c>
      <c r="C12" s="9">
        <v>0</v>
      </c>
      <c r="D12" s="10">
        <v>0</v>
      </c>
      <c r="E12" s="22"/>
      <c r="F12" s="9">
        <v>0</v>
      </c>
      <c r="G12" s="26">
        <v>41426</v>
      </c>
    </row>
    <row r="13" spans="1:7" x14ac:dyDescent="0.35">
      <c r="A13" s="4"/>
      <c r="B13" s="11" t="s">
        <v>6</v>
      </c>
      <c r="C13" s="9">
        <v>41134405</v>
      </c>
      <c r="D13" s="10">
        <v>0.11864506386706992</v>
      </c>
      <c r="E13" s="22"/>
      <c r="F13" s="9">
        <v>370209.64500000002</v>
      </c>
      <c r="G13" s="26">
        <v>41426</v>
      </c>
    </row>
    <row r="14" spans="1:7" x14ac:dyDescent="0.35">
      <c r="A14" s="4"/>
      <c r="B14" s="11" t="s">
        <v>13</v>
      </c>
      <c r="C14" s="9">
        <v>136998942</v>
      </c>
      <c r="D14" s="10">
        <v>0.29208541342749617</v>
      </c>
      <c r="E14" s="22"/>
      <c r="F14" s="9">
        <v>5123760.4308000002</v>
      </c>
      <c r="G14" s="26">
        <v>41426</v>
      </c>
    </row>
    <row r="15" spans="1:7" x14ac:dyDescent="0.35">
      <c r="A15" s="4"/>
      <c r="B15" s="11" t="s">
        <v>7</v>
      </c>
      <c r="C15" s="9">
        <v>9540781</v>
      </c>
      <c r="D15" s="10">
        <v>8.9723806836883441E-2</v>
      </c>
      <c r="E15" s="22"/>
      <c r="F15" s="9">
        <v>361977.23113999999</v>
      </c>
      <c r="G15" s="26">
        <v>41426</v>
      </c>
    </row>
    <row r="16" spans="1:7" ht="15" thickBot="1" x14ac:dyDescent="0.4">
      <c r="A16" s="4"/>
      <c r="B16" s="11" t="s">
        <v>8</v>
      </c>
      <c r="C16" s="9">
        <v>45243781</v>
      </c>
      <c r="D16" s="10">
        <v>9.8329655255264117E-2</v>
      </c>
      <c r="E16" s="22"/>
      <c r="F16" s="9">
        <v>1084945.8683800001</v>
      </c>
      <c r="G16" s="33">
        <v>41426</v>
      </c>
    </row>
    <row r="17" spans="1:7" ht="15" thickTop="1" x14ac:dyDescent="0.35">
      <c r="A17" s="4"/>
      <c r="B17" s="5" t="s">
        <v>14</v>
      </c>
      <c r="C17" s="6">
        <v>12701958</v>
      </c>
      <c r="D17" s="7">
        <v>2.4920234972813194E-2</v>
      </c>
      <c r="E17" s="20"/>
      <c r="F17" s="6">
        <v>341682.67019999999</v>
      </c>
      <c r="G17" s="25">
        <v>41518</v>
      </c>
    </row>
    <row r="18" spans="1:7" x14ac:dyDescent="0.35">
      <c r="A18" s="4"/>
      <c r="B18" s="11" t="s">
        <v>19</v>
      </c>
      <c r="C18" s="18">
        <v>0</v>
      </c>
      <c r="D18" s="19">
        <v>0</v>
      </c>
      <c r="E18" s="21"/>
      <c r="F18" s="18">
        <v>0</v>
      </c>
      <c r="G18" s="25">
        <v>41518</v>
      </c>
    </row>
    <row r="19" spans="1:7" x14ac:dyDescent="0.35">
      <c r="A19" s="4"/>
      <c r="B19" s="8" t="s">
        <v>2</v>
      </c>
      <c r="C19" s="9">
        <v>361051665</v>
      </c>
      <c r="D19" s="10">
        <v>0.50175019750981298</v>
      </c>
      <c r="E19" s="22"/>
      <c r="F19" s="9">
        <v>2242130.83965</v>
      </c>
      <c r="G19" s="26">
        <v>41518</v>
      </c>
    </row>
    <row r="20" spans="1:7" x14ac:dyDescent="0.35">
      <c r="A20" s="4"/>
      <c r="B20" s="11" t="s">
        <v>12</v>
      </c>
      <c r="C20" s="9">
        <v>698806652</v>
      </c>
      <c r="D20" s="10">
        <v>0.60677559574216033</v>
      </c>
      <c r="E20" s="22"/>
      <c r="F20" s="9">
        <v>6988066.5199999996</v>
      </c>
      <c r="G20" s="26">
        <v>41518</v>
      </c>
    </row>
    <row r="21" spans="1:7" x14ac:dyDescent="0.35">
      <c r="A21" s="4"/>
      <c r="B21" s="11" t="s">
        <v>16</v>
      </c>
      <c r="C21" s="9">
        <v>0</v>
      </c>
      <c r="D21" s="10">
        <v>0</v>
      </c>
      <c r="E21" s="22"/>
      <c r="F21" s="9">
        <v>0</v>
      </c>
      <c r="G21" s="26">
        <v>41518</v>
      </c>
    </row>
    <row r="22" spans="1:7" x14ac:dyDescent="0.35">
      <c r="A22" s="4"/>
      <c r="B22" s="11" t="s">
        <v>6</v>
      </c>
      <c r="C22" s="9">
        <v>41134405</v>
      </c>
      <c r="D22" s="10">
        <v>0.11864506386706992</v>
      </c>
      <c r="E22" s="22"/>
      <c r="F22" s="9">
        <v>370209.64500000002</v>
      </c>
      <c r="G22" s="26">
        <v>41518</v>
      </c>
    </row>
    <row r="23" spans="1:7" x14ac:dyDescent="0.35">
      <c r="A23" s="4"/>
      <c r="B23" s="11" t="s">
        <v>13</v>
      </c>
      <c r="C23" s="9">
        <v>136998942</v>
      </c>
      <c r="D23" s="10">
        <v>0.29208541342749617</v>
      </c>
      <c r="E23" s="22"/>
      <c r="F23" s="9">
        <v>5222399.6690400001</v>
      </c>
      <c r="G23" s="26">
        <v>41518</v>
      </c>
    </row>
    <row r="24" spans="1:7" x14ac:dyDescent="0.35">
      <c r="A24" s="4"/>
      <c r="B24" s="11" t="s">
        <v>7</v>
      </c>
      <c r="C24" s="9">
        <v>8840781</v>
      </c>
      <c r="D24" s="10">
        <v>8.3140866847341635E-2</v>
      </c>
      <c r="E24" s="22"/>
      <c r="F24" s="9">
        <v>340900.51536000002</v>
      </c>
      <c r="G24" s="26">
        <v>41518</v>
      </c>
    </row>
    <row r="25" spans="1:7" ht="15" thickBot="1" x14ac:dyDescent="0.4">
      <c r="A25" s="4"/>
      <c r="B25" s="11" t="s">
        <v>8</v>
      </c>
      <c r="C25" s="9">
        <v>45243781</v>
      </c>
      <c r="D25" s="10">
        <v>9.8329655255264117E-2</v>
      </c>
      <c r="E25" s="22"/>
      <c r="F25" s="9">
        <v>1231535.7188200001</v>
      </c>
      <c r="G25" s="33">
        <v>41518</v>
      </c>
    </row>
    <row r="26" spans="1:7" ht="15" thickTop="1" x14ac:dyDescent="0.35">
      <c r="A26" s="4"/>
      <c r="B26" s="5" t="s">
        <v>14</v>
      </c>
      <c r="C26" s="6">
        <v>12701958</v>
      </c>
      <c r="D26" s="7">
        <v>2.4920234972813194E-2</v>
      </c>
      <c r="E26" s="20"/>
      <c r="F26" s="6">
        <v>302560.63955999998</v>
      </c>
      <c r="G26" s="25">
        <v>41609</v>
      </c>
    </row>
    <row r="27" spans="1:7" x14ac:dyDescent="0.35">
      <c r="A27" s="4"/>
      <c r="B27" s="11" t="s">
        <v>19</v>
      </c>
      <c r="C27" s="18">
        <v>0</v>
      </c>
      <c r="D27" s="19">
        <v>0</v>
      </c>
      <c r="E27" s="21"/>
      <c r="F27" s="18">
        <v>0</v>
      </c>
      <c r="G27" s="25">
        <v>41609</v>
      </c>
    </row>
    <row r="28" spans="1:7" x14ac:dyDescent="0.35">
      <c r="A28" s="4"/>
      <c r="B28" s="8" t="s">
        <v>2</v>
      </c>
      <c r="C28" s="9">
        <v>361051665</v>
      </c>
      <c r="D28" s="10">
        <v>0.50175019750981298</v>
      </c>
      <c r="E28" s="22"/>
      <c r="F28" s="9">
        <v>2050773.4572000001</v>
      </c>
      <c r="G28" s="26">
        <v>41609</v>
      </c>
    </row>
    <row r="29" spans="1:7" x14ac:dyDescent="0.35">
      <c r="A29" s="4"/>
      <c r="B29" s="11" t="s">
        <v>12</v>
      </c>
      <c r="C29" s="9">
        <v>698806652</v>
      </c>
      <c r="D29" s="10">
        <v>0.60677559574216033</v>
      </c>
      <c r="E29" s="22"/>
      <c r="F29" s="9">
        <v>6848305.1896000002</v>
      </c>
      <c r="G29" s="26">
        <v>41609</v>
      </c>
    </row>
    <row r="30" spans="1:7" x14ac:dyDescent="0.35">
      <c r="A30" s="4"/>
      <c r="B30" s="11" t="s">
        <v>16</v>
      </c>
      <c r="C30" s="9">
        <v>0</v>
      </c>
      <c r="D30" s="10">
        <v>0</v>
      </c>
      <c r="E30" s="22"/>
      <c r="F30" s="9">
        <v>0</v>
      </c>
      <c r="G30" s="26">
        <v>41609</v>
      </c>
    </row>
    <row r="31" spans="1:7" x14ac:dyDescent="0.35">
      <c r="A31" s="4"/>
      <c r="B31" s="11" t="s">
        <v>6</v>
      </c>
      <c r="C31" s="9">
        <v>41134405</v>
      </c>
      <c r="D31" s="10">
        <v>0.11864506386706992</v>
      </c>
      <c r="E31" s="22"/>
      <c r="F31" s="9">
        <v>370209.64500000002</v>
      </c>
      <c r="G31" s="26">
        <v>41609</v>
      </c>
    </row>
    <row r="32" spans="1:7" x14ac:dyDescent="0.35">
      <c r="A32" s="4"/>
      <c r="B32" s="11" t="s">
        <v>13</v>
      </c>
      <c r="C32" s="9">
        <v>136998942</v>
      </c>
      <c r="D32" s="10">
        <v>0.29208541342749617</v>
      </c>
      <c r="E32" s="22"/>
      <c r="F32" s="9">
        <v>4616864.3454</v>
      </c>
      <c r="G32" s="26">
        <v>41609</v>
      </c>
    </row>
    <row r="33" spans="1:7" x14ac:dyDescent="0.35">
      <c r="A33" s="4"/>
      <c r="B33" s="11" t="s">
        <v>7</v>
      </c>
      <c r="C33" s="9">
        <v>8840781</v>
      </c>
      <c r="D33" s="10">
        <v>8.3140866847341635E-2</v>
      </c>
      <c r="E33" s="22"/>
      <c r="F33" s="9">
        <v>309250.51938000001</v>
      </c>
      <c r="G33" s="26">
        <v>41609</v>
      </c>
    </row>
    <row r="34" spans="1:7" ht="15" thickBot="1" x14ac:dyDescent="0.4">
      <c r="A34" s="4"/>
      <c r="B34" s="11" t="s">
        <v>8</v>
      </c>
      <c r="C34" s="9">
        <v>45243781</v>
      </c>
      <c r="D34" s="10">
        <v>9.8329655255264117E-2</v>
      </c>
      <c r="E34" s="22"/>
      <c r="F34" s="9">
        <v>1196245.5696399999</v>
      </c>
      <c r="G34" s="33">
        <v>41609</v>
      </c>
    </row>
    <row r="35" spans="1:7" ht="15" thickTop="1" x14ac:dyDescent="0.35">
      <c r="A35" s="4"/>
      <c r="B35" s="5" t="s">
        <v>14</v>
      </c>
      <c r="C35" s="6">
        <v>12701958</v>
      </c>
      <c r="D35" s="7">
        <v>2.4920234972813194E-2</v>
      </c>
      <c r="E35" s="20"/>
      <c r="F35" s="6">
        <v>342190.74852000002</v>
      </c>
      <c r="G35" s="25">
        <v>41699</v>
      </c>
    </row>
    <row r="36" spans="1:7" x14ac:dyDescent="0.35">
      <c r="A36" s="4"/>
      <c r="B36" s="11" t="s">
        <v>19</v>
      </c>
      <c r="C36" s="18">
        <v>0</v>
      </c>
      <c r="D36" s="19">
        <v>0</v>
      </c>
      <c r="E36" s="21"/>
      <c r="F36" s="18">
        <v>0</v>
      </c>
      <c r="G36" s="25">
        <v>41699</v>
      </c>
    </row>
    <row r="37" spans="1:7" x14ac:dyDescent="0.35">
      <c r="A37" s="4"/>
      <c r="B37" s="8" t="s">
        <v>2</v>
      </c>
      <c r="C37" s="9">
        <v>376704138</v>
      </c>
      <c r="D37" s="10">
        <v>0.52350229611671739</v>
      </c>
      <c r="E37" s="22"/>
      <c r="F37" s="9">
        <v>2218787.3728200002</v>
      </c>
      <c r="G37" s="26">
        <v>41699</v>
      </c>
    </row>
    <row r="38" spans="1:7" x14ac:dyDescent="0.35">
      <c r="A38" s="4"/>
      <c r="B38" s="11" t="s">
        <v>12</v>
      </c>
      <c r="C38" s="9">
        <v>698806652</v>
      </c>
      <c r="D38" s="10">
        <v>0.60677559574216033</v>
      </c>
      <c r="E38" s="22"/>
      <c r="F38" s="9">
        <v>7043971.0521600004</v>
      </c>
      <c r="G38" s="26">
        <v>41699</v>
      </c>
    </row>
    <row r="39" spans="1:7" x14ac:dyDescent="0.35">
      <c r="A39" s="4"/>
      <c r="B39" s="11" t="s">
        <v>16</v>
      </c>
      <c r="C39" s="9">
        <v>0</v>
      </c>
      <c r="D39" s="10">
        <v>0</v>
      </c>
      <c r="E39" s="22"/>
      <c r="F39" s="9">
        <v>0</v>
      </c>
      <c r="G39" s="26">
        <v>41699</v>
      </c>
    </row>
    <row r="40" spans="1:7" x14ac:dyDescent="0.35">
      <c r="A40" s="4"/>
      <c r="B40" s="11" t="s">
        <v>6</v>
      </c>
      <c r="C40" s="9">
        <v>41134405</v>
      </c>
      <c r="D40" s="10">
        <v>0.11864506386706992</v>
      </c>
      <c r="E40" s="22"/>
      <c r="F40" s="9">
        <v>370209.64500000002</v>
      </c>
      <c r="G40" s="26">
        <v>41699</v>
      </c>
    </row>
    <row r="41" spans="1:7" x14ac:dyDescent="0.35">
      <c r="A41" s="4"/>
      <c r="B41" s="11" t="s">
        <v>13</v>
      </c>
      <c r="C41" s="9">
        <v>137998942</v>
      </c>
      <c r="D41" s="10">
        <v>0.29421744020933432</v>
      </c>
      <c r="E41" s="22"/>
      <c r="F41" s="9">
        <v>5036961.3830000004</v>
      </c>
      <c r="G41" s="26">
        <v>41699</v>
      </c>
    </row>
    <row r="42" spans="1:7" x14ac:dyDescent="0.35">
      <c r="A42" s="4"/>
      <c r="B42" s="11" t="s">
        <v>7</v>
      </c>
      <c r="C42" s="9">
        <v>7828636</v>
      </c>
      <c r="D42" s="10">
        <v>7.3622407711751409E-2</v>
      </c>
      <c r="E42" s="22"/>
      <c r="F42" s="9">
        <v>288093.80479999998</v>
      </c>
      <c r="G42" s="26">
        <v>41699</v>
      </c>
    </row>
    <row r="43" spans="1:7" ht="15" thickBot="1" x14ac:dyDescent="0.4">
      <c r="A43" s="4"/>
      <c r="B43" s="11" t="s">
        <v>8</v>
      </c>
      <c r="C43" s="9">
        <v>45243781</v>
      </c>
      <c r="D43" s="10">
        <v>9.8329655255264117E-2</v>
      </c>
      <c r="E43" s="22"/>
      <c r="F43" s="9">
        <v>1234250.34568</v>
      </c>
      <c r="G43" s="33">
        <v>41699</v>
      </c>
    </row>
    <row r="44" spans="1:7" ht="15" thickTop="1" x14ac:dyDescent="0.35">
      <c r="A44" s="4"/>
      <c r="B44" s="5" t="s">
        <v>14</v>
      </c>
      <c r="C44" s="6">
        <v>12701958</v>
      </c>
      <c r="D44" s="7">
        <v>2.4920234972813194E-2</v>
      </c>
      <c r="E44" s="20"/>
      <c r="F44" s="6">
        <v>337109.96532000002</v>
      </c>
      <c r="G44" s="25">
        <v>41791</v>
      </c>
    </row>
    <row r="45" spans="1:7" x14ac:dyDescent="0.35">
      <c r="A45" s="4"/>
      <c r="B45" s="11" t="s">
        <v>19</v>
      </c>
      <c r="C45" s="18">
        <v>0</v>
      </c>
      <c r="D45" s="19">
        <v>0</v>
      </c>
      <c r="E45" s="21"/>
      <c r="F45" s="18">
        <v>0</v>
      </c>
      <c r="G45" s="25">
        <v>41791</v>
      </c>
    </row>
    <row r="46" spans="1:7" x14ac:dyDescent="0.35">
      <c r="A46" s="4"/>
      <c r="B46" s="8" t="s">
        <v>2</v>
      </c>
      <c r="C46" s="9">
        <v>376704138</v>
      </c>
      <c r="D46" s="10">
        <v>0.52350229611671739</v>
      </c>
      <c r="E46" s="22"/>
      <c r="F46" s="9">
        <v>2297895.2418</v>
      </c>
      <c r="G46" s="26">
        <v>41791</v>
      </c>
    </row>
    <row r="47" spans="1:7" x14ac:dyDescent="0.35">
      <c r="A47" s="4"/>
      <c r="B47" s="11" t="s">
        <v>12</v>
      </c>
      <c r="C47" s="9">
        <v>698806652</v>
      </c>
      <c r="D47" s="10">
        <v>0.51349987128823515</v>
      </c>
      <c r="E47" s="22"/>
      <c r="F47" s="9">
        <v>8259894.6266400004</v>
      </c>
      <c r="G47" s="26">
        <v>41791</v>
      </c>
    </row>
    <row r="48" spans="1:7" x14ac:dyDescent="0.35">
      <c r="A48" s="4"/>
      <c r="B48" s="11" t="s">
        <v>16</v>
      </c>
      <c r="C48" s="9">
        <v>0</v>
      </c>
      <c r="D48" s="10">
        <v>0</v>
      </c>
      <c r="E48" s="22"/>
      <c r="F48" s="9">
        <v>0</v>
      </c>
      <c r="G48" s="26">
        <v>41791</v>
      </c>
    </row>
    <row r="49" spans="1:7" x14ac:dyDescent="0.35">
      <c r="A49" s="4"/>
      <c r="B49" s="11" t="s">
        <v>6</v>
      </c>
      <c r="C49" s="9">
        <v>41134405</v>
      </c>
      <c r="D49" s="10">
        <v>0.11864506386706992</v>
      </c>
      <c r="E49" s="22"/>
      <c r="F49" s="9">
        <v>370209.64500000002</v>
      </c>
      <c r="G49" s="26">
        <v>41791</v>
      </c>
    </row>
    <row r="50" spans="1:7" x14ac:dyDescent="0.35">
      <c r="A50" s="4"/>
      <c r="B50" s="11" t="s">
        <v>13</v>
      </c>
      <c r="C50" s="9">
        <v>137998942</v>
      </c>
      <c r="D50" s="10">
        <v>0.29421744020933432</v>
      </c>
      <c r="E50" s="22"/>
      <c r="F50" s="9">
        <v>5506157.7857999997</v>
      </c>
      <c r="G50" s="26">
        <v>41791</v>
      </c>
    </row>
    <row r="51" spans="1:7" x14ac:dyDescent="0.35">
      <c r="A51" s="4"/>
      <c r="B51" s="11" t="s">
        <v>7</v>
      </c>
      <c r="C51" s="9">
        <v>4253767</v>
      </c>
      <c r="D51" s="10">
        <v>4.0003465276044717E-2</v>
      </c>
      <c r="E51" s="22"/>
      <c r="F51" s="9">
        <v>169299.92660000001</v>
      </c>
      <c r="G51" s="26">
        <v>41791</v>
      </c>
    </row>
    <row r="52" spans="1:7" ht="15" thickBot="1" x14ac:dyDescent="0.4">
      <c r="A52" s="4"/>
      <c r="B52" s="11" t="s">
        <v>8</v>
      </c>
      <c r="C52" s="9">
        <v>45243781</v>
      </c>
      <c r="D52" s="10">
        <v>9.8329655255264117E-2</v>
      </c>
      <c r="E52" s="22"/>
      <c r="F52" s="9">
        <v>1249633.23122</v>
      </c>
      <c r="G52" s="33">
        <v>41791</v>
      </c>
    </row>
    <row r="53" spans="1:7" ht="15" thickTop="1" x14ac:dyDescent="0.35">
      <c r="A53" s="4"/>
      <c r="B53" s="5" t="s">
        <v>14</v>
      </c>
      <c r="C53" s="6">
        <v>12701958</v>
      </c>
      <c r="D53" s="7">
        <v>2.4920234972813194E-2</v>
      </c>
      <c r="E53" s="34"/>
      <c r="F53" s="6">
        <v>351590.19744000002</v>
      </c>
      <c r="G53" s="25">
        <v>41883</v>
      </c>
    </row>
    <row r="54" spans="1:7" x14ac:dyDescent="0.35">
      <c r="A54" s="4"/>
      <c r="B54" s="11" t="s">
        <v>19</v>
      </c>
      <c r="C54" s="18">
        <v>0</v>
      </c>
      <c r="D54" s="19">
        <v>0</v>
      </c>
      <c r="E54" s="21"/>
      <c r="F54" s="18">
        <v>0</v>
      </c>
      <c r="G54" s="25">
        <v>41883</v>
      </c>
    </row>
    <row r="55" spans="1:7" x14ac:dyDescent="0.35">
      <c r="A55" s="4"/>
      <c r="B55" s="8" t="s">
        <v>2</v>
      </c>
      <c r="C55" s="9">
        <v>376704138</v>
      </c>
      <c r="D55" s="10">
        <v>0.52350229611671739</v>
      </c>
      <c r="E55" s="22"/>
      <c r="F55" s="9">
        <v>2290361.1590399998</v>
      </c>
      <c r="G55" s="26">
        <v>41883</v>
      </c>
    </row>
    <row r="56" spans="1:7" x14ac:dyDescent="0.35">
      <c r="A56" s="4"/>
      <c r="B56" s="11" t="s">
        <v>12</v>
      </c>
      <c r="C56" s="9">
        <v>698806652</v>
      </c>
      <c r="D56" s="10">
        <v>0.60677559574216033</v>
      </c>
      <c r="E56" s="22"/>
      <c r="F56" s="9">
        <v>7547111.8415999999</v>
      </c>
      <c r="G56" s="26">
        <v>41883</v>
      </c>
    </row>
    <row r="57" spans="1:7" x14ac:dyDescent="0.35">
      <c r="A57" s="4"/>
      <c r="B57" s="11" t="s">
        <v>16</v>
      </c>
      <c r="C57" s="9">
        <v>0</v>
      </c>
      <c r="D57" s="10">
        <v>0</v>
      </c>
      <c r="E57" s="22"/>
      <c r="F57" s="9">
        <v>0</v>
      </c>
      <c r="G57" s="26">
        <v>41883</v>
      </c>
    </row>
    <row r="58" spans="1:7" x14ac:dyDescent="0.35">
      <c r="A58" s="4"/>
      <c r="B58" s="11" t="s">
        <v>6</v>
      </c>
      <c r="C58" s="9">
        <v>41134405</v>
      </c>
      <c r="D58" s="10">
        <v>0.11864506386706992</v>
      </c>
      <c r="E58" s="22"/>
      <c r="F58" s="9">
        <v>370209.64500000002</v>
      </c>
      <c r="G58" s="26">
        <v>41883</v>
      </c>
    </row>
    <row r="59" spans="1:7" x14ac:dyDescent="0.35">
      <c r="A59" s="4"/>
      <c r="B59" s="11" t="s">
        <v>13</v>
      </c>
      <c r="C59" s="9">
        <v>137498942</v>
      </c>
      <c r="D59" s="10">
        <v>0.29315142681841522</v>
      </c>
      <c r="E59" s="22"/>
      <c r="F59" s="9">
        <v>5587957.0028799996</v>
      </c>
      <c r="G59" s="26">
        <v>41883</v>
      </c>
    </row>
    <row r="60" spans="1:7" x14ac:dyDescent="0.35">
      <c r="A60" s="4"/>
      <c r="B60" s="11" t="s">
        <v>7</v>
      </c>
      <c r="C60" s="9">
        <v>2519207</v>
      </c>
      <c r="D60" s="10">
        <v>2.3691238788506468E-2</v>
      </c>
      <c r="E60" s="22"/>
      <c r="F60" s="9">
        <v>102027.8835</v>
      </c>
      <c r="G60" s="26">
        <v>41883</v>
      </c>
    </row>
    <row r="61" spans="1:7" ht="15" thickBot="1" x14ac:dyDescent="0.4">
      <c r="A61" s="4"/>
      <c r="B61" s="11" t="s">
        <v>8</v>
      </c>
      <c r="C61" s="9">
        <v>45243781</v>
      </c>
      <c r="D61" s="10">
        <v>9.8329655255264117E-2</v>
      </c>
      <c r="E61" s="22"/>
      <c r="F61" s="9">
        <v>1253252.7337</v>
      </c>
      <c r="G61" s="33">
        <v>41883</v>
      </c>
    </row>
    <row r="62" spans="1:7" ht="15" thickTop="1" x14ac:dyDescent="0.35">
      <c r="A62" s="4"/>
      <c r="B62" s="5" t="s">
        <v>14</v>
      </c>
      <c r="C62" s="6">
        <v>12701958</v>
      </c>
      <c r="D62" s="7">
        <v>2.4920234972813194E-2</v>
      </c>
      <c r="E62" s="20"/>
      <c r="F62" s="6">
        <v>351082.11911999999</v>
      </c>
      <c r="G62" s="25">
        <v>41974</v>
      </c>
    </row>
    <row r="63" spans="1:7" x14ac:dyDescent="0.35">
      <c r="A63" s="4"/>
      <c r="B63" s="11" t="s">
        <v>19</v>
      </c>
      <c r="C63" s="18">
        <v>0</v>
      </c>
      <c r="D63" s="19">
        <v>0</v>
      </c>
      <c r="E63" s="21"/>
      <c r="F63" s="18">
        <v>0</v>
      </c>
      <c r="G63" s="25">
        <v>41974</v>
      </c>
    </row>
    <row r="64" spans="1:7" x14ac:dyDescent="0.35">
      <c r="A64" s="4"/>
      <c r="B64" s="8" t="s">
        <v>2</v>
      </c>
      <c r="C64" s="9">
        <v>376729138</v>
      </c>
      <c r="D64" s="10">
        <v>0.52353703838812538</v>
      </c>
      <c r="E64" s="22"/>
      <c r="F64" s="9">
        <v>2211400.04006</v>
      </c>
      <c r="G64" s="26">
        <v>41974</v>
      </c>
    </row>
    <row r="65" spans="1:7" x14ac:dyDescent="0.35">
      <c r="A65" s="4"/>
      <c r="B65" s="11" t="s">
        <v>12</v>
      </c>
      <c r="C65" s="9">
        <v>698806652</v>
      </c>
      <c r="D65" s="10">
        <v>0.60677559574216033</v>
      </c>
      <c r="E65" s="22"/>
      <c r="F65" s="9">
        <v>7127827.8503999999</v>
      </c>
      <c r="G65" s="26">
        <v>41974</v>
      </c>
    </row>
    <row r="66" spans="1:7" x14ac:dyDescent="0.35">
      <c r="A66" s="4"/>
      <c r="B66" s="11" t="s">
        <v>16</v>
      </c>
      <c r="C66" s="9">
        <v>0</v>
      </c>
      <c r="D66" s="10">
        <v>0</v>
      </c>
      <c r="E66" s="22"/>
      <c r="F66" s="9">
        <v>0</v>
      </c>
      <c r="G66" s="26">
        <v>41974</v>
      </c>
    </row>
    <row r="67" spans="1:7" x14ac:dyDescent="0.35">
      <c r="A67" s="4"/>
      <c r="B67" s="11" t="s">
        <v>6</v>
      </c>
      <c r="C67" s="9">
        <v>41134405</v>
      </c>
      <c r="D67" s="10">
        <v>0.11864506386706992</v>
      </c>
      <c r="E67" s="22"/>
      <c r="F67" s="9">
        <v>370209.64500000002</v>
      </c>
      <c r="G67" s="26">
        <v>41974</v>
      </c>
    </row>
    <row r="68" spans="1:7" x14ac:dyDescent="0.35">
      <c r="A68" s="4"/>
      <c r="B68" s="11" t="s">
        <v>13</v>
      </c>
      <c r="C68" s="9">
        <v>137498942</v>
      </c>
      <c r="D68" s="10">
        <v>0.29315142681841522</v>
      </c>
      <c r="E68" s="22"/>
      <c r="F68" s="9">
        <v>5499957.6799999997</v>
      </c>
      <c r="G68" s="26">
        <v>41974</v>
      </c>
    </row>
    <row r="69" spans="1:7" x14ac:dyDescent="0.35">
      <c r="A69" s="4"/>
      <c r="B69" s="11" t="s">
        <v>7</v>
      </c>
      <c r="C69" s="9">
        <v>2519207</v>
      </c>
      <c r="D69" s="10">
        <v>2.3691238788506468E-2</v>
      </c>
      <c r="E69" s="22"/>
      <c r="F69" s="9">
        <v>99508.676500000001</v>
      </c>
      <c r="G69" s="26">
        <v>41974</v>
      </c>
    </row>
    <row r="70" spans="1:7" ht="15" thickBot="1" x14ac:dyDescent="0.4">
      <c r="A70" s="4"/>
      <c r="B70" s="11" t="s">
        <v>8</v>
      </c>
      <c r="C70" s="9">
        <v>45243781</v>
      </c>
      <c r="D70" s="10">
        <v>9.8329655255264117E-2</v>
      </c>
      <c r="E70" s="22"/>
      <c r="F70" s="9">
        <v>1293972.1366000001</v>
      </c>
      <c r="G70" s="33">
        <v>41974</v>
      </c>
    </row>
    <row r="71" spans="1:7" ht="15" thickTop="1" x14ac:dyDescent="0.35">
      <c r="A71" s="4"/>
      <c r="B71" s="5" t="s">
        <v>14</v>
      </c>
      <c r="C71" s="12">
        <v>12701958</v>
      </c>
      <c r="D71" s="7">
        <v>2.4920234972813194E-2</v>
      </c>
      <c r="E71" s="20"/>
      <c r="F71" s="12">
        <v>311197.97100000002</v>
      </c>
      <c r="G71" s="25">
        <v>42064</v>
      </c>
    </row>
    <row r="72" spans="1:7" x14ac:dyDescent="0.35">
      <c r="A72" s="4"/>
      <c r="B72" s="11" t="s">
        <v>19</v>
      </c>
      <c r="C72" s="18">
        <v>0</v>
      </c>
      <c r="D72" s="19">
        <v>0</v>
      </c>
      <c r="E72" s="21"/>
      <c r="F72" s="18">
        <v>0</v>
      </c>
      <c r="G72" s="25">
        <v>42064</v>
      </c>
    </row>
    <row r="73" spans="1:7" x14ac:dyDescent="0.35">
      <c r="A73" s="4"/>
      <c r="B73" s="8" t="s">
        <v>2</v>
      </c>
      <c r="C73" s="9">
        <v>376729138</v>
      </c>
      <c r="D73" s="10">
        <v>0.52353703838812538</v>
      </c>
      <c r="E73" s="22"/>
      <c r="F73" s="9">
        <v>1819601.73654</v>
      </c>
      <c r="G73" s="26">
        <v>42064</v>
      </c>
    </row>
    <row r="74" spans="1:7" x14ac:dyDescent="0.35">
      <c r="B74" s="11" t="s">
        <v>12</v>
      </c>
      <c r="C74" s="9">
        <v>698806652</v>
      </c>
      <c r="D74" s="10">
        <v>0.60677559574216033</v>
      </c>
      <c r="E74" s="22"/>
      <c r="F74" s="9">
        <v>5960820.74156</v>
      </c>
      <c r="G74" s="26">
        <v>42064</v>
      </c>
    </row>
    <row r="75" spans="1:7" x14ac:dyDescent="0.35">
      <c r="B75" s="11" t="s">
        <v>16</v>
      </c>
      <c r="C75" s="9">
        <v>0</v>
      </c>
      <c r="D75" s="10">
        <v>0</v>
      </c>
      <c r="E75" s="22"/>
      <c r="F75" s="9">
        <v>0</v>
      </c>
      <c r="G75" s="26">
        <v>42064</v>
      </c>
    </row>
    <row r="76" spans="1:7" x14ac:dyDescent="0.35">
      <c r="B76" s="11" t="s">
        <v>6</v>
      </c>
      <c r="C76" s="9">
        <v>41134405</v>
      </c>
      <c r="D76" s="10">
        <v>0.11864506386706992</v>
      </c>
      <c r="E76" s="22"/>
      <c r="F76" s="9">
        <v>370209.64500000002</v>
      </c>
      <c r="G76" s="26">
        <v>42064</v>
      </c>
    </row>
    <row r="77" spans="1:7" x14ac:dyDescent="0.35">
      <c r="B77" s="11" t="s">
        <v>13</v>
      </c>
      <c r="C77" s="9">
        <v>137498942</v>
      </c>
      <c r="D77" s="10">
        <v>0.29315142681841522</v>
      </c>
      <c r="E77" s="22"/>
      <c r="F77" s="9">
        <v>4614464.49352</v>
      </c>
      <c r="G77" s="26">
        <v>42064</v>
      </c>
    </row>
    <row r="78" spans="1:7" x14ac:dyDescent="0.35">
      <c r="B78" s="11" t="s">
        <v>7</v>
      </c>
      <c r="C78" s="9">
        <v>2519207</v>
      </c>
      <c r="D78" s="10">
        <v>2.3691238788506468E-2</v>
      </c>
      <c r="E78" s="22"/>
      <c r="F78" s="9">
        <v>84393.434500000003</v>
      </c>
      <c r="G78" s="26">
        <v>42064</v>
      </c>
    </row>
    <row r="79" spans="1:7" ht="15" thickBot="1" x14ac:dyDescent="0.4">
      <c r="B79" s="11" t="s">
        <v>8</v>
      </c>
      <c r="C79" s="9">
        <v>45243781</v>
      </c>
      <c r="D79" s="10">
        <v>9.8329655255264117E-2</v>
      </c>
      <c r="E79" s="22"/>
      <c r="F79" s="9">
        <v>1036082.5849</v>
      </c>
      <c r="G79" s="33">
        <v>42064</v>
      </c>
    </row>
    <row r="80" spans="1:7" ht="15" thickTop="1" x14ac:dyDescent="0.35">
      <c r="A80" s="4"/>
      <c r="B80" s="5" t="s">
        <v>14</v>
      </c>
      <c r="C80" s="13">
        <v>7701958</v>
      </c>
      <c r="D80" s="7">
        <v>1.5110631220063737E-2</v>
      </c>
      <c r="E80" s="20"/>
      <c r="F80" s="13">
        <v>205642.27859999999</v>
      </c>
      <c r="G80" s="25">
        <v>42156</v>
      </c>
    </row>
    <row r="81" spans="1:7" x14ac:dyDescent="0.35">
      <c r="B81" s="11" t="s">
        <v>19</v>
      </c>
      <c r="C81" s="18">
        <v>0</v>
      </c>
      <c r="D81" s="19">
        <v>0</v>
      </c>
      <c r="E81" s="21"/>
      <c r="F81" s="18">
        <v>0</v>
      </c>
      <c r="G81" s="25">
        <v>42156</v>
      </c>
    </row>
    <row r="82" spans="1:7" x14ac:dyDescent="0.35">
      <c r="B82" s="11" t="s">
        <v>2</v>
      </c>
      <c r="C82" s="9">
        <v>376729138</v>
      </c>
      <c r="D82" s="10">
        <v>0.52353703838812538</v>
      </c>
      <c r="E82" s="22"/>
      <c r="F82" s="9">
        <v>1595447.89943</v>
      </c>
      <c r="G82" s="26">
        <v>42156</v>
      </c>
    </row>
    <row r="83" spans="1:7" x14ac:dyDescent="0.35">
      <c r="B83" s="11" t="s">
        <v>12</v>
      </c>
      <c r="C83" s="9">
        <v>698806652</v>
      </c>
      <c r="D83" s="10">
        <v>0.60677559574216033</v>
      </c>
      <c r="E83" s="22"/>
      <c r="F83" s="9">
        <v>6463961.5310000004</v>
      </c>
      <c r="G83" s="26">
        <v>42156</v>
      </c>
    </row>
    <row r="84" spans="1:7" x14ac:dyDescent="0.35">
      <c r="B84" s="11" t="s">
        <v>16</v>
      </c>
      <c r="C84" s="9">
        <v>0</v>
      </c>
      <c r="D84" s="10">
        <v>0</v>
      </c>
      <c r="E84" s="22"/>
      <c r="F84" s="9">
        <v>0</v>
      </c>
      <c r="G84" s="26">
        <v>42156</v>
      </c>
    </row>
    <row r="85" spans="1:7" x14ac:dyDescent="0.35">
      <c r="B85" s="11" t="s">
        <v>6</v>
      </c>
      <c r="C85" s="9">
        <v>41134405</v>
      </c>
      <c r="D85" s="10">
        <v>0.11864506386706992</v>
      </c>
      <c r="E85" s="22"/>
      <c r="F85" s="9">
        <v>370209.64500000002</v>
      </c>
      <c r="G85" s="26">
        <v>42156</v>
      </c>
    </row>
    <row r="86" spans="1:7" x14ac:dyDescent="0.35">
      <c r="B86" s="11" t="s">
        <v>13</v>
      </c>
      <c r="C86" s="9">
        <v>134795646</v>
      </c>
      <c r="D86" s="10">
        <v>0.28738792734717922</v>
      </c>
      <c r="E86" s="22"/>
      <c r="F86" s="9">
        <v>4990134.8149199998</v>
      </c>
      <c r="G86" s="26">
        <v>42156</v>
      </c>
    </row>
    <row r="87" spans="1:7" x14ac:dyDescent="0.35">
      <c r="B87" s="11" t="s">
        <v>7</v>
      </c>
      <c r="C87" s="9">
        <v>2219207</v>
      </c>
      <c r="D87" s="10">
        <v>2.0869965412975221E-2</v>
      </c>
      <c r="E87" s="22"/>
      <c r="F87" s="9">
        <v>80779.1348</v>
      </c>
      <c r="G87" s="26">
        <v>42156</v>
      </c>
    </row>
    <row r="88" spans="1:7" x14ac:dyDescent="0.35">
      <c r="B88" s="11" t="s">
        <v>8</v>
      </c>
      <c r="C88" s="9">
        <v>45243781</v>
      </c>
      <c r="D88" s="10">
        <v>9.8329655255264117E-2</v>
      </c>
      <c r="E88" s="22"/>
      <c r="F88" s="9">
        <v>1036082.5849</v>
      </c>
      <c r="G88" s="26">
        <v>42156</v>
      </c>
    </row>
    <row r="89" spans="1:7" ht="15" thickBot="1" x14ac:dyDescent="0.4">
      <c r="B89" s="14" t="s">
        <v>9</v>
      </c>
      <c r="C89" s="9">
        <v>97631317</v>
      </c>
      <c r="D89" s="15">
        <v>0.49800901863140207</v>
      </c>
      <c r="E89" s="32"/>
      <c r="F89" s="9">
        <v>876729.22666000004</v>
      </c>
      <c r="G89" s="33">
        <v>42156</v>
      </c>
    </row>
    <row r="90" spans="1:7" ht="15" thickTop="1" x14ac:dyDescent="0.35">
      <c r="A90" s="4"/>
      <c r="B90" s="5" t="s">
        <v>14</v>
      </c>
      <c r="C90" s="13">
        <v>7701958</v>
      </c>
      <c r="D90" s="7">
        <v>1.5110631220063737E-2</v>
      </c>
      <c r="E90" s="20"/>
      <c r="F90" s="13">
        <v>182690.44375999999</v>
      </c>
      <c r="G90" s="25">
        <v>42248</v>
      </c>
    </row>
    <row r="91" spans="1:7" x14ac:dyDescent="0.35">
      <c r="B91" s="11" t="s">
        <v>19</v>
      </c>
      <c r="C91" s="18">
        <v>0</v>
      </c>
      <c r="D91" s="19">
        <v>0</v>
      </c>
      <c r="E91" s="21"/>
      <c r="F91" s="18">
        <v>0</v>
      </c>
      <c r="G91" s="25">
        <v>42248</v>
      </c>
    </row>
    <row r="92" spans="1:7" x14ac:dyDescent="0.35">
      <c r="B92" s="11" t="s">
        <v>2</v>
      </c>
      <c r="C92" s="9">
        <v>377944051</v>
      </c>
      <c r="D92" s="10">
        <v>0.52522539187545036</v>
      </c>
      <c r="E92" s="22"/>
      <c r="F92" s="9">
        <v>1349260.2620699999</v>
      </c>
      <c r="G92" s="25">
        <v>42248</v>
      </c>
    </row>
    <row r="93" spans="1:7" x14ac:dyDescent="0.35">
      <c r="B93" s="11" t="s">
        <v>12</v>
      </c>
      <c r="C93" s="9">
        <v>637323670</v>
      </c>
      <c r="D93" s="10">
        <v>0.55338976587880284</v>
      </c>
      <c r="E93" s="22"/>
      <c r="F93" s="9">
        <v>6016335.4447999997</v>
      </c>
      <c r="G93" s="25">
        <v>42248</v>
      </c>
    </row>
    <row r="94" spans="1:7" x14ac:dyDescent="0.35">
      <c r="B94" s="11" t="s">
        <v>16</v>
      </c>
      <c r="C94" s="9">
        <v>0</v>
      </c>
      <c r="D94" s="10">
        <v>0</v>
      </c>
      <c r="E94" s="22"/>
      <c r="F94" s="9">
        <v>0</v>
      </c>
      <c r="G94" s="25">
        <v>42248</v>
      </c>
    </row>
    <row r="95" spans="1:7" x14ac:dyDescent="0.35">
      <c r="B95" s="11" t="s">
        <v>6</v>
      </c>
      <c r="C95" s="9">
        <v>41134405</v>
      </c>
      <c r="D95" s="10">
        <v>0.11864506386706992</v>
      </c>
      <c r="E95" s="22"/>
      <c r="F95" s="9">
        <v>370209.64500000002</v>
      </c>
      <c r="G95" s="25">
        <v>42248</v>
      </c>
    </row>
    <row r="96" spans="1:7" x14ac:dyDescent="0.35">
      <c r="B96" s="11" t="s">
        <v>13</v>
      </c>
      <c r="C96" s="9">
        <v>134795646</v>
      </c>
      <c r="D96" s="10">
        <v>0.28738792734717922</v>
      </c>
      <c r="E96" s="22"/>
      <c r="F96" s="9">
        <v>4836467.7784799999</v>
      </c>
      <c r="G96" s="25">
        <v>42248</v>
      </c>
    </row>
    <row r="97" spans="1:7" x14ac:dyDescent="0.35">
      <c r="B97" s="11" t="s">
        <v>7</v>
      </c>
      <c r="C97" s="9">
        <v>2219207</v>
      </c>
      <c r="D97" s="10">
        <v>2.0869965412975221E-2</v>
      </c>
      <c r="E97" s="22"/>
      <c r="F97" s="9">
        <v>78559.927800000005</v>
      </c>
      <c r="G97" s="25">
        <v>42248</v>
      </c>
    </row>
    <row r="98" spans="1:7" x14ac:dyDescent="0.35">
      <c r="B98" s="11" t="s">
        <v>8</v>
      </c>
      <c r="C98" s="9">
        <v>45243781</v>
      </c>
      <c r="D98" s="10">
        <v>9.8329655255264117E-2</v>
      </c>
      <c r="E98" s="22"/>
      <c r="F98" s="9">
        <v>940165.76917999994</v>
      </c>
      <c r="G98" s="25">
        <v>42248</v>
      </c>
    </row>
    <row r="99" spans="1:7" ht="15" thickBot="1" x14ac:dyDescent="0.4">
      <c r="B99" s="14" t="s">
        <v>9</v>
      </c>
      <c r="C99" s="16">
        <v>107335635</v>
      </c>
      <c r="D99" s="15">
        <v>0.54750991682851491</v>
      </c>
      <c r="E99" s="23"/>
      <c r="F99" s="16">
        <v>966020.71499999997</v>
      </c>
      <c r="G99" s="27">
        <v>42248</v>
      </c>
    </row>
    <row r="100" spans="1:7" ht="15" thickTop="1" x14ac:dyDescent="0.35">
      <c r="A100" s="4"/>
      <c r="B100" s="5" t="s">
        <v>14</v>
      </c>
      <c r="C100" s="13">
        <v>7701958</v>
      </c>
      <c r="D100" s="7">
        <v>1.5110631220063737E-2</v>
      </c>
      <c r="E100" s="20"/>
      <c r="F100" s="13">
        <v>161587.07884</v>
      </c>
      <c r="G100" s="25">
        <v>42339</v>
      </c>
    </row>
    <row r="101" spans="1:7" x14ac:dyDescent="0.35">
      <c r="B101" s="11" t="s">
        <v>19</v>
      </c>
      <c r="C101" s="18">
        <v>0</v>
      </c>
      <c r="D101" s="19">
        <v>0</v>
      </c>
      <c r="E101" s="21"/>
      <c r="F101" s="18">
        <v>0</v>
      </c>
      <c r="G101" s="25">
        <v>42339</v>
      </c>
    </row>
    <row r="102" spans="1:7" x14ac:dyDescent="0.35">
      <c r="B102" s="11" t="s">
        <v>2</v>
      </c>
      <c r="C102" s="9">
        <v>377944051</v>
      </c>
      <c r="D102" s="10">
        <v>0.52522539187545036</v>
      </c>
      <c r="E102" s="22"/>
      <c r="F102" s="9">
        <v>1058243.3428</v>
      </c>
      <c r="G102" s="25">
        <v>42339</v>
      </c>
    </row>
    <row r="103" spans="1:7" x14ac:dyDescent="0.35">
      <c r="B103" s="11" t="s">
        <v>12</v>
      </c>
      <c r="C103" s="9">
        <v>637323670</v>
      </c>
      <c r="D103" s="10">
        <v>0.55338976587880284</v>
      </c>
      <c r="E103" s="22"/>
      <c r="F103" s="9">
        <v>6194786.0723999999</v>
      </c>
      <c r="G103" s="25">
        <v>42339</v>
      </c>
    </row>
    <row r="104" spans="1:7" x14ac:dyDescent="0.35">
      <c r="B104" s="11" t="s">
        <v>16</v>
      </c>
      <c r="C104" s="9">
        <v>0</v>
      </c>
      <c r="D104" s="10">
        <v>0</v>
      </c>
      <c r="E104" s="22"/>
      <c r="F104" s="9">
        <v>0</v>
      </c>
      <c r="G104" s="25">
        <v>42339</v>
      </c>
    </row>
    <row r="105" spans="1:7" x14ac:dyDescent="0.35">
      <c r="B105" s="11" t="s">
        <v>6</v>
      </c>
      <c r="C105" s="9">
        <v>41134405</v>
      </c>
      <c r="D105" s="10">
        <v>0.11864506386706992</v>
      </c>
      <c r="E105" s="22"/>
      <c r="F105" s="9">
        <v>370209.64500000002</v>
      </c>
      <c r="G105" s="25">
        <v>42339</v>
      </c>
    </row>
    <row r="106" spans="1:7" x14ac:dyDescent="0.35">
      <c r="B106" s="11" t="s">
        <v>13</v>
      </c>
      <c r="C106" s="9">
        <v>134795646</v>
      </c>
      <c r="D106" s="10">
        <v>0.28738792734717922</v>
      </c>
      <c r="E106" s="22"/>
      <c r="F106" s="9">
        <v>4812204.5621999996</v>
      </c>
      <c r="G106" s="25">
        <v>42339</v>
      </c>
    </row>
    <row r="107" spans="1:7" x14ac:dyDescent="0.35">
      <c r="B107" s="11" t="s">
        <v>7</v>
      </c>
      <c r="C107" s="9">
        <v>2219207</v>
      </c>
      <c r="D107" s="10">
        <v>2.0869965412975221E-2</v>
      </c>
      <c r="E107" s="22"/>
      <c r="F107" s="9">
        <v>77228.403600000005</v>
      </c>
      <c r="G107" s="25">
        <v>42339</v>
      </c>
    </row>
    <row r="108" spans="1:7" x14ac:dyDescent="0.35">
      <c r="B108" s="11" t="s">
        <v>8</v>
      </c>
      <c r="C108" s="9">
        <v>45243781</v>
      </c>
      <c r="D108" s="10">
        <v>9.8329655255264117E-2</v>
      </c>
      <c r="E108" s="22"/>
      <c r="F108" s="9">
        <v>1023414.32622</v>
      </c>
      <c r="G108" s="25">
        <v>42339</v>
      </c>
    </row>
    <row r="109" spans="1:7" ht="15" thickBot="1" x14ac:dyDescent="0.4">
      <c r="B109" s="14" t="s">
        <v>9</v>
      </c>
      <c r="C109" s="16">
        <v>107335635</v>
      </c>
      <c r="D109" s="15">
        <v>0.54749999977046304</v>
      </c>
      <c r="E109" s="23"/>
      <c r="F109" s="16">
        <v>912352.89749999996</v>
      </c>
      <c r="G109" s="27">
        <v>42339</v>
      </c>
    </row>
    <row r="110" spans="1:7" ht="15" thickTop="1" x14ac:dyDescent="0.35">
      <c r="A110" s="4"/>
      <c r="B110" s="5" t="s">
        <v>14</v>
      </c>
      <c r="C110" s="13">
        <v>7701958</v>
      </c>
      <c r="D110" s="7">
        <v>1.5110631220063737E-2</v>
      </c>
      <c r="E110" s="20"/>
      <c r="F110" s="13">
        <v>190238.36259999999</v>
      </c>
      <c r="G110" s="25">
        <v>42430</v>
      </c>
    </row>
    <row r="111" spans="1:7" x14ac:dyDescent="0.35">
      <c r="B111" s="11" t="s">
        <v>19</v>
      </c>
      <c r="C111" s="18">
        <v>0</v>
      </c>
      <c r="D111" s="19">
        <v>0</v>
      </c>
      <c r="E111" s="21"/>
      <c r="F111" s="18">
        <v>0</v>
      </c>
      <c r="G111" s="25">
        <v>42430</v>
      </c>
    </row>
    <row r="112" spans="1:7" x14ac:dyDescent="0.35">
      <c r="B112" s="11" t="s">
        <v>2</v>
      </c>
      <c r="C112" s="9">
        <v>377944051</v>
      </c>
      <c r="D112" s="10">
        <v>0.52522539187545036</v>
      </c>
      <c r="E112" s="22"/>
      <c r="F112" s="9">
        <v>1470202.35839</v>
      </c>
      <c r="G112" s="25">
        <v>42430</v>
      </c>
    </row>
    <row r="113" spans="1:7" x14ac:dyDescent="0.35">
      <c r="B113" s="11" t="s">
        <v>12</v>
      </c>
      <c r="C113" s="9">
        <v>637323670</v>
      </c>
      <c r="D113" s="10">
        <v>0.55338976587880284</v>
      </c>
      <c r="E113" s="22"/>
      <c r="F113" s="9">
        <v>7405701.0454000002</v>
      </c>
      <c r="G113" s="25">
        <v>42430</v>
      </c>
    </row>
    <row r="114" spans="1:7" x14ac:dyDescent="0.35">
      <c r="B114" s="11" t="s">
        <v>16</v>
      </c>
      <c r="C114" s="9">
        <v>0</v>
      </c>
      <c r="D114" s="10">
        <v>0</v>
      </c>
      <c r="E114" s="22"/>
      <c r="F114" s="9">
        <v>0</v>
      </c>
      <c r="G114" s="25">
        <v>42430</v>
      </c>
    </row>
    <row r="115" spans="1:7" x14ac:dyDescent="0.35">
      <c r="B115" s="11" t="s">
        <v>6</v>
      </c>
      <c r="C115" s="9">
        <v>41134405</v>
      </c>
      <c r="D115" s="10">
        <v>0.11864506386706992</v>
      </c>
      <c r="E115" s="22"/>
      <c r="F115" s="9">
        <v>370209.64500000002</v>
      </c>
      <c r="G115" s="25">
        <v>42430</v>
      </c>
    </row>
    <row r="116" spans="1:7" x14ac:dyDescent="0.35">
      <c r="B116" s="11" t="s">
        <v>13</v>
      </c>
      <c r="C116" s="9">
        <v>134795646</v>
      </c>
      <c r="D116" s="10">
        <v>0.28738792734717922</v>
      </c>
      <c r="E116" s="22"/>
      <c r="F116" s="9">
        <v>5378346.2753999997</v>
      </c>
      <c r="G116" s="25">
        <v>42430</v>
      </c>
    </row>
    <row r="117" spans="1:7" x14ac:dyDescent="0.35">
      <c r="B117" s="11" t="s">
        <v>7</v>
      </c>
      <c r="C117" s="9">
        <v>2219207</v>
      </c>
      <c r="D117" s="10">
        <v>2.0869965412975221E-2</v>
      </c>
      <c r="E117" s="22"/>
      <c r="F117" s="9">
        <v>86992.914399999994</v>
      </c>
      <c r="G117" s="25">
        <v>42430</v>
      </c>
    </row>
    <row r="118" spans="1:7" x14ac:dyDescent="0.35">
      <c r="B118" s="11" t="s">
        <v>8</v>
      </c>
      <c r="C118" s="9">
        <v>45243781</v>
      </c>
      <c r="D118" s="10">
        <v>9.8329655255264117E-2</v>
      </c>
      <c r="E118" s="22"/>
      <c r="F118" s="9">
        <v>1153716.4154999999</v>
      </c>
      <c r="G118" s="25">
        <v>42430</v>
      </c>
    </row>
    <row r="119" spans="1:7" ht="15" thickBot="1" x14ac:dyDescent="0.4">
      <c r="B119" s="14" t="s">
        <v>9</v>
      </c>
      <c r="C119" s="16">
        <v>107335635</v>
      </c>
      <c r="D119" s="15">
        <v>0.54749999977046304</v>
      </c>
      <c r="E119" s="23"/>
      <c r="F119" s="16">
        <v>933820.02450000006</v>
      </c>
      <c r="G119" s="27">
        <v>42430</v>
      </c>
    </row>
    <row r="120" spans="1:7" ht="15" thickTop="1" x14ac:dyDescent="0.35">
      <c r="A120" s="4"/>
      <c r="B120" s="5" t="s">
        <v>14</v>
      </c>
      <c r="C120" s="13">
        <v>7701958</v>
      </c>
      <c r="D120" s="7">
        <v>1.5110631220063737E-2</v>
      </c>
      <c r="E120" s="20"/>
      <c r="F120" s="13">
        <v>187157.57939999999</v>
      </c>
      <c r="G120" s="25">
        <v>42551</v>
      </c>
    </row>
    <row r="121" spans="1:7" x14ac:dyDescent="0.35">
      <c r="B121" s="11" t="s">
        <v>19</v>
      </c>
      <c r="C121" s="18"/>
      <c r="D121" s="19"/>
      <c r="E121" s="21"/>
      <c r="F121" s="18"/>
      <c r="G121" s="25">
        <v>42551</v>
      </c>
    </row>
    <row r="122" spans="1:7" x14ac:dyDescent="0.35">
      <c r="B122" s="11" t="s">
        <v>2</v>
      </c>
      <c r="C122" s="9">
        <v>391683307</v>
      </c>
      <c r="D122" s="10">
        <v>0.52932139831770031</v>
      </c>
      <c r="E122" s="22"/>
      <c r="F122" s="9">
        <v>1474687.6508549999</v>
      </c>
      <c r="G122" s="25">
        <v>42551</v>
      </c>
    </row>
    <row r="123" spans="1:7" x14ac:dyDescent="0.35">
      <c r="B123" s="11" t="s">
        <v>12</v>
      </c>
      <c r="C123" s="9">
        <v>637323670</v>
      </c>
      <c r="D123" s="10">
        <v>0.55338976587880284</v>
      </c>
      <c r="E123" s="22"/>
      <c r="F123" s="9">
        <v>7329222.2050000001</v>
      </c>
      <c r="G123" s="25">
        <v>42551</v>
      </c>
    </row>
    <row r="124" spans="1:7" x14ac:dyDescent="0.35">
      <c r="B124" s="11" t="s">
        <v>16</v>
      </c>
      <c r="C124" s="9"/>
      <c r="D124" s="10"/>
      <c r="E124" s="22"/>
      <c r="F124" s="9"/>
      <c r="G124" s="25">
        <v>42551</v>
      </c>
    </row>
    <row r="125" spans="1:7" x14ac:dyDescent="0.35">
      <c r="B125" s="11" t="s">
        <v>6</v>
      </c>
      <c r="C125" s="9">
        <v>41134405</v>
      </c>
      <c r="D125" s="10">
        <v>0.11864506386706992</v>
      </c>
      <c r="E125" s="22"/>
      <c r="F125" s="9">
        <v>370209.64500000002</v>
      </c>
      <c r="G125" s="25">
        <v>42551</v>
      </c>
    </row>
    <row r="126" spans="1:7" x14ac:dyDescent="0.35">
      <c r="B126" s="11" t="s">
        <v>13</v>
      </c>
      <c r="C126" s="9">
        <v>134795646</v>
      </c>
      <c r="D126" s="10">
        <v>0.28738792734717922</v>
      </c>
      <c r="E126" s="22"/>
      <c r="F126" s="9">
        <v>5165369.15472</v>
      </c>
      <c r="G126" s="25">
        <v>42551</v>
      </c>
    </row>
    <row r="127" spans="1:7" x14ac:dyDescent="0.35">
      <c r="B127" s="11" t="s">
        <v>7</v>
      </c>
      <c r="C127" s="9">
        <v>2219207</v>
      </c>
      <c r="D127" s="10">
        <v>2.0869965412975221E-2</v>
      </c>
      <c r="E127" s="22"/>
      <c r="F127" s="9">
        <v>83264.646640000006</v>
      </c>
      <c r="G127" s="25">
        <v>42551</v>
      </c>
    </row>
    <row r="128" spans="1:7" x14ac:dyDescent="0.35">
      <c r="B128" s="11" t="s">
        <v>8</v>
      </c>
      <c r="C128" s="9">
        <v>45243781</v>
      </c>
      <c r="D128" s="10">
        <v>9.8329655255264117E-2</v>
      </c>
      <c r="E128" s="22"/>
      <c r="F128" s="9">
        <v>1141048.1568199999</v>
      </c>
      <c r="G128" s="25">
        <v>42551</v>
      </c>
    </row>
    <row r="129" spans="1:7" ht="15" thickBot="1" x14ac:dyDescent="0.4">
      <c r="B129" s="14" t="s">
        <v>9</v>
      </c>
      <c r="C129" s="16">
        <v>107335635</v>
      </c>
      <c r="D129" s="15">
        <v>0.54749999977046304</v>
      </c>
      <c r="E129" s="23"/>
      <c r="F129" s="16">
        <v>942406.87529999996</v>
      </c>
      <c r="G129" s="27">
        <v>42551</v>
      </c>
    </row>
    <row r="130" spans="1:7" ht="15" thickTop="1" x14ac:dyDescent="0.35">
      <c r="A130" s="4"/>
      <c r="B130" s="5" t="s">
        <v>14</v>
      </c>
      <c r="C130" s="13">
        <v>180</v>
      </c>
      <c r="D130" s="7">
        <v>3.531457350989804E-7</v>
      </c>
      <c r="E130" s="20"/>
      <c r="F130" s="13">
        <v>4.6980000000000004</v>
      </c>
      <c r="G130" s="25">
        <v>42614</v>
      </c>
    </row>
    <row r="131" spans="1:7" x14ac:dyDescent="0.35">
      <c r="B131" s="11" t="s">
        <v>19</v>
      </c>
      <c r="C131" s="18"/>
      <c r="D131" s="19"/>
      <c r="E131" s="21"/>
      <c r="F131" s="18"/>
      <c r="G131" s="25">
        <v>42614</v>
      </c>
    </row>
    <row r="132" spans="1:7" x14ac:dyDescent="0.35">
      <c r="B132" s="11" t="s">
        <v>2</v>
      </c>
      <c r="C132" s="9">
        <v>391683307</v>
      </c>
      <c r="D132" s="10">
        <v>0.52932139831770031</v>
      </c>
      <c r="E132" s="22"/>
      <c r="F132" s="9">
        <v>1547149.06265</v>
      </c>
      <c r="G132" s="25">
        <v>42614</v>
      </c>
    </row>
    <row r="133" spans="1:7" x14ac:dyDescent="0.35">
      <c r="B133" s="11" t="s">
        <v>12</v>
      </c>
      <c r="C133" s="9">
        <v>637323670</v>
      </c>
      <c r="D133" s="10">
        <v>0.55338976587880284</v>
      </c>
      <c r="E133" s="22"/>
      <c r="F133" s="9">
        <v>7316475.7315999996</v>
      </c>
      <c r="G133" s="25">
        <v>42614</v>
      </c>
    </row>
    <row r="134" spans="1:7" x14ac:dyDescent="0.35">
      <c r="B134" s="11" t="s">
        <v>16</v>
      </c>
      <c r="C134" s="9"/>
      <c r="D134" s="10"/>
      <c r="E134" s="22"/>
      <c r="F134" s="9"/>
      <c r="G134" s="25">
        <v>42614</v>
      </c>
    </row>
    <row r="135" spans="1:7" x14ac:dyDescent="0.35">
      <c r="B135" s="11" t="s">
        <v>6</v>
      </c>
      <c r="C135" s="9">
        <v>41134405</v>
      </c>
      <c r="D135" s="10">
        <v>0.11864506386706992</v>
      </c>
      <c r="E135" s="22"/>
      <c r="F135" s="9">
        <v>370209.64500000002</v>
      </c>
      <c r="G135" s="25">
        <v>42614</v>
      </c>
    </row>
    <row r="136" spans="1:7" x14ac:dyDescent="0.35">
      <c r="B136" s="11" t="s">
        <v>13</v>
      </c>
      <c r="C136" s="9">
        <v>134795646</v>
      </c>
      <c r="D136" s="10">
        <v>0.28738792734717922</v>
      </c>
      <c r="E136" s="22"/>
      <c r="F136" s="9">
        <v>5071012.2025199998</v>
      </c>
      <c r="G136" s="25">
        <v>42614</v>
      </c>
    </row>
    <row r="137" spans="1:7" x14ac:dyDescent="0.35">
      <c r="B137" s="11" t="s">
        <v>7</v>
      </c>
      <c r="C137" s="9"/>
      <c r="D137" s="10"/>
      <c r="E137" s="22"/>
      <c r="F137" s="9"/>
      <c r="G137" s="25">
        <v>42614</v>
      </c>
    </row>
    <row r="138" spans="1:7" x14ac:dyDescent="0.35">
      <c r="B138" s="11" t="s">
        <v>8</v>
      </c>
      <c r="C138" s="9">
        <v>45243781</v>
      </c>
      <c r="D138" s="10">
        <v>9.8329655255264117E-2</v>
      </c>
      <c r="E138" s="22"/>
      <c r="F138" s="9">
        <v>1146477.4105400001</v>
      </c>
      <c r="G138" s="25">
        <v>42614</v>
      </c>
    </row>
    <row r="139" spans="1:7" ht="15" thickBot="1" x14ac:dyDescent="0.4">
      <c r="B139" s="28" t="s">
        <v>9</v>
      </c>
      <c r="C139" s="29">
        <v>107335635</v>
      </c>
      <c r="D139" s="30">
        <v>0.54749999977046304</v>
      </c>
      <c r="E139" s="31"/>
      <c r="F139" s="29">
        <v>966020.71499999997</v>
      </c>
      <c r="G139" s="27">
        <v>42614</v>
      </c>
    </row>
    <row r="140" spans="1:7" ht="15" thickTop="1" x14ac:dyDescent="0.35">
      <c r="A140" s="4"/>
      <c r="B140" s="5" t="s">
        <v>14</v>
      </c>
      <c r="C140" s="13">
        <v>0</v>
      </c>
      <c r="D140" s="7">
        <v>0</v>
      </c>
      <c r="E140" s="20"/>
      <c r="F140" s="13">
        <v>0</v>
      </c>
      <c r="G140" s="25">
        <v>42705</v>
      </c>
    </row>
    <row r="141" spans="1:7" x14ac:dyDescent="0.35">
      <c r="B141" s="11" t="s">
        <v>19</v>
      </c>
      <c r="C141" s="18">
        <v>0</v>
      </c>
      <c r="D141" s="19">
        <v>0</v>
      </c>
      <c r="E141" s="21"/>
      <c r="F141" s="18">
        <v>0</v>
      </c>
      <c r="G141" s="25">
        <v>42705</v>
      </c>
    </row>
    <row r="142" spans="1:7" x14ac:dyDescent="0.35">
      <c r="B142" s="11" t="s">
        <v>2</v>
      </c>
      <c r="C142" s="9">
        <v>391683307</v>
      </c>
      <c r="D142" s="10">
        <v>0.52932139831770031</v>
      </c>
      <c r="E142" s="22"/>
      <c r="F142" s="9">
        <v>1576525.3106750001</v>
      </c>
      <c r="G142" s="25">
        <v>42705</v>
      </c>
    </row>
    <row r="143" spans="1:7" x14ac:dyDescent="0.35">
      <c r="B143" s="11" t="s">
        <v>12</v>
      </c>
      <c r="C143" s="9">
        <v>637323670</v>
      </c>
      <c r="D143" s="10">
        <v>0.55338976587880284</v>
      </c>
      <c r="E143" s="22"/>
      <c r="F143" s="9">
        <v>7558658.7262000004</v>
      </c>
      <c r="G143" s="25">
        <v>42705</v>
      </c>
    </row>
    <row r="144" spans="1:7" x14ac:dyDescent="0.35">
      <c r="B144" s="11" t="s">
        <v>16</v>
      </c>
      <c r="C144" s="9">
        <v>0</v>
      </c>
      <c r="D144" s="10">
        <v>0</v>
      </c>
      <c r="E144" s="22"/>
      <c r="F144" s="9">
        <v>0</v>
      </c>
      <c r="G144" s="25">
        <v>42705</v>
      </c>
    </row>
    <row r="145" spans="1:7" x14ac:dyDescent="0.35">
      <c r="B145" s="11" t="s">
        <v>6</v>
      </c>
      <c r="C145" s="9">
        <v>41134405</v>
      </c>
      <c r="D145" s="10">
        <v>0.11864506386706992</v>
      </c>
      <c r="E145" s="22"/>
      <c r="F145" s="9">
        <v>370209.64500000002</v>
      </c>
      <c r="G145" s="25">
        <v>42705</v>
      </c>
    </row>
    <row r="146" spans="1:7" x14ac:dyDescent="0.35">
      <c r="B146" s="11" t="s">
        <v>13</v>
      </c>
      <c r="C146" s="9">
        <v>129721643</v>
      </c>
      <c r="D146" s="10">
        <v>0.27657001706005191</v>
      </c>
      <c r="E146" s="22"/>
      <c r="F146" s="9">
        <v>4955366.7626</v>
      </c>
      <c r="G146" s="25">
        <v>42705</v>
      </c>
    </row>
    <row r="147" spans="1:7" x14ac:dyDescent="0.35">
      <c r="B147" s="11" t="s">
        <v>7</v>
      </c>
      <c r="C147" s="9">
        <v>0</v>
      </c>
      <c r="D147" s="10">
        <v>0</v>
      </c>
      <c r="E147" s="22"/>
      <c r="F147" s="9">
        <v>0</v>
      </c>
      <c r="G147" s="25">
        <v>42705</v>
      </c>
    </row>
    <row r="148" spans="1:7" x14ac:dyDescent="0.35">
      <c r="B148" s="11" t="s">
        <v>8</v>
      </c>
      <c r="C148" s="9">
        <v>45243781</v>
      </c>
      <c r="D148" s="10">
        <v>9.8329655255264117E-2</v>
      </c>
      <c r="E148" s="22"/>
      <c r="F148" s="9">
        <v>1126570.1469000001</v>
      </c>
      <c r="G148" s="25">
        <v>42705</v>
      </c>
    </row>
    <row r="149" spans="1:7" ht="15" thickBot="1" x14ac:dyDescent="0.4">
      <c r="B149" s="28" t="s">
        <v>9</v>
      </c>
      <c r="C149" s="29">
        <v>193205716</v>
      </c>
      <c r="D149" s="30">
        <v>0.98550802318029929</v>
      </c>
      <c r="E149" s="31"/>
      <c r="F149" s="29">
        <v>1800677.27312</v>
      </c>
      <c r="G149" s="27">
        <v>42705</v>
      </c>
    </row>
    <row r="150" spans="1:7" ht="15" thickTop="1" x14ac:dyDescent="0.35">
      <c r="A150" s="4"/>
      <c r="B150" s="5" t="s">
        <v>14</v>
      </c>
      <c r="C150" s="13">
        <v>0</v>
      </c>
      <c r="D150" s="35">
        <v>0</v>
      </c>
      <c r="E150" s="20"/>
      <c r="F150" s="13">
        <v>0</v>
      </c>
      <c r="G150" s="25">
        <v>42825</v>
      </c>
    </row>
    <row r="151" spans="1:7" x14ac:dyDescent="0.35">
      <c r="B151" s="96" t="s">
        <v>19</v>
      </c>
      <c r="C151" s="36">
        <v>0</v>
      </c>
      <c r="D151" s="37">
        <v>0</v>
      </c>
      <c r="E151" s="38"/>
      <c r="F151" s="36">
        <v>0</v>
      </c>
      <c r="G151" s="25">
        <v>42825</v>
      </c>
    </row>
    <row r="152" spans="1:7" x14ac:dyDescent="0.35">
      <c r="B152" s="96" t="s">
        <v>2</v>
      </c>
      <c r="C152" s="39">
        <v>391683307</v>
      </c>
      <c r="D152" s="40">
        <v>0.52932139831770031</v>
      </c>
      <c r="E152" s="41"/>
      <c r="F152" s="39">
        <v>1715573</v>
      </c>
      <c r="G152" s="25">
        <v>42825</v>
      </c>
    </row>
    <row r="153" spans="1:7" x14ac:dyDescent="0.35">
      <c r="B153" s="96" t="s">
        <v>12</v>
      </c>
      <c r="C153" s="39">
        <v>637323670</v>
      </c>
      <c r="D153" s="40">
        <v>0.55338976587880284</v>
      </c>
      <c r="E153" s="41"/>
      <c r="F153" s="39">
        <v>7520419</v>
      </c>
      <c r="G153" s="25">
        <v>42825</v>
      </c>
    </row>
    <row r="154" spans="1:7" x14ac:dyDescent="0.35">
      <c r="B154" s="96" t="s">
        <v>16</v>
      </c>
      <c r="C154" s="39">
        <v>0</v>
      </c>
      <c r="D154" s="40">
        <v>0</v>
      </c>
      <c r="E154" s="41"/>
      <c r="F154" s="39">
        <v>0</v>
      </c>
      <c r="G154" s="25">
        <v>42825</v>
      </c>
    </row>
    <row r="155" spans="1:7" x14ac:dyDescent="0.35">
      <c r="B155" s="96" t="s">
        <v>6</v>
      </c>
      <c r="C155" s="39">
        <v>41134405</v>
      </c>
      <c r="D155" s="40">
        <v>0.11864506386706992</v>
      </c>
      <c r="E155" s="41"/>
      <c r="F155" s="39">
        <v>370210</v>
      </c>
      <c r="G155" s="25">
        <v>42825</v>
      </c>
    </row>
    <row r="156" spans="1:7" x14ac:dyDescent="0.35">
      <c r="B156" s="96" t="s">
        <v>13</v>
      </c>
      <c r="C156" s="39">
        <v>129721643</v>
      </c>
      <c r="D156" s="40">
        <v>0.27657001706005191</v>
      </c>
      <c r="E156" s="41"/>
      <c r="F156" s="39">
        <v>5069521.8084399998</v>
      </c>
      <c r="G156" s="25">
        <v>42825</v>
      </c>
    </row>
    <row r="157" spans="1:7" x14ac:dyDescent="0.35">
      <c r="B157" s="96" t="s">
        <v>7</v>
      </c>
      <c r="C157" s="39">
        <v>0</v>
      </c>
      <c r="D157" s="40">
        <v>0</v>
      </c>
      <c r="E157" s="41"/>
      <c r="F157" s="39">
        <v>0</v>
      </c>
      <c r="G157" s="25">
        <v>42825</v>
      </c>
    </row>
    <row r="158" spans="1:7" x14ac:dyDescent="0.35">
      <c r="B158" s="96" t="s">
        <v>8</v>
      </c>
      <c r="C158" s="39">
        <v>45243781</v>
      </c>
      <c r="D158" s="40">
        <v>9.8329655255264117E-2</v>
      </c>
      <c r="E158" s="41"/>
      <c r="F158" s="39">
        <v>1103043.38078</v>
      </c>
      <c r="G158" s="25">
        <v>42825</v>
      </c>
    </row>
    <row r="159" spans="1:7" ht="15" thickBot="1" x14ac:dyDescent="0.4">
      <c r="B159" s="94" t="s">
        <v>9</v>
      </c>
      <c r="C159" s="42">
        <v>193205716</v>
      </c>
      <c r="D159" s="43">
        <v>0.98550802318029929</v>
      </c>
      <c r="E159" s="44"/>
      <c r="F159" s="42">
        <v>1642248.5859999999</v>
      </c>
      <c r="G159" s="27">
        <v>42825</v>
      </c>
    </row>
    <row r="160" spans="1:7" ht="15" thickTop="1" x14ac:dyDescent="0.35">
      <c r="B160" s="96" t="s">
        <v>2</v>
      </c>
      <c r="C160" s="39">
        <v>391683307</v>
      </c>
      <c r="D160" s="40">
        <v>0.52932139831770031</v>
      </c>
      <c r="E160" s="41"/>
      <c r="F160" s="39">
        <v>1801743.2122</v>
      </c>
      <c r="G160" s="25">
        <v>42916</v>
      </c>
    </row>
    <row r="161" spans="2:8" x14ac:dyDescent="0.35">
      <c r="B161" s="96" t="s">
        <v>12</v>
      </c>
      <c r="C161" s="39">
        <v>637323670</v>
      </c>
      <c r="D161" s="40">
        <v>0.55338976587880284</v>
      </c>
      <c r="E161" s="41"/>
      <c r="F161" s="39">
        <v>7545912.2527999999</v>
      </c>
      <c r="G161" s="25">
        <v>42916</v>
      </c>
    </row>
    <row r="162" spans="2:8" x14ac:dyDescent="0.35">
      <c r="B162" s="96" t="s">
        <v>16</v>
      </c>
      <c r="C162" s="39">
        <v>0</v>
      </c>
      <c r="D162" s="40">
        <v>0</v>
      </c>
      <c r="E162" s="41"/>
      <c r="F162" s="39">
        <v>0</v>
      </c>
      <c r="G162" s="25">
        <v>42916</v>
      </c>
    </row>
    <row r="163" spans="2:8" x14ac:dyDescent="0.35">
      <c r="B163" s="96" t="s">
        <v>6</v>
      </c>
      <c r="C163" s="39">
        <v>41134405</v>
      </c>
      <c r="D163" s="40">
        <v>0.11864506386706992</v>
      </c>
      <c r="E163" s="41"/>
      <c r="F163" s="39">
        <v>370209.64500000002</v>
      </c>
      <c r="G163" s="25">
        <v>42916</v>
      </c>
    </row>
    <row r="164" spans="2:8" x14ac:dyDescent="0.35">
      <c r="B164" s="96" t="s">
        <v>13</v>
      </c>
      <c r="C164" s="39">
        <v>129721643</v>
      </c>
      <c r="D164" s="40">
        <v>0.27657001706005191</v>
      </c>
      <c r="E164" s="41"/>
      <c r="F164" s="39">
        <v>5136977.0628000004</v>
      </c>
      <c r="G164" s="25">
        <v>42916</v>
      </c>
    </row>
    <row r="165" spans="2:8" x14ac:dyDescent="0.35">
      <c r="B165" s="96" t="s">
        <v>7</v>
      </c>
      <c r="C165" s="39">
        <v>0</v>
      </c>
      <c r="D165" s="40">
        <v>0</v>
      </c>
      <c r="E165" s="41"/>
      <c r="F165" s="39">
        <v>0</v>
      </c>
      <c r="G165" s="25">
        <v>42916</v>
      </c>
    </row>
    <row r="166" spans="2:8" x14ac:dyDescent="0.35">
      <c r="B166" s="96" t="s">
        <v>8</v>
      </c>
      <c r="C166" s="39">
        <v>45243781</v>
      </c>
      <c r="D166" s="40">
        <v>9.8329655255264117E-2</v>
      </c>
      <c r="E166" s="41"/>
      <c r="F166" s="39">
        <v>1194435.8184</v>
      </c>
      <c r="G166" s="25">
        <v>42916</v>
      </c>
    </row>
    <row r="167" spans="2:8" ht="15" thickBot="1" x14ac:dyDescent="0.4">
      <c r="B167" s="94" t="s">
        <v>9</v>
      </c>
      <c r="C167" s="42">
        <v>193285369</v>
      </c>
      <c r="D167" s="43">
        <v>0.98591431897835102</v>
      </c>
      <c r="E167" s="44"/>
      <c r="F167" s="42">
        <v>1720239.7841</v>
      </c>
      <c r="G167" s="27">
        <v>42916</v>
      </c>
    </row>
    <row r="168" spans="2:8" ht="15" thickTop="1" x14ac:dyDescent="0.35">
      <c r="B168" s="96" t="s">
        <v>2</v>
      </c>
      <c r="C168" s="39">
        <v>391683307</v>
      </c>
      <c r="D168" s="40">
        <v>0.52932139831770031</v>
      </c>
      <c r="E168" s="41"/>
      <c r="F168" s="39">
        <v>1758658.04843</v>
      </c>
      <c r="G168" s="25">
        <v>43008</v>
      </c>
    </row>
    <row r="169" spans="2:8" x14ac:dyDescent="0.35">
      <c r="B169" s="96" t="s">
        <v>12</v>
      </c>
      <c r="C169" s="39">
        <v>637323670</v>
      </c>
      <c r="D169" s="40">
        <v>0.55338976587880284</v>
      </c>
      <c r="E169" s="41"/>
      <c r="F169" s="39">
        <v>7074292.7369999997</v>
      </c>
      <c r="G169" s="25">
        <v>43008</v>
      </c>
    </row>
    <row r="170" spans="2:8" x14ac:dyDescent="0.35">
      <c r="B170" s="96" t="s">
        <v>16</v>
      </c>
      <c r="C170" s="39">
        <v>0</v>
      </c>
      <c r="D170" s="40">
        <v>0</v>
      </c>
      <c r="E170" s="41"/>
      <c r="F170" s="39">
        <v>0</v>
      </c>
      <c r="G170" s="25">
        <v>43008</v>
      </c>
    </row>
    <row r="171" spans="2:8" x14ac:dyDescent="0.35">
      <c r="B171" s="96" t="s">
        <v>6</v>
      </c>
      <c r="C171" s="39">
        <v>41134405</v>
      </c>
      <c r="D171" s="40">
        <v>0.11864506386706992</v>
      </c>
      <c r="E171" s="41"/>
      <c r="F171" s="39">
        <v>370209.64500000002</v>
      </c>
      <c r="G171" s="25">
        <v>43008</v>
      </c>
      <c r="H171" s="77"/>
    </row>
    <row r="172" spans="2:8" x14ac:dyDescent="0.35">
      <c r="B172" s="96" t="s">
        <v>13</v>
      </c>
      <c r="C172" s="39">
        <v>129721643</v>
      </c>
      <c r="D172" s="40">
        <v>0.27657001706005191</v>
      </c>
      <c r="E172" s="41"/>
      <c r="F172" s="39">
        <v>5009849.8526600003</v>
      </c>
      <c r="G172" s="25">
        <v>43008</v>
      </c>
    </row>
    <row r="173" spans="2:8" x14ac:dyDescent="0.35">
      <c r="B173" s="96" t="s">
        <v>7</v>
      </c>
      <c r="C173" s="39">
        <v>0</v>
      </c>
      <c r="D173" s="40">
        <v>0</v>
      </c>
      <c r="E173" s="41"/>
      <c r="F173" s="39">
        <v>0</v>
      </c>
      <c r="G173" s="25">
        <v>43008</v>
      </c>
    </row>
    <row r="174" spans="2:8" x14ac:dyDescent="0.35">
      <c r="B174" s="96" t="s">
        <v>8</v>
      </c>
      <c r="C174" s="39">
        <v>45243781</v>
      </c>
      <c r="D174" s="40">
        <v>9.8329655255264117E-2</v>
      </c>
      <c r="E174" s="41"/>
      <c r="F174" s="39">
        <v>1222486.9626199999</v>
      </c>
      <c r="G174" s="25">
        <v>43008</v>
      </c>
    </row>
    <row r="175" spans="2:8" ht="15" thickBot="1" x14ac:dyDescent="0.4">
      <c r="B175" s="94" t="s">
        <v>9</v>
      </c>
      <c r="C175" s="42">
        <v>195471461</v>
      </c>
      <c r="D175" s="43">
        <v>0.99706518578505698</v>
      </c>
      <c r="E175" s="44"/>
      <c r="F175" s="42">
        <v>1896073.1717000001</v>
      </c>
      <c r="G175" s="27">
        <v>43008</v>
      </c>
    </row>
    <row r="176" spans="2:8" ht="15" thickTop="1" x14ac:dyDescent="0.35">
      <c r="B176" s="96" t="s">
        <v>2</v>
      </c>
      <c r="C176" s="39">
        <v>391683307</v>
      </c>
      <c r="D176" s="40">
        <v>0.52932139831770031</v>
      </c>
      <c r="E176" s="41"/>
      <c r="F176" s="39">
        <v>1843986.2568599503</v>
      </c>
      <c r="G176" s="25">
        <v>43070</v>
      </c>
    </row>
    <row r="177" spans="2:8" x14ac:dyDescent="0.35">
      <c r="B177" s="96" t="s">
        <v>12</v>
      </c>
      <c r="C177" s="39">
        <v>637323670</v>
      </c>
      <c r="D177" s="40">
        <v>0.55338976587880284</v>
      </c>
      <c r="E177" s="41"/>
      <c r="F177" s="39">
        <v>7341968.6783999996</v>
      </c>
      <c r="G177" s="25">
        <v>43070</v>
      </c>
    </row>
    <row r="178" spans="2:8" x14ac:dyDescent="0.35">
      <c r="B178" s="96" t="s">
        <v>16</v>
      </c>
      <c r="C178" s="39">
        <v>0</v>
      </c>
      <c r="D178" s="40">
        <v>0</v>
      </c>
      <c r="E178" s="41"/>
      <c r="F178" s="39">
        <v>0</v>
      </c>
      <c r="G178" s="25">
        <v>43070</v>
      </c>
    </row>
    <row r="179" spans="2:8" x14ac:dyDescent="0.35">
      <c r="B179" s="96" t="s">
        <v>6</v>
      </c>
      <c r="C179" s="39">
        <v>41134405</v>
      </c>
      <c r="D179" s="40">
        <v>0.11864506386706992</v>
      </c>
      <c r="E179" s="41"/>
      <c r="F179" s="39">
        <v>777440.25450000004</v>
      </c>
      <c r="G179" s="25">
        <v>43070</v>
      </c>
      <c r="H179" s="77"/>
    </row>
    <row r="180" spans="2:8" x14ac:dyDescent="0.35">
      <c r="B180" s="96" t="s">
        <v>13</v>
      </c>
      <c r="C180" s="39">
        <v>129721643</v>
      </c>
      <c r="D180" s="40">
        <v>0.27657001706005191</v>
      </c>
      <c r="E180" s="41"/>
      <c r="F180" s="39">
        <v>5227782.2128999997</v>
      </c>
      <c r="G180" s="25">
        <v>43070</v>
      </c>
    </row>
    <row r="181" spans="2:8" x14ac:dyDescent="0.35">
      <c r="B181" s="96" t="s">
        <v>7</v>
      </c>
      <c r="C181" s="39">
        <v>0</v>
      </c>
      <c r="D181" s="40">
        <v>0</v>
      </c>
      <c r="E181" s="41"/>
      <c r="F181" s="39">
        <v>0</v>
      </c>
      <c r="G181" s="25">
        <v>43070</v>
      </c>
    </row>
    <row r="182" spans="2:8" x14ac:dyDescent="0.35">
      <c r="B182" s="96" t="s">
        <v>8</v>
      </c>
      <c r="C182" s="39">
        <v>45243781</v>
      </c>
      <c r="D182" s="40">
        <v>9.8329655255264117E-2</v>
      </c>
      <c r="E182" s="41"/>
      <c r="F182" s="39">
        <v>1258681.9874199999</v>
      </c>
      <c r="G182" s="25">
        <v>43070</v>
      </c>
    </row>
    <row r="183" spans="2:8" ht="15" thickBot="1" x14ac:dyDescent="0.4">
      <c r="B183" s="94" t="s">
        <v>9</v>
      </c>
      <c r="C183" s="42">
        <v>195471461</v>
      </c>
      <c r="D183" s="43">
        <v>0.99706518578505698</v>
      </c>
      <c r="E183" s="44"/>
      <c r="F183" s="42">
        <v>1690481.0012999999</v>
      </c>
      <c r="G183" s="27">
        <v>43070</v>
      </c>
    </row>
    <row r="184" spans="2:8" ht="15" thickTop="1" x14ac:dyDescent="0.35">
      <c r="B184" s="96" t="s">
        <v>2</v>
      </c>
      <c r="C184" s="78">
        <v>566360307</v>
      </c>
      <c r="D184" s="79">
        <v>0.52932227549455446</v>
      </c>
      <c r="E184" s="99"/>
      <c r="F184" s="78">
        <f>4515*C184/1000000</f>
        <v>2557116.7861049999</v>
      </c>
      <c r="G184" s="25">
        <v>43160</v>
      </c>
    </row>
    <row r="185" spans="2:8" x14ac:dyDescent="0.35">
      <c r="B185" s="96" t="s">
        <v>12</v>
      </c>
      <c r="C185" s="39">
        <v>667746710</v>
      </c>
      <c r="D185" s="40">
        <v>0.57980616899610971</v>
      </c>
      <c r="E185" s="99"/>
      <c r="F185" s="39">
        <f>9690*C185/1000000</f>
        <v>6470465.6199000003</v>
      </c>
      <c r="G185" s="25">
        <v>43160</v>
      </c>
    </row>
    <row r="186" spans="2:8" x14ac:dyDescent="0.35">
      <c r="B186" s="96" t="s">
        <v>16</v>
      </c>
      <c r="C186" s="39">
        <v>0</v>
      </c>
      <c r="D186" s="40">
        <v>0</v>
      </c>
      <c r="E186" s="41"/>
      <c r="F186" s="39">
        <v>0</v>
      </c>
      <c r="G186" s="25">
        <v>43160</v>
      </c>
    </row>
    <row r="187" spans="2:8" x14ac:dyDescent="0.35">
      <c r="B187" s="96" t="s">
        <v>6</v>
      </c>
      <c r="C187" s="39">
        <v>6499405</v>
      </c>
      <c r="D187" s="40">
        <v>1.8746407571057697E-2</v>
      </c>
      <c r="E187" s="41"/>
      <c r="F187" s="39">
        <f>+C187*18900/1000000</f>
        <v>122838.7545</v>
      </c>
      <c r="G187" s="25">
        <v>43160</v>
      </c>
    </row>
    <row r="188" spans="2:8" x14ac:dyDescent="0.35">
      <c r="B188" s="96" t="s">
        <v>13</v>
      </c>
      <c r="C188" s="39">
        <v>129721643</v>
      </c>
      <c r="D188" s="40">
        <v>0.27657001706005191</v>
      </c>
      <c r="E188" s="41"/>
      <c r="F188" s="39">
        <f>+C188*37280/1000000</f>
        <v>4836022.8510400001</v>
      </c>
      <c r="G188" s="25">
        <v>43160</v>
      </c>
    </row>
    <row r="189" spans="2:8" x14ac:dyDescent="0.35">
      <c r="B189" s="96" t="s">
        <v>7</v>
      </c>
      <c r="C189" s="39">
        <v>0</v>
      </c>
      <c r="D189" s="40">
        <v>0</v>
      </c>
      <c r="E189" s="41"/>
      <c r="F189" s="39">
        <v>0</v>
      </c>
      <c r="G189" s="25">
        <v>43160</v>
      </c>
    </row>
    <row r="190" spans="2:8" x14ac:dyDescent="0.35">
      <c r="B190" s="96" t="s">
        <v>8</v>
      </c>
      <c r="C190" s="39">
        <v>45243781</v>
      </c>
      <c r="D190" s="40">
        <v>9.8329655255264117E-2</v>
      </c>
      <c r="E190" s="99"/>
      <c r="F190" s="39">
        <f>+C190*25980/1000000</f>
        <v>1175433.43038</v>
      </c>
      <c r="G190" s="25">
        <v>43160</v>
      </c>
    </row>
    <row r="191" spans="2:8" ht="15" thickBot="1" x14ac:dyDescent="0.4">
      <c r="B191" s="94" t="s">
        <v>9</v>
      </c>
      <c r="C191" s="42">
        <v>195733680</v>
      </c>
      <c r="D191" s="43">
        <v>0.99840271830573213</v>
      </c>
      <c r="E191" s="44"/>
      <c r="F191" s="42">
        <f>+C191*10500/1000000</f>
        <v>2055203.64</v>
      </c>
      <c r="G191" s="27">
        <v>43160</v>
      </c>
    </row>
    <row r="192" spans="2:8" ht="15" thickTop="1" x14ac:dyDescent="0.35">
      <c r="B192" s="96" t="s">
        <v>2</v>
      </c>
      <c r="C192" s="78">
        <v>566360307</v>
      </c>
      <c r="D192" s="79">
        <v>0.52932227549455446</v>
      </c>
      <c r="E192" s="80"/>
      <c r="F192" s="78">
        <f>4645*C192/1000000</f>
        <v>2630743.626015</v>
      </c>
      <c r="G192" s="25">
        <v>43252</v>
      </c>
    </row>
    <row r="193" spans="2:7" x14ac:dyDescent="0.35">
      <c r="B193" s="96" t="s">
        <v>12</v>
      </c>
      <c r="C193" s="39">
        <v>667746710</v>
      </c>
      <c r="D193" s="40">
        <v>0.57980616899610971</v>
      </c>
      <c r="E193" s="80"/>
      <c r="F193" s="39">
        <f>9800*C193/1000000</f>
        <v>6543917.7580000004</v>
      </c>
      <c r="G193" s="25">
        <v>43252</v>
      </c>
    </row>
    <row r="194" spans="2:7" x14ac:dyDescent="0.35">
      <c r="B194" s="96" t="s">
        <v>16</v>
      </c>
      <c r="C194" s="39">
        <v>0</v>
      </c>
      <c r="D194" s="40">
        <v>0</v>
      </c>
      <c r="E194" s="80"/>
      <c r="F194" s="39">
        <v>0</v>
      </c>
      <c r="G194" s="25">
        <v>43252</v>
      </c>
    </row>
    <row r="195" spans="2:7" x14ac:dyDescent="0.35">
      <c r="B195" s="96" t="s">
        <v>6</v>
      </c>
      <c r="C195" s="39">
        <v>6499405</v>
      </c>
      <c r="D195" s="40">
        <v>1.8746407571057697E-2</v>
      </c>
      <c r="E195" s="80"/>
      <c r="F195" s="39">
        <f>+C195*18900/1000000</f>
        <v>122838.7545</v>
      </c>
      <c r="G195" s="25">
        <v>43252</v>
      </c>
    </row>
    <row r="196" spans="2:7" x14ac:dyDescent="0.35">
      <c r="B196" s="96" t="s">
        <v>13</v>
      </c>
      <c r="C196" s="39">
        <v>129721643</v>
      </c>
      <c r="D196" s="40">
        <v>0.27657001706005191</v>
      </c>
      <c r="E196" s="80"/>
      <c r="F196" s="39">
        <f>+C196*37600/1000000</f>
        <v>4877533.7768000001</v>
      </c>
      <c r="G196" s="25">
        <v>43252</v>
      </c>
    </row>
    <row r="197" spans="2:7" x14ac:dyDescent="0.35">
      <c r="B197" s="96" t="s">
        <v>7</v>
      </c>
      <c r="C197" s="39">
        <v>0</v>
      </c>
      <c r="D197" s="40">
        <v>0</v>
      </c>
      <c r="E197" s="80"/>
      <c r="F197" s="39">
        <v>0</v>
      </c>
      <c r="G197" s="25">
        <v>43252</v>
      </c>
    </row>
    <row r="198" spans="2:7" x14ac:dyDescent="0.35">
      <c r="B198" s="96" t="s">
        <v>8</v>
      </c>
      <c r="C198" s="39">
        <v>45243781</v>
      </c>
      <c r="D198" s="40">
        <v>9.8329655255264117E-2</v>
      </c>
      <c r="E198" s="80"/>
      <c r="F198" s="39">
        <f>+C198*27000/1000000</f>
        <v>1221582.0870000001</v>
      </c>
      <c r="G198" s="25">
        <v>43252</v>
      </c>
    </row>
    <row r="199" spans="2:7" ht="15" thickBot="1" x14ac:dyDescent="0.4">
      <c r="B199" s="94" t="s">
        <v>9</v>
      </c>
      <c r="C199" s="42">
        <v>195734017</v>
      </c>
      <c r="D199" s="43">
        <v>0.99840443728284456</v>
      </c>
      <c r="E199" s="81"/>
      <c r="F199" s="42">
        <f>+C199*10500/1000000</f>
        <v>2055207.1784999999</v>
      </c>
      <c r="G199" s="27">
        <v>43252</v>
      </c>
    </row>
    <row r="200" spans="2:7" ht="15" thickTop="1" x14ac:dyDescent="0.35">
      <c r="B200" s="96" t="s">
        <v>2</v>
      </c>
      <c r="C200" s="78">
        <v>566360307</v>
      </c>
      <c r="D200" s="79">
        <v>0.52932227549455446</v>
      </c>
      <c r="E200" s="80"/>
      <c r="F200" s="78">
        <f>4340*C200/1000000</f>
        <v>2458003.7323799999</v>
      </c>
      <c r="G200" s="25">
        <v>43344</v>
      </c>
    </row>
    <row r="201" spans="2:7" x14ac:dyDescent="0.35">
      <c r="B201" s="96" t="s">
        <v>12</v>
      </c>
      <c r="C201" s="39">
        <v>667746710</v>
      </c>
      <c r="D201" s="40">
        <v>0.57980616899610971</v>
      </c>
      <c r="E201" s="80"/>
      <c r="F201" s="39">
        <f>7700*C201/1000000</f>
        <v>5141649.6670000004</v>
      </c>
      <c r="G201" s="25">
        <v>43344</v>
      </c>
    </row>
    <row r="202" spans="2:7" x14ac:dyDescent="0.35">
      <c r="B202" s="96" t="s">
        <v>16</v>
      </c>
      <c r="C202" s="39">
        <v>0</v>
      </c>
      <c r="D202" s="40">
        <v>0</v>
      </c>
      <c r="E202" s="80"/>
      <c r="F202" s="39">
        <v>0</v>
      </c>
      <c r="G202" s="25">
        <v>43344</v>
      </c>
    </row>
    <row r="203" spans="2:7" x14ac:dyDescent="0.35">
      <c r="B203" s="96" t="s">
        <v>6</v>
      </c>
      <c r="C203" s="39">
        <v>6499405</v>
      </c>
      <c r="D203" s="40">
        <v>1.8746407571057697E-2</v>
      </c>
      <c r="E203" s="80"/>
      <c r="F203" s="39">
        <f>+C203*18900/1000000</f>
        <v>122838.7545</v>
      </c>
      <c r="G203" s="25">
        <v>43344</v>
      </c>
    </row>
    <row r="204" spans="2:7" x14ac:dyDescent="0.35">
      <c r="B204" s="96" t="s">
        <v>13</v>
      </c>
      <c r="C204" s="39">
        <v>129721643</v>
      </c>
      <c r="D204" s="40">
        <v>0.27657001706005191</v>
      </c>
      <c r="E204" s="80"/>
      <c r="F204" s="39">
        <f>+C204*34760/1000000</f>
        <v>4509124.3106800001</v>
      </c>
      <c r="G204" s="25">
        <v>43344</v>
      </c>
    </row>
    <row r="205" spans="2:7" x14ac:dyDescent="0.35">
      <c r="B205" s="96" t="s">
        <v>7</v>
      </c>
      <c r="C205" s="39">
        <v>0</v>
      </c>
      <c r="D205" s="40">
        <v>0</v>
      </c>
      <c r="E205" s="80"/>
      <c r="F205" s="39">
        <v>0</v>
      </c>
      <c r="G205" s="25">
        <v>43344</v>
      </c>
    </row>
    <row r="206" spans="2:7" x14ac:dyDescent="0.35">
      <c r="B206" s="96" t="s">
        <v>8</v>
      </c>
      <c r="C206" s="39">
        <v>45243781</v>
      </c>
      <c r="D206" s="40">
        <v>9.8329655255264117E-2</v>
      </c>
      <c r="E206" s="80"/>
      <c r="F206" s="39">
        <f>+C206*24200/1000000</f>
        <v>1094899.5001999999</v>
      </c>
      <c r="G206" s="25">
        <v>43344</v>
      </c>
    </row>
    <row r="207" spans="2:7" ht="15" thickBot="1" x14ac:dyDescent="0.4">
      <c r="B207" s="94" t="s">
        <v>9</v>
      </c>
      <c r="C207" s="42">
        <v>195734207</v>
      </c>
      <c r="D207" s="43">
        <v>0.99840540643908016</v>
      </c>
      <c r="E207" s="81"/>
      <c r="F207" s="42">
        <f>+C207*10500/1000000</f>
        <v>2055209.1735</v>
      </c>
      <c r="G207" s="27">
        <v>43344</v>
      </c>
    </row>
    <row r="208" spans="2:7" ht="15" thickTop="1" x14ac:dyDescent="0.35">
      <c r="B208" s="96" t="s">
        <v>2</v>
      </c>
      <c r="C208" s="78">
        <v>566360307</v>
      </c>
      <c r="D208" s="79">
        <v>0.52932227549455446</v>
      </c>
      <c r="E208" s="97"/>
      <c r="F208" s="78">
        <f>4000*C208/1000000</f>
        <v>2265441.2280000001</v>
      </c>
      <c r="G208" s="25">
        <v>43465</v>
      </c>
    </row>
    <row r="209" spans="2:7" x14ac:dyDescent="0.35">
      <c r="B209" s="96" t="s">
        <v>12</v>
      </c>
      <c r="C209" s="39">
        <v>667746710</v>
      </c>
      <c r="D209" s="40">
        <v>0.57980616899610971</v>
      </c>
      <c r="E209" s="97"/>
      <c r="F209" s="39">
        <f>6960*C209/1000000</f>
        <v>4647517.1015999997</v>
      </c>
      <c r="G209" s="25">
        <v>43465</v>
      </c>
    </row>
    <row r="210" spans="2:7" x14ac:dyDescent="0.35">
      <c r="B210" s="96" t="s">
        <v>16</v>
      </c>
      <c r="C210" s="39">
        <v>0</v>
      </c>
      <c r="D210" s="40">
        <v>0</v>
      </c>
      <c r="E210" s="80"/>
      <c r="F210" s="39">
        <v>0</v>
      </c>
      <c r="G210" s="25">
        <v>43465</v>
      </c>
    </row>
    <row r="211" spans="2:7" x14ac:dyDescent="0.35">
      <c r="B211" s="96" t="s">
        <v>6</v>
      </c>
      <c r="C211" s="39">
        <v>6495205</v>
      </c>
      <c r="D211" s="40">
        <v>1.8746407571057697E-2</v>
      </c>
      <c r="E211" s="80"/>
      <c r="F211" s="39">
        <f>+C211*19240/1000000</f>
        <v>124967.7442</v>
      </c>
      <c r="G211" s="25">
        <v>43465</v>
      </c>
    </row>
    <row r="212" spans="2:7" x14ac:dyDescent="0.35">
      <c r="B212" s="96" t="s">
        <v>13</v>
      </c>
      <c r="C212" s="39">
        <v>129721643</v>
      </c>
      <c r="D212" s="40">
        <v>0.27657001706005191</v>
      </c>
      <c r="E212" s="80"/>
      <c r="F212" s="39">
        <f>+C212*32120/1000000</f>
        <v>4166659.1731599998</v>
      </c>
      <c r="G212" s="25">
        <v>43465</v>
      </c>
    </row>
    <row r="213" spans="2:7" x14ac:dyDescent="0.35">
      <c r="B213" s="96" t="s">
        <v>7</v>
      </c>
      <c r="C213" s="39">
        <v>0</v>
      </c>
      <c r="D213" s="40">
        <v>0</v>
      </c>
      <c r="E213" s="80"/>
      <c r="F213" s="39">
        <v>0</v>
      </c>
      <c r="G213" s="25">
        <v>43465</v>
      </c>
    </row>
    <row r="214" spans="2:7" x14ac:dyDescent="0.35">
      <c r="B214" s="96" t="s">
        <v>8</v>
      </c>
      <c r="C214" s="39">
        <v>45243781</v>
      </c>
      <c r="D214" s="40">
        <v>9.8329655255264117E-2</v>
      </c>
      <c r="E214" s="80"/>
      <c r="F214" s="39">
        <f>+C214*23500/1000000</f>
        <v>1063228.8535</v>
      </c>
      <c r="G214" s="25">
        <v>43465</v>
      </c>
    </row>
    <row r="215" spans="2:7" ht="15" thickBot="1" x14ac:dyDescent="0.4">
      <c r="B215" s="94" t="s">
        <v>9</v>
      </c>
      <c r="C215" s="42">
        <v>195734277</v>
      </c>
      <c r="D215" s="43">
        <v>0.99840540643908016</v>
      </c>
      <c r="E215" s="81"/>
      <c r="F215" s="42">
        <f>+C215*10500/1000000</f>
        <v>2055209.9084999999</v>
      </c>
      <c r="G215" s="27">
        <v>43465</v>
      </c>
    </row>
    <row r="216" spans="2:7" ht="15" thickTop="1" x14ac:dyDescent="0.35">
      <c r="B216" s="96" t="s">
        <v>2</v>
      </c>
      <c r="C216" s="78">
        <v>566360307</v>
      </c>
      <c r="D216" s="79">
        <v>0.52932227549455446</v>
      </c>
      <c r="E216" s="97"/>
      <c r="F216" s="78">
        <f>4430*C216/1000000</f>
        <v>2508976.1600100002</v>
      </c>
      <c r="G216" s="25">
        <v>43555</v>
      </c>
    </row>
    <row r="217" spans="2:7" x14ac:dyDescent="0.35">
      <c r="B217" s="96" t="s">
        <v>12</v>
      </c>
      <c r="C217" s="39">
        <v>667746710</v>
      </c>
      <c r="D217" s="40">
        <v>0.57980616899610971</v>
      </c>
      <c r="E217" s="97"/>
      <c r="F217" s="39">
        <f>7880*C217/1000000</f>
        <v>5261844.0747999996</v>
      </c>
      <c r="G217" s="25">
        <v>43555</v>
      </c>
    </row>
    <row r="218" spans="2:7" x14ac:dyDescent="0.35">
      <c r="B218" s="96" t="s">
        <v>16</v>
      </c>
      <c r="C218" s="39">
        <v>0</v>
      </c>
      <c r="D218" s="40">
        <v>0</v>
      </c>
      <c r="E218" s="80"/>
      <c r="F218" s="39">
        <v>0</v>
      </c>
      <c r="G218" s="25">
        <v>43555</v>
      </c>
    </row>
    <row r="219" spans="2:7" x14ac:dyDescent="0.35">
      <c r="B219" s="96" t="s">
        <v>6</v>
      </c>
      <c r="C219" s="39">
        <v>0</v>
      </c>
      <c r="D219" s="40">
        <v>0</v>
      </c>
      <c r="E219" s="80"/>
      <c r="F219" s="39">
        <v>0</v>
      </c>
      <c r="G219" s="25">
        <v>43555</v>
      </c>
    </row>
    <row r="220" spans="2:7" x14ac:dyDescent="0.35">
      <c r="B220" s="96" t="s">
        <v>13</v>
      </c>
      <c r="C220" s="39">
        <v>129721643</v>
      </c>
      <c r="D220" s="40">
        <v>0.27657001706005191</v>
      </c>
      <c r="E220" s="80"/>
      <c r="F220" s="39">
        <f>+C220*36640/1000000</f>
        <v>4753000.9995200001</v>
      </c>
      <c r="G220" s="25">
        <v>43555</v>
      </c>
    </row>
    <row r="221" spans="2:7" x14ac:dyDescent="0.35">
      <c r="B221" s="96" t="s">
        <v>7</v>
      </c>
      <c r="C221" s="39">
        <v>0</v>
      </c>
      <c r="D221" s="40">
        <v>0</v>
      </c>
      <c r="E221" s="80"/>
      <c r="F221" s="39">
        <v>0</v>
      </c>
      <c r="G221" s="25">
        <v>43555</v>
      </c>
    </row>
    <row r="222" spans="2:7" x14ac:dyDescent="0.35">
      <c r="B222" s="96" t="s">
        <v>8</v>
      </c>
      <c r="C222" s="39">
        <v>45243781</v>
      </c>
      <c r="D222" s="40">
        <v>9.8329655255264117E-2</v>
      </c>
      <c r="E222" s="80"/>
      <c r="F222" s="39">
        <f>+C222*25780/1000000</f>
        <v>1166384.6741800001</v>
      </c>
      <c r="G222" s="25">
        <v>43555</v>
      </c>
    </row>
    <row r="223" spans="2:7" ht="15" thickBot="1" x14ac:dyDescent="0.4">
      <c r="B223" s="94" t="s">
        <v>9</v>
      </c>
      <c r="C223" s="42">
        <v>195734277</v>
      </c>
      <c r="D223" s="43">
        <v>0.99840540643908016</v>
      </c>
      <c r="E223" s="81"/>
      <c r="F223" s="42">
        <f>+C223*10500/1000000</f>
        <v>2055209.9084999999</v>
      </c>
      <c r="G223" s="27">
        <v>43555</v>
      </c>
    </row>
    <row r="224" spans="2:7" ht="15" thickTop="1" x14ac:dyDescent="0.35">
      <c r="B224" s="96" t="s">
        <v>2</v>
      </c>
      <c r="C224" s="78">
        <v>566360307</v>
      </c>
      <c r="D224" s="79">
        <v>0.52932227549455446</v>
      </c>
      <c r="E224" s="97"/>
      <c r="F224" s="78">
        <f>4345*C224/1000000</f>
        <v>2460835.533915</v>
      </c>
      <c r="G224" s="25">
        <v>43646</v>
      </c>
    </row>
    <row r="225" spans="2:7" x14ac:dyDescent="0.35">
      <c r="B225" s="96" t="s">
        <v>12</v>
      </c>
      <c r="C225" s="39">
        <v>667746710</v>
      </c>
      <c r="D225" s="40">
        <v>0.57980616899610971</v>
      </c>
      <c r="E225" s="97"/>
      <c r="F225" s="39">
        <f>7500*C225/1000000</f>
        <v>5008100.3250000002</v>
      </c>
      <c r="G225" s="25">
        <v>43646</v>
      </c>
    </row>
    <row r="226" spans="2:7" x14ac:dyDescent="0.35">
      <c r="B226" s="96" t="s">
        <v>16</v>
      </c>
      <c r="C226" s="39">
        <v>0</v>
      </c>
      <c r="D226" s="40">
        <v>0</v>
      </c>
      <c r="E226" s="80"/>
      <c r="F226" s="39">
        <v>0</v>
      </c>
      <c r="G226" s="25">
        <v>43646</v>
      </c>
    </row>
    <row r="227" spans="2:7" x14ac:dyDescent="0.35">
      <c r="B227" s="96" t="s">
        <v>6</v>
      </c>
      <c r="C227" s="39">
        <v>0</v>
      </c>
      <c r="D227" s="40">
        <v>0</v>
      </c>
      <c r="E227" s="80"/>
      <c r="F227" s="39">
        <v>0</v>
      </c>
      <c r="G227" s="25">
        <v>43646</v>
      </c>
    </row>
    <row r="228" spans="2:7" x14ac:dyDescent="0.35">
      <c r="B228" s="96" t="s">
        <v>13</v>
      </c>
      <c r="C228" s="39">
        <v>129721643</v>
      </c>
      <c r="D228" s="40">
        <v>0.27657001706005191</v>
      </c>
      <c r="E228" s="80"/>
      <c r="F228" s="39">
        <f>+C228*34100/1000000</f>
        <v>4423508.0263</v>
      </c>
      <c r="G228" s="25">
        <v>43646</v>
      </c>
    </row>
    <row r="229" spans="2:7" x14ac:dyDescent="0.35">
      <c r="B229" s="96" t="s">
        <v>7</v>
      </c>
      <c r="C229" s="39">
        <v>0</v>
      </c>
      <c r="D229" s="40">
        <v>0</v>
      </c>
      <c r="E229" s="80"/>
      <c r="F229" s="39">
        <v>0</v>
      </c>
      <c r="G229" s="25">
        <v>43646</v>
      </c>
    </row>
    <row r="230" spans="2:7" x14ac:dyDescent="0.35">
      <c r="B230" s="96" t="s">
        <v>8</v>
      </c>
      <c r="C230" s="39">
        <v>45243781</v>
      </c>
      <c r="D230" s="40">
        <v>9.8329655255264117E-2</v>
      </c>
      <c r="E230" s="80"/>
      <c r="F230" s="39">
        <f>+C230*25020/1000000</f>
        <v>1131999.40062</v>
      </c>
      <c r="G230" s="25">
        <v>43646</v>
      </c>
    </row>
    <row r="231" spans="2:7" x14ac:dyDescent="0.35">
      <c r="B231" s="95" t="s">
        <v>96</v>
      </c>
      <c r="C231" s="85">
        <v>59752919</v>
      </c>
      <c r="D231" s="98">
        <f>+C231/186611491.84</f>
        <v>0.32019956761951152</v>
      </c>
      <c r="E231" s="86"/>
      <c r="F231" s="85">
        <f>+C231*11424.5322/1000000</f>
        <v>682649.14715949178</v>
      </c>
      <c r="G231" s="25">
        <v>43646</v>
      </c>
    </row>
    <row r="232" spans="2:7" ht="15" thickBot="1" x14ac:dyDescent="0.4">
      <c r="B232" s="94" t="s">
        <v>9</v>
      </c>
      <c r="C232" s="42">
        <v>195913649</v>
      </c>
      <c r="D232" s="43">
        <v>0.99932070819286223</v>
      </c>
      <c r="E232" s="81"/>
      <c r="F232" s="42">
        <f>+C232*10500/1000000</f>
        <v>2057093.3145000001</v>
      </c>
      <c r="G232" s="27">
        <v>43646</v>
      </c>
    </row>
    <row r="233" spans="2:7" ht="15" thickTop="1" x14ac:dyDescent="0.35">
      <c r="B233" s="96" t="s">
        <v>2</v>
      </c>
      <c r="C233" s="78">
        <v>566360307</v>
      </c>
      <c r="D233" s="79">
        <v>0.52932227549455402</v>
      </c>
      <c r="E233" s="97"/>
      <c r="F233" s="78">
        <f>4350*C233/1000000</f>
        <v>2463667.3354500001</v>
      </c>
      <c r="G233" s="25">
        <v>43738</v>
      </c>
    </row>
    <row r="234" spans="2:7" x14ac:dyDescent="0.35">
      <c r="B234" s="96" t="s">
        <v>12</v>
      </c>
      <c r="C234" s="39">
        <v>667746710</v>
      </c>
      <c r="D234" s="40">
        <v>0.57980616899610971</v>
      </c>
      <c r="E234" s="97"/>
      <c r="F234" s="39">
        <f>7440*C234/1000000</f>
        <v>4968035.5224000001</v>
      </c>
      <c r="G234" s="25">
        <v>43738</v>
      </c>
    </row>
    <row r="235" spans="2:7" x14ac:dyDescent="0.35">
      <c r="B235" s="96" t="s">
        <v>16</v>
      </c>
      <c r="C235" s="39">
        <v>0</v>
      </c>
      <c r="D235" s="40">
        <v>0</v>
      </c>
      <c r="E235" s="80"/>
      <c r="F235" s="39">
        <v>0</v>
      </c>
      <c r="G235" s="25">
        <v>43738</v>
      </c>
    </row>
    <row r="236" spans="2:7" x14ac:dyDescent="0.35">
      <c r="B236" s="96" t="s">
        <v>6</v>
      </c>
      <c r="C236" s="39">
        <v>0</v>
      </c>
      <c r="D236" s="40">
        <v>0</v>
      </c>
      <c r="E236" s="80"/>
      <c r="F236" s="39">
        <v>0</v>
      </c>
      <c r="G236" s="25">
        <v>43738</v>
      </c>
    </row>
    <row r="237" spans="2:7" x14ac:dyDescent="0.35">
      <c r="B237" s="96" t="s">
        <v>13</v>
      </c>
      <c r="C237" s="39">
        <v>129721643</v>
      </c>
      <c r="D237" s="40">
        <v>0.27657001706005191</v>
      </c>
      <c r="E237" s="80"/>
      <c r="F237" s="39">
        <f>+C237*33000/1000000</f>
        <v>4280814.2189999996</v>
      </c>
      <c r="G237" s="25">
        <v>43738</v>
      </c>
    </row>
    <row r="238" spans="2:7" x14ac:dyDescent="0.35">
      <c r="B238" s="96" t="s">
        <v>7</v>
      </c>
      <c r="C238" s="39">
        <v>0</v>
      </c>
      <c r="D238" s="40">
        <v>0</v>
      </c>
      <c r="E238" s="80"/>
      <c r="F238" s="39">
        <v>0</v>
      </c>
      <c r="G238" s="25">
        <v>43738</v>
      </c>
    </row>
    <row r="239" spans="2:7" x14ac:dyDescent="0.35">
      <c r="B239" s="96" t="s">
        <v>8</v>
      </c>
      <c r="C239" s="39">
        <v>45243781</v>
      </c>
      <c r="D239" s="40">
        <v>9.8329655255264117E-2</v>
      </c>
      <c r="E239" s="80"/>
      <c r="F239" s="39">
        <f>+C239*25340/1000000</f>
        <v>1146477.4105400001</v>
      </c>
      <c r="G239" s="25">
        <v>43738</v>
      </c>
    </row>
    <row r="240" spans="2:7" x14ac:dyDescent="0.35">
      <c r="B240" s="95" t="s">
        <v>96</v>
      </c>
      <c r="C240" s="85">
        <v>75143282.659999996</v>
      </c>
      <c r="D240" s="87">
        <v>0.372</v>
      </c>
      <c r="E240" s="86"/>
      <c r="F240" s="85">
        <f>867607700995/1000000</f>
        <v>867607.70099499996</v>
      </c>
      <c r="G240" s="25">
        <v>43738</v>
      </c>
    </row>
    <row r="241" spans="2:7" ht="15" thickBot="1" x14ac:dyDescent="0.4">
      <c r="B241" s="94" t="s">
        <v>9</v>
      </c>
      <c r="C241" s="42">
        <v>195925747</v>
      </c>
      <c r="D241" s="43">
        <v>0.99938241794095495</v>
      </c>
      <c r="E241" s="81"/>
      <c r="F241" s="42">
        <f>+C241*10500/1000000</f>
        <v>2057220.3435</v>
      </c>
      <c r="G241" s="27">
        <v>43738</v>
      </c>
    </row>
    <row r="242" spans="2:7" ht="15" thickTop="1" x14ac:dyDescent="0.35">
      <c r="B242" s="96" t="s">
        <v>2</v>
      </c>
      <c r="C242" s="78">
        <v>566360307</v>
      </c>
      <c r="D242" s="79">
        <v>0.52932227549455446</v>
      </c>
      <c r="E242" s="97"/>
      <c r="F242" s="78">
        <f>4410*C242/1000000</f>
        <v>2497648.9538699999</v>
      </c>
      <c r="G242" s="25">
        <v>43830</v>
      </c>
    </row>
    <row r="243" spans="2:7" x14ac:dyDescent="0.35">
      <c r="B243" s="96" t="s">
        <v>12</v>
      </c>
      <c r="C243" s="39">
        <v>667746710</v>
      </c>
      <c r="D243" s="40">
        <v>0.57980616899610971</v>
      </c>
      <c r="E243" s="97"/>
      <c r="F243" s="39">
        <f>7300*C243/1000000</f>
        <v>4874550.983</v>
      </c>
      <c r="G243" s="25">
        <v>43830</v>
      </c>
    </row>
    <row r="244" spans="2:7" x14ac:dyDescent="0.35">
      <c r="B244" s="96" t="s">
        <v>16</v>
      </c>
      <c r="C244" s="39">
        <v>0</v>
      </c>
      <c r="D244" s="40">
        <v>0</v>
      </c>
      <c r="E244" s="80"/>
      <c r="F244" s="39">
        <v>0</v>
      </c>
      <c r="G244" s="25">
        <v>43830</v>
      </c>
    </row>
    <row r="245" spans="2:7" x14ac:dyDescent="0.35">
      <c r="B245" s="96" t="s">
        <v>6</v>
      </c>
      <c r="C245" s="39">
        <v>0</v>
      </c>
      <c r="D245" s="40">
        <v>0</v>
      </c>
      <c r="E245" s="80"/>
      <c r="F245" s="39">
        <v>0</v>
      </c>
      <c r="G245" s="25">
        <v>43830</v>
      </c>
    </row>
    <row r="246" spans="2:7" x14ac:dyDescent="0.35">
      <c r="B246" s="96" t="s">
        <v>13</v>
      </c>
      <c r="C246" s="39">
        <v>129721643</v>
      </c>
      <c r="D246" s="40">
        <v>0.27657001706005191</v>
      </c>
      <c r="E246" s="80"/>
      <c r="F246" s="39">
        <f>+C246*34000/1000000</f>
        <v>4410535.8619999997</v>
      </c>
      <c r="G246" s="25">
        <v>43830</v>
      </c>
    </row>
    <row r="247" spans="2:7" x14ac:dyDescent="0.35">
      <c r="B247" s="96" t="s">
        <v>7</v>
      </c>
      <c r="C247" s="39">
        <v>0</v>
      </c>
      <c r="D247" s="40">
        <v>0</v>
      </c>
      <c r="E247" s="80"/>
      <c r="F247" s="39">
        <v>0</v>
      </c>
      <c r="G247" s="25">
        <v>43830</v>
      </c>
    </row>
    <row r="248" spans="2:7" x14ac:dyDescent="0.35">
      <c r="B248" s="96" t="s">
        <v>8</v>
      </c>
      <c r="C248" s="39">
        <v>45243781</v>
      </c>
      <c r="D248" s="40">
        <v>9.8329655255264117E-2</v>
      </c>
      <c r="E248" s="80"/>
      <c r="F248" s="39">
        <f>+C248*25400/1000000</f>
        <v>1149192.0374</v>
      </c>
      <c r="G248" s="25">
        <v>43830</v>
      </c>
    </row>
    <row r="249" spans="2:7" x14ac:dyDescent="0.35">
      <c r="B249" s="95" t="s">
        <v>96</v>
      </c>
      <c r="C249" s="85">
        <v>75143282.659999996</v>
      </c>
      <c r="D249" s="87">
        <v>0.372</v>
      </c>
      <c r="E249" s="88"/>
      <c r="F249" s="85">
        <v>870132.72206199996</v>
      </c>
      <c r="G249" s="89">
        <v>43830</v>
      </c>
    </row>
    <row r="250" spans="2:7" ht="15" thickBot="1" x14ac:dyDescent="0.4">
      <c r="B250" s="94" t="s">
        <v>9</v>
      </c>
      <c r="C250" s="42">
        <v>195926517</v>
      </c>
      <c r="D250" s="43">
        <v>0.99938241794095495</v>
      </c>
      <c r="E250" s="81"/>
      <c r="F250" s="42">
        <f>+C250*10500/1000000</f>
        <v>2057228.4284999999</v>
      </c>
      <c r="G250" s="90">
        <v>43830</v>
      </c>
    </row>
    <row r="251" spans="2:7" ht="15" thickTop="1" x14ac:dyDescent="0.35">
      <c r="B251" s="96" t="s">
        <v>2</v>
      </c>
      <c r="C251" s="78">
        <v>566360307</v>
      </c>
      <c r="D251" s="79">
        <v>0.52932227549455446</v>
      </c>
      <c r="E251" s="97"/>
      <c r="F251" s="78">
        <f>+C251*4290/1000000</f>
        <v>2429685.7170299999</v>
      </c>
      <c r="G251" s="25">
        <v>43921</v>
      </c>
    </row>
    <row r="252" spans="2:7" x14ac:dyDescent="0.35">
      <c r="B252" s="96" t="s">
        <v>12</v>
      </c>
      <c r="C252" s="39">
        <v>668786536</v>
      </c>
      <c r="D252" s="40">
        <v>0.58070905256027217</v>
      </c>
      <c r="E252" s="97"/>
      <c r="F252" s="39">
        <f>+(C252*4090)/1000000</f>
        <v>2735336.93224</v>
      </c>
      <c r="G252" s="25">
        <v>43921</v>
      </c>
    </row>
    <row r="253" spans="2:7" x14ac:dyDescent="0.35">
      <c r="B253" s="96" t="s">
        <v>16</v>
      </c>
      <c r="C253" s="39">
        <v>0</v>
      </c>
      <c r="D253" s="40">
        <v>0</v>
      </c>
      <c r="E253" s="80"/>
      <c r="F253" s="39">
        <v>0</v>
      </c>
      <c r="G253" s="25">
        <v>43921</v>
      </c>
    </row>
    <row r="254" spans="2:7" x14ac:dyDescent="0.35">
      <c r="B254" s="96" t="s">
        <v>6</v>
      </c>
      <c r="C254" s="39">
        <v>0</v>
      </c>
      <c r="D254" s="40">
        <v>0</v>
      </c>
      <c r="E254" s="80"/>
      <c r="F254" s="39">
        <v>0</v>
      </c>
      <c r="G254" s="25">
        <v>43921</v>
      </c>
    </row>
    <row r="255" spans="2:7" x14ac:dyDescent="0.35">
      <c r="B255" s="96" t="s">
        <v>13</v>
      </c>
      <c r="C255" s="39">
        <v>129721643</v>
      </c>
      <c r="D255" s="40">
        <v>0.27657001706005191</v>
      </c>
      <c r="E255" s="80"/>
      <c r="F255" s="39">
        <f>+(C255*20020)/1000000</f>
        <v>2597027.2928599999</v>
      </c>
      <c r="G255" s="25">
        <v>43921</v>
      </c>
    </row>
    <row r="256" spans="2:7" x14ac:dyDescent="0.35">
      <c r="B256" s="96" t="s">
        <v>7</v>
      </c>
      <c r="C256" s="39">
        <v>0</v>
      </c>
      <c r="D256" s="40">
        <v>0</v>
      </c>
      <c r="E256" s="80"/>
      <c r="F256" s="39">
        <v>0</v>
      </c>
      <c r="G256" s="25">
        <v>43921</v>
      </c>
    </row>
    <row r="257" spans="2:7" x14ac:dyDescent="0.35">
      <c r="B257" s="96" t="s">
        <v>8</v>
      </c>
      <c r="C257" s="39">
        <v>45243781</v>
      </c>
      <c r="D257" s="40">
        <v>9.8329655255264117E-2</v>
      </c>
      <c r="E257" s="80"/>
      <c r="F257" s="39">
        <f>+(C257*19100)/1000000</f>
        <v>864156.21710000001</v>
      </c>
      <c r="G257" s="25">
        <v>43921</v>
      </c>
    </row>
    <row r="258" spans="2:7" x14ac:dyDescent="0.35">
      <c r="B258" s="95" t="s">
        <v>96</v>
      </c>
      <c r="C258" s="85">
        <v>75143282.659999996</v>
      </c>
      <c r="D258" s="87">
        <v>0.372</v>
      </c>
      <c r="E258" s="88"/>
      <c r="F258" s="85">
        <v>884438.21279899997</v>
      </c>
      <c r="G258" s="25">
        <v>43921</v>
      </c>
    </row>
    <row r="259" spans="2:7" ht="15" thickBot="1" x14ac:dyDescent="0.4">
      <c r="B259" s="94" t="s">
        <v>9</v>
      </c>
      <c r="C259" s="42">
        <v>195926657</v>
      </c>
      <c r="D259" s="43">
        <v>0.99938705968924102</v>
      </c>
      <c r="E259" s="81"/>
      <c r="F259" s="42">
        <f>+(C259*10500)/1000000</f>
        <v>2057229.8984999999</v>
      </c>
      <c r="G259" s="90">
        <v>43921</v>
      </c>
    </row>
    <row r="260" spans="2:7" ht="15" thickTop="1" x14ac:dyDescent="0.35">
      <c r="B260" s="96" t="s">
        <v>2</v>
      </c>
      <c r="C260" s="78">
        <v>566360307</v>
      </c>
      <c r="D260" s="79">
        <v>0.52932227549455446</v>
      </c>
      <c r="E260" s="97"/>
      <c r="F260" s="78">
        <f>+C260*4115/1000000</f>
        <v>2330572.6633049999</v>
      </c>
      <c r="G260" s="25">
        <v>44012</v>
      </c>
    </row>
    <row r="261" spans="2:7" x14ac:dyDescent="0.35">
      <c r="B261" s="96" t="s">
        <v>12</v>
      </c>
      <c r="C261" s="39">
        <v>668786536</v>
      </c>
      <c r="D261" s="40">
        <v>0.58070905256027217</v>
      </c>
      <c r="E261" s="97"/>
      <c r="F261" s="39">
        <f>+(C261*3400)/1000000</f>
        <v>2273874.2223999999</v>
      </c>
      <c r="G261" s="25">
        <f>+G260</f>
        <v>44012</v>
      </c>
    </row>
    <row r="262" spans="2:7" x14ac:dyDescent="0.35">
      <c r="B262" s="96" t="s">
        <v>16</v>
      </c>
      <c r="C262" s="39">
        <v>0</v>
      </c>
      <c r="D262" s="40">
        <v>0</v>
      </c>
      <c r="E262" s="80"/>
      <c r="F262" s="39">
        <v>0</v>
      </c>
      <c r="G262" s="25">
        <f t="shared" ref="G262:G268" si="0">+G261</f>
        <v>44012</v>
      </c>
    </row>
    <row r="263" spans="2:7" x14ac:dyDescent="0.35">
      <c r="B263" s="96" t="s">
        <v>6</v>
      </c>
      <c r="C263" s="39">
        <v>0</v>
      </c>
      <c r="D263" s="40">
        <v>0</v>
      </c>
      <c r="E263" s="80"/>
      <c r="F263" s="39">
        <v>0</v>
      </c>
      <c r="G263" s="25">
        <f t="shared" si="0"/>
        <v>44012</v>
      </c>
    </row>
    <row r="264" spans="2:7" x14ac:dyDescent="0.35">
      <c r="B264" s="96" t="s">
        <v>13</v>
      </c>
      <c r="C264" s="39">
        <v>129721643</v>
      </c>
      <c r="D264" s="40">
        <v>0.27657001706005191</v>
      </c>
      <c r="E264" s="80"/>
      <c r="F264" s="39">
        <f>+(C264*18640)/1000000</f>
        <v>2418011.42552</v>
      </c>
      <c r="G264" s="25">
        <f t="shared" si="0"/>
        <v>44012</v>
      </c>
    </row>
    <row r="265" spans="2:7" x14ac:dyDescent="0.35">
      <c r="B265" s="96" t="s">
        <v>7</v>
      </c>
      <c r="C265" s="39">
        <v>0</v>
      </c>
      <c r="D265" s="40">
        <v>0</v>
      </c>
      <c r="E265" s="80"/>
      <c r="F265" s="39">
        <v>0</v>
      </c>
      <c r="G265" s="25">
        <f t="shared" si="0"/>
        <v>44012</v>
      </c>
    </row>
    <row r="266" spans="2:7" x14ac:dyDescent="0.35">
      <c r="B266" s="96" t="s">
        <v>8</v>
      </c>
      <c r="C266" s="39">
        <v>45243781</v>
      </c>
      <c r="D266" s="40">
        <v>9.8329655255264117E-2</v>
      </c>
      <c r="E266" s="80"/>
      <c r="F266" s="39">
        <f>+(C266*20900)/1000000</f>
        <v>945595.02289999998</v>
      </c>
      <c r="G266" s="25">
        <f t="shared" si="0"/>
        <v>44012</v>
      </c>
    </row>
    <row r="267" spans="2:7" x14ac:dyDescent="0.35">
      <c r="B267" s="95" t="s">
        <v>96</v>
      </c>
      <c r="C267" s="85">
        <v>75143282.659999996</v>
      </c>
      <c r="D267" s="87">
        <v>0.37180000000000002</v>
      </c>
      <c r="E267" s="88"/>
      <c r="F267" s="85">
        <f>892737825192/1000000</f>
        <v>892737.82519200002</v>
      </c>
      <c r="G267" s="89">
        <f t="shared" si="0"/>
        <v>44012</v>
      </c>
    </row>
    <row r="268" spans="2:7" ht="15" thickBot="1" x14ac:dyDescent="0.4">
      <c r="B268" s="94" t="s">
        <v>9</v>
      </c>
      <c r="C268" s="42">
        <v>195926657</v>
      </c>
      <c r="D268" s="43">
        <v>0.99938705968924102</v>
      </c>
      <c r="E268" s="81"/>
      <c r="F268" s="42">
        <f>+(C268*10500)/1000000</f>
        <v>2057229.8984999999</v>
      </c>
      <c r="G268" s="90">
        <f t="shared" si="0"/>
        <v>44012</v>
      </c>
    </row>
    <row r="269" spans="2:7" ht="15" thickTop="1" x14ac:dyDescent="0.35">
      <c r="B269" s="96" t="s">
        <v>2</v>
      </c>
      <c r="C269" s="78">
        <v>566360307</v>
      </c>
      <c r="D269" s="79">
        <v>0.52932227549455446</v>
      </c>
      <c r="E269" s="97"/>
      <c r="F269" s="78">
        <f>+C269*4620/1000000</f>
        <v>2616584.61834</v>
      </c>
      <c r="G269" s="25">
        <v>44104</v>
      </c>
    </row>
    <row r="270" spans="2:7" x14ac:dyDescent="0.35">
      <c r="B270" s="96" t="s">
        <v>12</v>
      </c>
      <c r="C270" s="39">
        <v>668786536</v>
      </c>
      <c r="D270" s="40">
        <v>0.58070905256027217</v>
      </c>
      <c r="E270" s="97"/>
      <c r="F270" s="39">
        <f>+(C270*4630)/1000000</f>
        <v>3096481.6616799999</v>
      </c>
      <c r="G270" s="25">
        <f>+G269</f>
        <v>44104</v>
      </c>
    </row>
    <row r="271" spans="2:7" x14ac:dyDescent="0.35">
      <c r="B271" s="96" t="s">
        <v>16</v>
      </c>
      <c r="C271" s="39">
        <v>0</v>
      </c>
      <c r="D271" s="40">
        <v>0</v>
      </c>
      <c r="E271" s="80"/>
      <c r="F271" s="39">
        <v>0</v>
      </c>
      <c r="G271" s="25">
        <f t="shared" ref="G271:G277" si="1">+G270</f>
        <v>44104</v>
      </c>
    </row>
    <row r="272" spans="2:7" x14ac:dyDescent="0.35">
      <c r="B272" s="96" t="s">
        <v>6</v>
      </c>
      <c r="C272" s="39">
        <v>0</v>
      </c>
      <c r="D272" s="40">
        <v>0</v>
      </c>
      <c r="E272" s="80"/>
      <c r="F272" s="39">
        <v>0</v>
      </c>
      <c r="G272" s="25">
        <f t="shared" si="1"/>
        <v>44104</v>
      </c>
    </row>
    <row r="273" spans="2:7" x14ac:dyDescent="0.35">
      <c r="B273" s="96" t="s">
        <v>13</v>
      </c>
      <c r="C273" s="39">
        <v>129721643</v>
      </c>
      <c r="D273" s="40">
        <v>0.27657001706005191</v>
      </c>
      <c r="E273" s="80"/>
      <c r="F273" s="39">
        <f>+(C273*20620)/1000000</f>
        <v>2674860.2786599998</v>
      </c>
      <c r="G273" s="25">
        <f t="shared" si="1"/>
        <v>44104</v>
      </c>
    </row>
    <row r="274" spans="2:7" x14ac:dyDescent="0.35">
      <c r="B274" s="96" t="s">
        <v>7</v>
      </c>
      <c r="C274" s="39">
        <v>0</v>
      </c>
      <c r="D274" s="40">
        <v>0</v>
      </c>
      <c r="E274" s="80"/>
      <c r="F274" s="39">
        <v>0</v>
      </c>
      <c r="G274" s="25">
        <f t="shared" si="1"/>
        <v>44104</v>
      </c>
    </row>
    <row r="275" spans="2:7" x14ac:dyDescent="0.35">
      <c r="B275" s="96" t="s">
        <v>8</v>
      </c>
      <c r="C275" s="39">
        <v>45243781</v>
      </c>
      <c r="D275" s="40">
        <v>9.8329655255264117E-2</v>
      </c>
      <c r="E275" s="80"/>
      <c r="F275" s="39">
        <f>+(C275*22660)/1000000</f>
        <v>1025224.0774599999</v>
      </c>
      <c r="G275" s="25">
        <f t="shared" si="1"/>
        <v>44104</v>
      </c>
    </row>
    <row r="276" spans="2:7" x14ac:dyDescent="0.35">
      <c r="B276" s="95" t="s">
        <v>96</v>
      </c>
      <c r="C276" s="85">
        <v>75143282.659999996</v>
      </c>
      <c r="D276" s="87">
        <v>0.37180000000000002</v>
      </c>
      <c r="E276" s="88"/>
      <c r="F276" s="85">
        <f>870547082331/1000000</f>
        <v>870547.08233100001</v>
      </c>
      <c r="G276" s="89">
        <f t="shared" si="1"/>
        <v>44104</v>
      </c>
    </row>
    <row r="277" spans="2:7" ht="15" thickBot="1" x14ac:dyDescent="0.4">
      <c r="B277" s="94" t="s">
        <v>9</v>
      </c>
      <c r="C277" s="42">
        <v>195926657</v>
      </c>
      <c r="D277" s="43">
        <v>0.99938705968924102</v>
      </c>
      <c r="E277" s="81"/>
      <c r="F277" s="42">
        <f>+(C277*10500)/1000000</f>
        <v>2057229.8984999999</v>
      </c>
      <c r="G277" s="90">
        <f t="shared" si="1"/>
        <v>44104</v>
      </c>
    </row>
    <row r="278" spans="2:7" ht="15" thickTop="1" x14ac:dyDescent="0.35">
      <c r="B278" s="96" t="s">
        <v>2</v>
      </c>
      <c r="C278" s="78">
        <v>566360307</v>
      </c>
      <c r="D278" s="79">
        <v>0.52932227549455446</v>
      </c>
      <c r="E278" s="97"/>
      <c r="F278" s="78">
        <f>+(4738*C278)/1000000</f>
        <v>2683415.1345660002</v>
      </c>
      <c r="G278" s="25">
        <v>44196</v>
      </c>
    </row>
    <row r="279" spans="2:7" x14ac:dyDescent="0.35">
      <c r="B279" s="96" t="s">
        <v>12</v>
      </c>
      <c r="C279" s="39">
        <v>668786536</v>
      </c>
      <c r="D279" s="40">
        <v>0.58070905256027217</v>
      </c>
      <c r="E279" s="97"/>
      <c r="F279" s="39">
        <f>+(6180*C279)/1000000</f>
        <v>4133100.7924799998</v>
      </c>
      <c r="G279" s="25">
        <f>+G278</f>
        <v>44196</v>
      </c>
    </row>
    <row r="280" spans="2:7" x14ac:dyDescent="0.35">
      <c r="B280" s="96" t="s">
        <v>16</v>
      </c>
      <c r="C280" s="39">
        <v>0</v>
      </c>
      <c r="D280" s="40">
        <v>0</v>
      </c>
      <c r="E280" s="80"/>
      <c r="F280" s="39">
        <v>0</v>
      </c>
      <c r="G280" s="25">
        <f t="shared" ref="G280:G286" si="2">+G279</f>
        <v>44196</v>
      </c>
    </row>
    <row r="281" spans="2:7" x14ac:dyDescent="0.35">
      <c r="B281" s="96" t="s">
        <v>6</v>
      </c>
      <c r="C281" s="39">
        <v>0</v>
      </c>
      <c r="D281" s="40">
        <v>0</v>
      </c>
      <c r="E281" s="80"/>
      <c r="F281" s="39">
        <v>0</v>
      </c>
      <c r="G281" s="25">
        <f t="shared" si="2"/>
        <v>44196</v>
      </c>
    </row>
    <row r="282" spans="2:7" x14ac:dyDescent="0.35">
      <c r="B282" s="96" t="s">
        <v>13</v>
      </c>
      <c r="C282" s="39">
        <v>129721643</v>
      </c>
      <c r="D282" s="40">
        <v>0.27657001706005191</v>
      </c>
      <c r="E282" s="80"/>
      <c r="F282" s="39">
        <f>+(25280*C282)/1000000</f>
        <v>3279363.1350400001</v>
      </c>
      <c r="G282" s="25">
        <f t="shared" si="2"/>
        <v>44196</v>
      </c>
    </row>
    <row r="283" spans="2:7" x14ac:dyDescent="0.35">
      <c r="B283" s="96" t="s">
        <v>7</v>
      </c>
      <c r="C283" s="39">
        <v>0</v>
      </c>
      <c r="D283" s="40">
        <v>0</v>
      </c>
      <c r="E283" s="80"/>
      <c r="F283" s="39">
        <v>0</v>
      </c>
      <c r="G283" s="25">
        <f t="shared" si="2"/>
        <v>44196</v>
      </c>
    </row>
    <row r="284" spans="2:7" x14ac:dyDescent="0.35">
      <c r="B284" s="96" t="s">
        <v>8</v>
      </c>
      <c r="C284" s="39">
        <v>45243781</v>
      </c>
      <c r="D284" s="40">
        <v>9.8329655255264117E-2</v>
      </c>
      <c r="E284" s="80"/>
      <c r="F284" s="39">
        <f>+(24000*C284)/1000000</f>
        <v>1085850.7439999999</v>
      </c>
      <c r="G284" s="25">
        <f t="shared" si="2"/>
        <v>44196</v>
      </c>
    </row>
    <row r="285" spans="2:7" x14ac:dyDescent="0.35">
      <c r="B285" s="95" t="s">
        <v>96</v>
      </c>
      <c r="C285" s="85">
        <v>75143282.659999996</v>
      </c>
      <c r="D285" s="87">
        <v>0.37180000000000002</v>
      </c>
      <c r="E285" s="88"/>
      <c r="F285" s="85">
        <v>879791.608412</v>
      </c>
      <c r="G285" s="89">
        <f t="shared" si="2"/>
        <v>44196</v>
      </c>
    </row>
    <row r="286" spans="2:7" ht="15" thickBot="1" x14ac:dyDescent="0.4">
      <c r="B286" s="94" t="s">
        <v>9</v>
      </c>
      <c r="C286" s="42">
        <v>195926657</v>
      </c>
      <c r="D286" s="43">
        <v>0.99938705968924102</v>
      </c>
      <c r="E286" s="81"/>
      <c r="F286" s="42">
        <f>+(10500*C286)/1000000</f>
        <v>2057229.8984999999</v>
      </c>
      <c r="G286" s="90">
        <f t="shared" si="2"/>
        <v>44196</v>
      </c>
    </row>
    <row r="287" spans="2:7" ht="15" thickTop="1" x14ac:dyDescent="0.35">
      <c r="B287" s="96" t="s">
        <v>2</v>
      </c>
      <c r="C287" s="78">
        <v>566360307</v>
      </c>
      <c r="D287" s="79">
        <v>0.52932227549455446</v>
      </c>
      <c r="E287" s="106"/>
      <c r="F287" s="78">
        <f>+(4651*C287)/1000000</f>
        <v>2634141.7878569998</v>
      </c>
      <c r="G287" s="25">
        <v>44286</v>
      </c>
    </row>
    <row r="288" spans="2:7" x14ac:dyDescent="0.35">
      <c r="B288" s="96" t="s">
        <v>12</v>
      </c>
      <c r="C288" s="39">
        <v>668786536</v>
      </c>
      <c r="D288" s="40">
        <v>0.58070905256027217</v>
      </c>
      <c r="E288" s="106"/>
      <c r="F288" s="39">
        <f>+(5150*C288)/1000000</f>
        <v>3444250.6603999999</v>
      </c>
      <c r="G288" s="25">
        <f>+G287</f>
        <v>44286</v>
      </c>
    </row>
    <row r="289" spans="2:7" x14ac:dyDescent="0.35">
      <c r="B289" s="96" t="s">
        <v>16</v>
      </c>
      <c r="C289" s="39">
        <v>0</v>
      </c>
      <c r="D289" s="40">
        <v>0</v>
      </c>
      <c r="E289" s="106"/>
      <c r="F289" s="39">
        <v>0</v>
      </c>
      <c r="G289" s="25">
        <f t="shared" ref="G289:G295" si="3">+G288</f>
        <v>44286</v>
      </c>
    </row>
    <row r="290" spans="2:7" x14ac:dyDescent="0.35">
      <c r="B290" s="96" t="s">
        <v>6</v>
      </c>
      <c r="C290" s="39">
        <v>0</v>
      </c>
      <c r="D290" s="40">
        <v>0</v>
      </c>
      <c r="E290" s="106"/>
      <c r="F290" s="39">
        <v>0</v>
      </c>
      <c r="G290" s="25">
        <f t="shared" si="3"/>
        <v>44286</v>
      </c>
    </row>
    <row r="291" spans="2:7" x14ac:dyDescent="0.35">
      <c r="B291" s="96" t="s">
        <v>13</v>
      </c>
      <c r="C291" s="39">
        <v>129721643</v>
      </c>
      <c r="D291" s="40">
        <v>0.27657001706005191</v>
      </c>
      <c r="E291" s="106"/>
      <c r="F291" s="39">
        <f>+(21700*C291)/1000000</f>
        <v>2814959.6531000002</v>
      </c>
      <c r="G291" s="25">
        <f t="shared" si="3"/>
        <v>44286</v>
      </c>
    </row>
    <row r="292" spans="2:7" x14ac:dyDescent="0.35">
      <c r="B292" s="96" t="s">
        <v>7</v>
      </c>
      <c r="C292" s="39">
        <v>0</v>
      </c>
      <c r="D292" s="40">
        <v>0</v>
      </c>
      <c r="E292" s="106"/>
      <c r="F292" s="39">
        <v>0</v>
      </c>
      <c r="G292" s="25">
        <f t="shared" si="3"/>
        <v>44286</v>
      </c>
    </row>
    <row r="293" spans="2:7" x14ac:dyDescent="0.35">
      <c r="B293" s="96" t="s">
        <v>8</v>
      </c>
      <c r="C293" s="39">
        <v>45243781</v>
      </c>
      <c r="D293" s="40">
        <v>9.8329655255264117E-2</v>
      </c>
      <c r="E293" s="106"/>
      <c r="F293" s="39">
        <f>+(23170*C293)/1000000</f>
        <v>1048298.40577</v>
      </c>
      <c r="G293" s="25">
        <f t="shared" si="3"/>
        <v>44286</v>
      </c>
    </row>
    <row r="294" spans="2:7" x14ac:dyDescent="0.35">
      <c r="B294" s="95" t="s">
        <v>96</v>
      </c>
      <c r="C294" s="85">
        <v>75143282.659999996</v>
      </c>
      <c r="D294" s="87">
        <v>0.37180000000000002</v>
      </c>
      <c r="E294" s="106"/>
      <c r="F294" s="85">
        <v>882766.09061900002</v>
      </c>
      <c r="G294" s="89">
        <f t="shared" si="3"/>
        <v>44286</v>
      </c>
    </row>
    <row r="295" spans="2:7" ht="15" thickBot="1" x14ac:dyDescent="0.4">
      <c r="B295" s="94" t="s">
        <v>9</v>
      </c>
      <c r="C295" s="42">
        <v>195926657</v>
      </c>
      <c r="D295" s="43">
        <v>0.99938705968924102</v>
      </c>
      <c r="E295" s="107"/>
      <c r="F295" s="42">
        <f>+(10500*C295)/1000000</f>
        <v>2057229.8984999999</v>
      </c>
      <c r="G295" s="90">
        <f t="shared" si="3"/>
        <v>44286</v>
      </c>
    </row>
    <row r="296" spans="2:7" ht="15" thickTop="1" x14ac:dyDescent="0.35">
      <c r="B296" s="96" t="s">
        <v>2</v>
      </c>
      <c r="C296" s="78">
        <v>566360307</v>
      </c>
      <c r="D296" s="79">
        <v>0.52932227549455446</v>
      </c>
      <c r="E296" s="106"/>
      <c r="F296" s="78">
        <f>+(4250*C296)/1000000</f>
        <v>2407031.3047500001</v>
      </c>
      <c r="G296" s="25">
        <v>44350</v>
      </c>
    </row>
    <row r="297" spans="2:7" x14ac:dyDescent="0.35">
      <c r="B297" s="96" t="s">
        <v>12</v>
      </c>
      <c r="C297" s="39">
        <v>684797259</v>
      </c>
      <c r="D297" s="40">
        <v>0.58505740807379825</v>
      </c>
      <c r="E297" s="106"/>
      <c r="F297" s="39">
        <f>+(5350*C297)/1000000</f>
        <v>3663665.3356499998</v>
      </c>
      <c r="G297" s="25">
        <f>+G296</f>
        <v>44350</v>
      </c>
    </row>
    <row r="298" spans="2:7" x14ac:dyDescent="0.35">
      <c r="B298" s="96" t="s">
        <v>16</v>
      </c>
      <c r="C298" s="39">
        <v>0</v>
      </c>
      <c r="D298" s="40">
        <v>0</v>
      </c>
      <c r="E298" s="106"/>
      <c r="F298" s="39">
        <v>0</v>
      </c>
      <c r="G298" s="25">
        <f t="shared" ref="G298:G304" si="4">+G297</f>
        <v>44350</v>
      </c>
    </row>
    <row r="299" spans="2:7" x14ac:dyDescent="0.35">
      <c r="B299" s="96" t="s">
        <v>6</v>
      </c>
      <c r="C299" s="39">
        <v>0</v>
      </c>
      <c r="D299" s="40">
        <v>0</v>
      </c>
      <c r="E299" s="106"/>
      <c r="F299" s="39">
        <v>0</v>
      </c>
      <c r="G299" s="25">
        <f t="shared" si="4"/>
        <v>44350</v>
      </c>
    </row>
    <row r="300" spans="2:7" x14ac:dyDescent="0.35">
      <c r="B300" s="96" t="s">
        <v>13</v>
      </c>
      <c r="C300" s="39">
        <v>129721643</v>
      </c>
      <c r="D300" s="40">
        <v>0.27657001706005191</v>
      </c>
      <c r="E300" s="106"/>
      <c r="F300" s="39">
        <f>+(18500*C300)/1000000</f>
        <v>2399850.3955000001</v>
      </c>
      <c r="G300" s="25">
        <f t="shared" si="4"/>
        <v>44350</v>
      </c>
    </row>
    <row r="301" spans="2:7" x14ac:dyDescent="0.35">
      <c r="B301" s="96" t="s">
        <v>7</v>
      </c>
      <c r="C301" s="39">
        <v>0</v>
      </c>
      <c r="D301" s="40">
        <v>0</v>
      </c>
      <c r="E301" s="106"/>
      <c r="F301" s="39">
        <v>0</v>
      </c>
      <c r="G301" s="25">
        <f t="shared" si="4"/>
        <v>44350</v>
      </c>
    </row>
    <row r="302" spans="2:7" x14ac:dyDescent="0.35">
      <c r="B302" s="96" t="s">
        <v>8</v>
      </c>
      <c r="C302" s="39">
        <v>45243781</v>
      </c>
      <c r="D302" s="40">
        <v>9.8583308037700906E-2</v>
      </c>
      <c r="E302" s="106"/>
      <c r="F302" s="39">
        <f>+(21880*C302)/1000000</f>
        <v>989933.92827999999</v>
      </c>
      <c r="G302" s="25">
        <f t="shared" si="4"/>
        <v>44350</v>
      </c>
    </row>
    <row r="303" spans="2:7" x14ac:dyDescent="0.35">
      <c r="B303" s="95" t="s">
        <v>96</v>
      </c>
      <c r="C303" s="85">
        <v>75143282.659999996</v>
      </c>
      <c r="D303" s="87">
        <v>0.37180000000000002</v>
      </c>
      <c r="E303" s="106"/>
      <c r="F303" s="85">
        <v>906968.38580499997</v>
      </c>
      <c r="G303" s="89">
        <f t="shared" si="4"/>
        <v>44350</v>
      </c>
    </row>
    <row r="304" spans="2:7" ht="15" thickBot="1" x14ac:dyDescent="0.4">
      <c r="B304" s="94" t="s">
        <v>9</v>
      </c>
      <c r="C304" s="42">
        <v>195926657</v>
      </c>
      <c r="D304" s="43">
        <v>0.99938705968924102</v>
      </c>
      <c r="E304" s="107"/>
      <c r="F304" s="42">
        <f>+(10500*C304)/1000000</f>
        <v>2057229.8984999999</v>
      </c>
      <c r="G304" s="90">
        <f t="shared" si="4"/>
        <v>44350</v>
      </c>
    </row>
    <row r="305" spans="2:7" ht="15" thickTop="1" x14ac:dyDescent="0.35">
      <c r="B305" s="96" t="s">
        <v>2</v>
      </c>
      <c r="C305" s="78">
        <v>566360307</v>
      </c>
      <c r="D305" s="79">
        <v>0.52932227549455446</v>
      </c>
      <c r="E305" s="106"/>
      <c r="F305" s="78">
        <f>+(4229*C305)/1000000</f>
        <v>2395137.7383030001</v>
      </c>
      <c r="G305" s="25">
        <v>44469</v>
      </c>
    </row>
    <row r="306" spans="2:7" x14ac:dyDescent="0.35">
      <c r="B306" s="96" t="s">
        <v>12</v>
      </c>
      <c r="C306" s="39">
        <v>684797259</v>
      </c>
      <c r="D306" s="40">
        <v>0.58505740807379825</v>
      </c>
      <c r="E306" s="106"/>
      <c r="F306" s="39">
        <f>+(5895*C306)/1000000</f>
        <v>4036879.8418049999</v>
      </c>
      <c r="G306" s="25">
        <f>+G305</f>
        <v>44469</v>
      </c>
    </row>
    <row r="307" spans="2:7" x14ac:dyDescent="0.35">
      <c r="B307" s="96" t="s">
        <v>16</v>
      </c>
      <c r="C307" s="39">
        <v>0</v>
      </c>
      <c r="D307" s="40">
        <v>0</v>
      </c>
      <c r="E307" s="106"/>
      <c r="F307" s="39">
        <v>0</v>
      </c>
      <c r="G307" s="25">
        <f t="shared" ref="G307:G313" si="5">+G306</f>
        <v>44469</v>
      </c>
    </row>
    <row r="308" spans="2:7" x14ac:dyDescent="0.35">
      <c r="B308" s="96" t="s">
        <v>6</v>
      </c>
      <c r="C308" s="39">
        <v>0</v>
      </c>
      <c r="D308" s="40">
        <v>0</v>
      </c>
      <c r="E308" s="106"/>
      <c r="F308" s="39">
        <v>0</v>
      </c>
      <c r="G308" s="25">
        <f t="shared" si="5"/>
        <v>44469</v>
      </c>
    </row>
    <row r="309" spans="2:7" x14ac:dyDescent="0.35">
      <c r="B309" s="96" t="s">
        <v>13</v>
      </c>
      <c r="C309" s="39">
        <v>129721643</v>
      </c>
      <c r="D309" s="40">
        <v>0.27657001706005191</v>
      </c>
      <c r="E309" s="106"/>
      <c r="F309" s="39">
        <f>+(21400*C309)/1000000</f>
        <v>2776043.1601999998</v>
      </c>
      <c r="G309" s="25">
        <f t="shared" si="5"/>
        <v>44469</v>
      </c>
    </row>
    <row r="310" spans="2:7" x14ac:dyDescent="0.35">
      <c r="B310" s="96" t="s">
        <v>7</v>
      </c>
      <c r="C310" s="39">
        <v>0</v>
      </c>
      <c r="D310" s="40">
        <v>0</v>
      </c>
      <c r="E310" s="106"/>
      <c r="F310" s="39">
        <v>0</v>
      </c>
      <c r="G310" s="25">
        <f t="shared" si="5"/>
        <v>44469</v>
      </c>
    </row>
    <row r="311" spans="2:7" x14ac:dyDescent="0.35">
      <c r="B311" s="96" t="s">
        <v>8</v>
      </c>
      <c r="C311" s="39">
        <v>45243781</v>
      </c>
      <c r="D311" s="40">
        <v>9.8583308037700906E-2</v>
      </c>
      <c r="E311" s="106"/>
      <c r="F311" s="39">
        <f>+(21660*C311)/1000000</f>
        <v>979980.29645999998</v>
      </c>
      <c r="G311" s="25">
        <f t="shared" si="5"/>
        <v>44469</v>
      </c>
    </row>
    <row r="312" spans="2:7" x14ac:dyDescent="0.35">
      <c r="B312" s="95" t="s">
        <v>96</v>
      </c>
      <c r="C312" s="85">
        <v>75143282.659999996</v>
      </c>
      <c r="D312" s="87">
        <v>0.37180000000000002</v>
      </c>
      <c r="E312" s="106"/>
      <c r="F312" s="85">
        <v>913999.41202499997</v>
      </c>
      <c r="G312" s="89">
        <f t="shared" si="5"/>
        <v>44469</v>
      </c>
    </row>
    <row r="313" spans="2:7" ht="15" thickBot="1" x14ac:dyDescent="0.4">
      <c r="B313" s="94" t="s">
        <v>9</v>
      </c>
      <c r="C313" s="42">
        <v>195926657</v>
      </c>
      <c r="D313" s="43">
        <v>0.99938705968924102</v>
      </c>
      <c r="E313" s="107"/>
      <c r="F313" s="42">
        <f>+(10500*C313)/1000000</f>
        <v>2057229.8984999999</v>
      </c>
      <c r="G313" s="90">
        <f t="shared" si="5"/>
        <v>44469</v>
      </c>
    </row>
    <row r="314" spans="2:7" ht="15" thickTop="1" x14ac:dyDescent="0.35">
      <c r="B314" s="96" t="s">
        <v>2</v>
      </c>
      <c r="C314" s="78">
        <v>566360307</v>
      </c>
      <c r="D314" s="79">
        <v>0.52932227549455446</v>
      </c>
      <c r="E314" s="106"/>
      <c r="F314" s="78">
        <f>+(4184*C314)/1000000</f>
        <v>2369651.5244880002</v>
      </c>
      <c r="G314" s="25">
        <v>44561</v>
      </c>
    </row>
    <row r="315" spans="2:7" x14ac:dyDescent="0.35">
      <c r="B315" s="96" t="s">
        <v>12</v>
      </c>
      <c r="C315" s="39">
        <v>684797259</v>
      </c>
      <c r="D315" s="40">
        <v>0.58505740807379825</v>
      </c>
      <c r="E315" s="106"/>
      <c r="F315" s="39">
        <f>+(6110*C315)/1000000</f>
        <v>4184111.2524899999</v>
      </c>
      <c r="G315" s="25">
        <f>+G314</f>
        <v>44561</v>
      </c>
    </row>
    <row r="316" spans="2:7" x14ac:dyDescent="0.35">
      <c r="B316" s="96" t="s">
        <v>16</v>
      </c>
      <c r="C316" s="39">
        <v>0</v>
      </c>
      <c r="D316" s="40">
        <v>0</v>
      </c>
      <c r="E316" s="106"/>
      <c r="F316" s="39">
        <v>0</v>
      </c>
      <c r="G316" s="25">
        <f t="shared" ref="G316:G322" si="6">+G315</f>
        <v>44561</v>
      </c>
    </row>
    <row r="317" spans="2:7" x14ac:dyDescent="0.35">
      <c r="B317" s="96" t="s">
        <v>6</v>
      </c>
      <c r="C317" s="39">
        <v>0</v>
      </c>
      <c r="D317" s="40">
        <v>0</v>
      </c>
      <c r="E317" s="106"/>
      <c r="F317" s="39">
        <v>0</v>
      </c>
      <c r="G317" s="25">
        <f t="shared" si="6"/>
        <v>44561</v>
      </c>
    </row>
    <row r="318" spans="2:7" x14ac:dyDescent="0.35">
      <c r="B318" s="96" t="s">
        <v>13</v>
      </c>
      <c r="C318" s="39">
        <v>130012643</v>
      </c>
      <c r="D318" s="40">
        <v>0.27856626492954178</v>
      </c>
      <c r="E318" s="106"/>
      <c r="F318" s="39">
        <f>+(30000*C318)/1000000</f>
        <v>3900379.29</v>
      </c>
      <c r="G318" s="25">
        <f t="shared" si="6"/>
        <v>44561</v>
      </c>
    </row>
    <row r="319" spans="2:7" x14ac:dyDescent="0.35">
      <c r="B319" s="96" t="s">
        <v>7</v>
      </c>
      <c r="C319" s="39">
        <v>0</v>
      </c>
      <c r="D319" s="40">
        <v>0</v>
      </c>
      <c r="E319" s="106"/>
      <c r="F319" s="39">
        <v>0</v>
      </c>
      <c r="G319" s="25">
        <f t="shared" si="6"/>
        <v>44561</v>
      </c>
    </row>
    <row r="320" spans="2:7" x14ac:dyDescent="0.35">
      <c r="B320" s="96" t="s">
        <v>8</v>
      </c>
      <c r="C320" s="39">
        <v>45243781</v>
      </c>
      <c r="D320" s="40">
        <v>9.8837800645214025E-2</v>
      </c>
      <c r="E320" s="106"/>
      <c r="F320" s="39">
        <f>+(28640*C320)/1000000</f>
        <v>1295781.88784</v>
      </c>
      <c r="G320" s="25">
        <f t="shared" si="6"/>
        <v>44561</v>
      </c>
    </row>
    <row r="321" spans="2:8" x14ac:dyDescent="0.35">
      <c r="B321" s="95" t="s">
        <v>96</v>
      </c>
      <c r="C321" s="85">
        <v>71006331.650000006</v>
      </c>
      <c r="D321" s="87">
        <v>0.37130000000000002</v>
      </c>
      <c r="E321" s="106"/>
      <c r="F321" s="85">
        <v>870784.56700000004</v>
      </c>
      <c r="G321" s="89">
        <f t="shared" si="6"/>
        <v>44561</v>
      </c>
    </row>
    <row r="322" spans="2:8" ht="15" thickBot="1" x14ac:dyDescent="0.4">
      <c r="B322" s="94" t="s">
        <v>9</v>
      </c>
      <c r="C322" s="42">
        <v>195926657</v>
      </c>
      <c r="D322" s="43">
        <v>0.99938705968924102</v>
      </c>
      <c r="E322" s="107"/>
      <c r="F322" s="42">
        <f>+(10500*C322)/1000000</f>
        <v>2057229.8984999999</v>
      </c>
      <c r="G322" s="90">
        <f t="shared" si="6"/>
        <v>44561</v>
      </c>
    </row>
    <row r="323" spans="2:8" ht="15" thickTop="1" x14ac:dyDescent="0.35">
      <c r="B323" s="96" t="s">
        <v>2</v>
      </c>
      <c r="C323" s="78">
        <v>566360307</v>
      </c>
      <c r="D323" s="79">
        <v>0.52932227549455446</v>
      </c>
      <c r="E323" s="106"/>
      <c r="F323" s="78">
        <f>+(4360*C323)/1000000</f>
        <v>2469330.9385199999</v>
      </c>
      <c r="G323" s="25">
        <v>44651</v>
      </c>
    </row>
    <row r="324" spans="2:8" x14ac:dyDescent="0.35">
      <c r="B324" s="96" t="s">
        <v>12</v>
      </c>
      <c r="C324" s="39">
        <v>684797259</v>
      </c>
      <c r="D324" s="40">
        <v>0.58505740807379825</v>
      </c>
      <c r="E324" s="106"/>
      <c r="F324" s="39">
        <f>+(6230*C324)/1000000</f>
        <v>4266286.9235699996</v>
      </c>
      <c r="G324" s="25">
        <f>+G323</f>
        <v>44651</v>
      </c>
    </row>
    <row r="325" spans="2:8" x14ac:dyDescent="0.35">
      <c r="B325" s="96" t="s">
        <v>16</v>
      </c>
      <c r="C325" s="39">
        <v>0</v>
      </c>
      <c r="D325" s="40">
        <v>0</v>
      </c>
      <c r="E325" s="106"/>
      <c r="F325" s="39">
        <v>0</v>
      </c>
      <c r="G325" s="25">
        <f t="shared" ref="G325:G331" si="7">+G324</f>
        <v>44651</v>
      </c>
    </row>
    <row r="326" spans="2:8" x14ac:dyDescent="0.35">
      <c r="B326" s="96" t="s">
        <v>6</v>
      </c>
      <c r="C326" s="39">
        <v>0</v>
      </c>
      <c r="D326" s="40">
        <v>0</v>
      </c>
      <c r="E326" s="106"/>
      <c r="F326" s="39">
        <v>0</v>
      </c>
      <c r="G326" s="25">
        <f t="shared" si="7"/>
        <v>44651</v>
      </c>
    </row>
    <row r="327" spans="2:8" x14ac:dyDescent="0.35">
      <c r="B327" s="96" t="s">
        <v>13</v>
      </c>
      <c r="C327" s="39">
        <v>130012643</v>
      </c>
      <c r="D327" s="40">
        <v>0.27856626492954178</v>
      </c>
      <c r="E327" s="106"/>
      <c r="F327" s="39">
        <f>+(35620*C327)/1000000</f>
        <v>4631050.3436599998</v>
      </c>
      <c r="G327" s="25">
        <f t="shared" si="7"/>
        <v>44651</v>
      </c>
    </row>
    <row r="328" spans="2:8" x14ac:dyDescent="0.35">
      <c r="B328" s="96" t="s">
        <v>7</v>
      </c>
      <c r="C328" s="39">
        <v>0</v>
      </c>
      <c r="D328" s="40">
        <v>0</v>
      </c>
      <c r="E328" s="106"/>
      <c r="F328" s="39">
        <v>0</v>
      </c>
      <c r="G328" s="25">
        <f t="shared" si="7"/>
        <v>44651</v>
      </c>
    </row>
    <row r="329" spans="2:8" x14ac:dyDescent="0.35">
      <c r="B329" s="96" t="s">
        <v>8</v>
      </c>
      <c r="C329" s="39">
        <v>45243781</v>
      </c>
      <c r="D329" s="40">
        <v>9.8837800645214025E-2</v>
      </c>
      <c r="E329" s="106"/>
      <c r="F329" s="39">
        <f>+(45800*C329)/1000000</f>
        <v>2072165.1698</v>
      </c>
      <c r="G329" s="25">
        <f t="shared" si="7"/>
        <v>44651</v>
      </c>
    </row>
    <row r="330" spans="2:8" x14ac:dyDescent="0.35">
      <c r="B330" s="95" t="s">
        <v>96</v>
      </c>
      <c r="C330" s="85">
        <v>70106639</v>
      </c>
      <c r="D330" s="87">
        <v>0.37130000000000002</v>
      </c>
      <c r="E330" s="106"/>
      <c r="F330" s="85">
        <v>859068.23</v>
      </c>
      <c r="G330" s="89">
        <f t="shared" si="7"/>
        <v>44651</v>
      </c>
      <c r="H330" s="145"/>
    </row>
    <row r="331" spans="2:8" ht="15" thickBot="1" x14ac:dyDescent="0.4">
      <c r="B331" s="94" t="s">
        <v>9</v>
      </c>
      <c r="C331" s="42">
        <v>195926657</v>
      </c>
      <c r="D331" s="43">
        <v>0.99938705968924102</v>
      </c>
      <c r="E331" s="107"/>
      <c r="F331" s="42">
        <f>+(10500*C331)/1000000</f>
        <v>2057229.8984999999</v>
      </c>
      <c r="G331" s="90">
        <f t="shared" si="7"/>
        <v>44651</v>
      </c>
    </row>
    <row r="332" spans="2:8" ht="15" thickTop="1" x14ac:dyDescent="0.35">
      <c r="B332" s="96" t="s">
        <v>2</v>
      </c>
      <c r="C332" s="78">
        <v>566360307</v>
      </c>
      <c r="D332" s="79">
        <v>0.52932227549455446</v>
      </c>
      <c r="E332" s="106"/>
      <c r="F332" s="78">
        <f>+(3800*C332)/1000000</f>
        <v>2152169.1666000001</v>
      </c>
      <c r="G332" s="25">
        <v>44742</v>
      </c>
    </row>
    <row r="333" spans="2:8" x14ac:dyDescent="0.35">
      <c r="B333" s="96" t="s">
        <v>12</v>
      </c>
      <c r="C333" s="39">
        <v>684797259</v>
      </c>
      <c r="D333" s="40">
        <v>0.58505740807379825</v>
      </c>
      <c r="E333" s="106"/>
      <c r="F333" s="39">
        <f>+(4640*C333)/1000000</f>
        <v>3177459.2817600002</v>
      </c>
      <c r="G333" s="25">
        <f>+G332</f>
        <v>44742</v>
      </c>
    </row>
    <row r="334" spans="2:8" x14ac:dyDescent="0.35">
      <c r="B334" s="96" t="s">
        <v>16</v>
      </c>
      <c r="C334" s="39">
        <v>0</v>
      </c>
      <c r="D334" s="40">
        <v>0</v>
      </c>
      <c r="E334" s="106"/>
      <c r="F334" s="39">
        <v>0</v>
      </c>
      <c r="G334" s="25">
        <f t="shared" ref="G334:G340" si="8">+G333</f>
        <v>44742</v>
      </c>
    </row>
    <row r="335" spans="2:8" x14ac:dyDescent="0.35">
      <c r="B335" s="96" t="s">
        <v>6</v>
      </c>
      <c r="C335" s="39">
        <v>0</v>
      </c>
      <c r="D335" s="40">
        <v>0</v>
      </c>
      <c r="E335" s="106"/>
      <c r="F335" s="39">
        <v>0</v>
      </c>
      <c r="G335" s="25">
        <f t="shared" si="8"/>
        <v>44742</v>
      </c>
    </row>
    <row r="336" spans="2:8" x14ac:dyDescent="0.35">
      <c r="B336" s="96" t="s">
        <v>13</v>
      </c>
      <c r="C336" s="39">
        <v>130012643</v>
      </c>
      <c r="D336" s="40">
        <v>0.27856626492954178</v>
      </c>
      <c r="E336" s="106"/>
      <c r="F336" s="39">
        <f>+(39400*C336)/1000000</f>
        <v>5122498.1342000002</v>
      </c>
      <c r="G336" s="25">
        <f t="shared" si="8"/>
        <v>44742</v>
      </c>
    </row>
    <row r="337" spans="2:7" x14ac:dyDescent="0.35">
      <c r="B337" s="96" t="s">
        <v>7</v>
      </c>
      <c r="C337" s="39">
        <v>0</v>
      </c>
      <c r="D337" s="40">
        <v>0</v>
      </c>
      <c r="E337" s="106"/>
      <c r="F337" s="39">
        <v>0</v>
      </c>
      <c r="G337" s="25">
        <f t="shared" si="8"/>
        <v>44742</v>
      </c>
    </row>
    <row r="338" spans="2:7" x14ac:dyDescent="0.35">
      <c r="B338" s="96" t="s">
        <v>8</v>
      </c>
      <c r="C338" s="39">
        <v>45243781</v>
      </c>
      <c r="D338" s="40">
        <v>9.8837800645214025E-2</v>
      </c>
      <c r="E338" s="106"/>
      <c r="F338" s="39">
        <f>+(39600*C338)/1000000</f>
        <v>1791653.7276000001</v>
      </c>
      <c r="G338" s="25">
        <f t="shared" si="8"/>
        <v>44742</v>
      </c>
    </row>
    <row r="339" spans="2:7" x14ac:dyDescent="0.35">
      <c r="B339" s="95" t="s">
        <v>96</v>
      </c>
      <c r="C339" s="85">
        <v>70106639</v>
      </c>
      <c r="D339" s="87">
        <v>0.37130000000000002</v>
      </c>
      <c r="E339" s="106"/>
      <c r="F339" s="85">
        <v>894568.64575120399</v>
      </c>
      <c r="G339" s="89">
        <f t="shared" si="8"/>
        <v>44742</v>
      </c>
    </row>
    <row r="340" spans="2:7" ht="15" thickBot="1" x14ac:dyDescent="0.4">
      <c r="B340" s="94" t="s">
        <v>9</v>
      </c>
      <c r="C340" s="42">
        <v>195926657</v>
      </c>
      <c r="D340" s="43">
        <v>0.99938705968924102</v>
      </c>
      <c r="E340" s="107"/>
      <c r="F340" s="42">
        <f>+(10500*C340)/1000000</f>
        <v>2057229.8984999999</v>
      </c>
      <c r="G340" s="90">
        <f t="shared" si="8"/>
        <v>44742</v>
      </c>
    </row>
    <row r="341" spans="2:7" ht="15" thickTop="1" x14ac:dyDescent="0.35">
      <c r="B341" s="96" t="s">
        <v>2</v>
      </c>
      <c r="C341" s="78">
        <v>566360307</v>
      </c>
      <c r="D341" s="79">
        <v>0.52932227549455446</v>
      </c>
      <c r="E341" s="106"/>
      <c r="F341" s="78">
        <f>+(2813*C341)/1000000</f>
        <v>1593171.5435909999</v>
      </c>
      <c r="G341" s="146">
        <v>44834</v>
      </c>
    </row>
    <row r="342" spans="2:7" x14ac:dyDescent="0.35">
      <c r="B342" s="96" t="s">
        <v>12</v>
      </c>
      <c r="C342" s="39">
        <v>687885624</v>
      </c>
      <c r="D342" s="40">
        <v>0.58769595663446916</v>
      </c>
      <c r="E342" s="106"/>
      <c r="F342" s="39">
        <f>+(3380*C342)/1000000</f>
        <v>2325053.40912</v>
      </c>
      <c r="G342" s="25">
        <f>+G341</f>
        <v>44834</v>
      </c>
    </row>
    <row r="343" spans="2:7" x14ac:dyDescent="0.35">
      <c r="B343" s="96" t="s">
        <v>16</v>
      </c>
      <c r="C343" s="39">
        <v>0</v>
      </c>
      <c r="D343" s="40">
        <v>0</v>
      </c>
      <c r="E343" s="106"/>
      <c r="F343" s="39">
        <v>0</v>
      </c>
      <c r="G343" s="25">
        <f t="shared" ref="G343:G349" si="9">+G342</f>
        <v>44834</v>
      </c>
    </row>
    <row r="344" spans="2:7" x14ac:dyDescent="0.35">
      <c r="B344" s="96" t="s">
        <v>6</v>
      </c>
      <c r="C344" s="39">
        <v>0</v>
      </c>
      <c r="D344" s="40">
        <v>0</v>
      </c>
      <c r="E344" s="106"/>
      <c r="F344" s="39">
        <v>0</v>
      </c>
      <c r="G344" s="25">
        <f t="shared" si="9"/>
        <v>44834</v>
      </c>
    </row>
    <row r="345" spans="2:7" x14ac:dyDescent="0.35">
      <c r="B345" s="96" t="s">
        <v>13</v>
      </c>
      <c r="C345" s="39">
        <v>130012643</v>
      </c>
      <c r="D345" s="40">
        <v>0.27856626492954178</v>
      </c>
      <c r="E345" s="106"/>
      <c r="F345" s="39">
        <f>+(37500*C345)/1000000</f>
        <v>4875474.1124999998</v>
      </c>
      <c r="G345" s="25">
        <f t="shared" si="9"/>
        <v>44834</v>
      </c>
    </row>
    <row r="346" spans="2:7" x14ac:dyDescent="0.35">
      <c r="B346" s="96" t="s">
        <v>7</v>
      </c>
      <c r="C346" s="39">
        <v>0</v>
      </c>
      <c r="D346" s="40">
        <v>0</v>
      </c>
      <c r="E346" s="106"/>
      <c r="F346" s="39">
        <v>0</v>
      </c>
      <c r="G346" s="25">
        <f t="shared" si="9"/>
        <v>44834</v>
      </c>
    </row>
    <row r="347" spans="2:7" x14ac:dyDescent="0.35">
      <c r="B347" s="96" t="s">
        <v>8</v>
      </c>
      <c r="C347" s="39">
        <v>45243781</v>
      </c>
      <c r="D347" s="40">
        <v>9.8837800645214025E-2</v>
      </c>
      <c r="E347" s="106"/>
      <c r="F347" s="39">
        <f>+(36980*C347)/1000000</f>
        <v>1673115.02138</v>
      </c>
      <c r="G347" s="25">
        <f t="shared" si="9"/>
        <v>44834</v>
      </c>
    </row>
    <row r="348" spans="2:7" x14ac:dyDescent="0.35">
      <c r="B348" s="95" t="s">
        <v>96</v>
      </c>
      <c r="C348" s="85">
        <v>70106639</v>
      </c>
      <c r="D348" s="87">
        <v>0.37129087648440456</v>
      </c>
      <c r="E348" s="106"/>
      <c r="F348" s="85">
        <f>894973583395.138/1000000</f>
        <v>894973.58339513792</v>
      </c>
      <c r="G348" s="89">
        <f t="shared" si="9"/>
        <v>44834</v>
      </c>
    </row>
    <row r="349" spans="2:7" ht="15" thickBot="1" x14ac:dyDescent="0.4">
      <c r="B349" s="94" t="s">
        <v>9</v>
      </c>
      <c r="C349" s="42">
        <v>195926657</v>
      </c>
      <c r="D349" s="43">
        <v>0.99938705968924102</v>
      </c>
      <c r="E349" s="107"/>
      <c r="F349" s="42">
        <f>+(10500*C349)/1000000</f>
        <v>2057229.8984999999</v>
      </c>
      <c r="G349" s="90">
        <f t="shared" si="9"/>
        <v>44834</v>
      </c>
    </row>
    <row r="350" spans="2:7" ht="15" thickTop="1" x14ac:dyDescent="0.35">
      <c r="B350" s="96" t="s">
        <v>2</v>
      </c>
      <c r="C350" s="78">
        <v>566360307</v>
      </c>
      <c r="D350" s="79">
        <v>0.52932227549455446</v>
      </c>
      <c r="E350" s="106">
        <v>2780</v>
      </c>
      <c r="F350" s="78">
        <f>+(E350*C350)/1000000</f>
        <v>1574481.6534599999</v>
      </c>
      <c r="G350" s="146">
        <v>44926</v>
      </c>
    </row>
    <row r="351" spans="2:7" x14ac:dyDescent="0.35">
      <c r="B351" s="96" t="s">
        <v>12</v>
      </c>
      <c r="C351" s="39">
        <v>687885624</v>
      </c>
      <c r="D351" s="40">
        <v>0.58769595663446916</v>
      </c>
      <c r="E351" s="106">
        <v>3600</v>
      </c>
      <c r="F351" s="39">
        <f>+(E351*C351)/1000000</f>
        <v>2476388.2464000001</v>
      </c>
      <c r="G351" s="25">
        <f>+G350</f>
        <v>44926</v>
      </c>
    </row>
    <row r="352" spans="2:7" x14ac:dyDescent="0.35">
      <c r="B352" s="96" t="s">
        <v>16</v>
      </c>
      <c r="C352" s="39">
        <v>0</v>
      </c>
      <c r="D352" s="40">
        <v>0</v>
      </c>
      <c r="E352" s="106"/>
      <c r="F352" s="39">
        <f t="shared" ref="F352:F358" si="10">+(E352*C352)/1000000</f>
        <v>0</v>
      </c>
      <c r="G352" s="25">
        <f t="shared" ref="G352:G358" si="11">+G351</f>
        <v>44926</v>
      </c>
    </row>
    <row r="353" spans="2:7" x14ac:dyDescent="0.35">
      <c r="B353" s="96" t="s">
        <v>6</v>
      </c>
      <c r="C353" s="39">
        <v>0</v>
      </c>
      <c r="D353" s="40">
        <v>0</v>
      </c>
      <c r="E353" s="106"/>
      <c r="F353" s="39">
        <f t="shared" si="10"/>
        <v>0</v>
      </c>
      <c r="G353" s="25">
        <f t="shared" si="11"/>
        <v>44926</v>
      </c>
    </row>
    <row r="354" spans="2:7" x14ac:dyDescent="0.35">
      <c r="B354" s="96" t="s">
        <v>13</v>
      </c>
      <c r="C354" s="39">
        <v>130012643</v>
      </c>
      <c r="D354" s="40">
        <v>0.27856626492954178</v>
      </c>
      <c r="E354" s="106">
        <v>42000</v>
      </c>
      <c r="F354" s="39">
        <f t="shared" si="10"/>
        <v>5460531.0060000001</v>
      </c>
      <c r="G354" s="25">
        <f t="shared" si="11"/>
        <v>44926</v>
      </c>
    </row>
    <row r="355" spans="2:7" x14ac:dyDescent="0.35">
      <c r="B355" s="96" t="s">
        <v>7</v>
      </c>
      <c r="C355" s="39">
        <v>0</v>
      </c>
      <c r="D355" s="40">
        <v>0</v>
      </c>
      <c r="E355" s="106"/>
      <c r="F355" s="39">
        <f t="shared" si="10"/>
        <v>0</v>
      </c>
      <c r="G355" s="25">
        <f t="shared" si="11"/>
        <v>44926</v>
      </c>
    </row>
    <row r="356" spans="2:7" x14ac:dyDescent="0.35">
      <c r="B356" s="96" t="s">
        <v>8</v>
      </c>
      <c r="C356" s="39">
        <v>45243781</v>
      </c>
      <c r="D356" s="40">
        <v>9.8837800645214025E-2</v>
      </c>
      <c r="E356" s="106">
        <v>44500</v>
      </c>
      <c r="F356" s="39">
        <f t="shared" si="10"/>
        <v>2013348.2545</v>
      </c>
      <c r="G356" s="25">
        <f t="shared" si="11"/>
        <v>44926</v>
      </c>
    </row>
    <row r="357" spans="2:7" x14ac:dyDescent="0.35">
      <c r="B357" s="95" t="s">
        <v>96</v>
      </c>
      <c r="C357" s="85">
        <v>70106639</v>
      </c>
      <c r="D357" s="87">
        <v>0.37386746224245232</v>
      </c>
      <c r="E357" s="106"/>
      <c r="F357" s="85">
        <f>931169762675.353/1000000</f>
        <v>931169.76267535298</v>
      </c>
      <c r="G357" s="89">
        <f t="shared" si="11"/>
        <v>44926</v>
      </c>
    </row>
    <row r="358" spans="2:7" ht="15" thickBot="1" x14ac:dyDescent="0.4">
      <c r="B358" s="94" t="s">
        <v>9</v>
      </c>
      <c r="C358" s="42">
        <v>195926657</v>
      </c>
      <c r="D358" s="43">
        <v>0.99938705968924102</v>
      </c>
      <c r="E358" s="107">
        <v>10500</v>
      </c>
      <c r="F358" s="42">
        <f t="shared" si="10"/>
        <v>2057229.8984999999</v>
      </c>
      <c r="G358" s="90">
        <f t="shared" si="11"/>
        <v>44926</v>
      </c>
    </row>
    <row r="359" spans="2:7" ht="15" thickTop="1" x14ac:dyDescent="0.35">
      <c r="B359" s="96" t="s">
        <v>2</v>
      </c>
      <c r="C359" s="148">
        <v>566360307</v>
      </c>
      <c r="D359" s="149">
        <v>0.52932227549455446</v>
      </c>
      <c r="E359" s="150">
        <v>2900</v>
      </c>
      <c r="F359" s="78">
        <f>+(E359*C359)/1000000</f>
        <v>1642444.8903000001</v>
      </c>
      <c r="G359" s="146">
        <v>45016</v>
      </c>
    </row>
    <row r="360" spans="2:7" x14ac:dyDescent="0.35">
      <c r="B360" s="96" t="s">
        <v>12</v>
      </c>
      <c r="C360" s="148">
        <v>701385624</v>
      </c>
      <c r="D360" s="149">
        <v>0.59922969878251753</v>
      </c>
      <c r="E360" s="150">
        <v>3018</v>
      </c>
      <c r="F360" s="39">
        <f>+(E360*C360)/1000000</f>
        <v>2116781.813232</v>
      </c>
      <c r="G360" s="25">
        <f>+G359</f>
        <v>45016</v>
      </c>
    </row>
    <row r="361" spans="2:7" x14ac:dyDescent="0.35">
      <c r="B361" s="96" t="s">
        <v>16</v>
      </c>
      <c r="C361" s="148">
        <v>0</v>
      </c>
      <c r="D361" s="149">
        <v>0</v>
      </c>
      <c r="E361" s="150"/>
      <c r="F361" s="39">
        <f t="shared" ref="F361:F365" si="12">+(E361*C361)/1000000</f>
        <v>0</v>
      </c>
      <c r="G361" s="25">
        <f t="shared" ref="G361:G367" si="13">+G360</f>
        <v>45016</v>
      </c>
    </row>
    <row r="362" spans="2:7" x14ac:dyDescent="0.35">
      <c r="B362" s="96" t="s">
        <v>6</v>
      </c>
      <c r="C362" s="148">
        <v>0</v>
      </c>
      <c r="D362" s="149">
        <v>0</v>
      </c>
      <c r="E362" s="150"/>
      <c r="F362" s="39">
        <f t="shared" si="12"/>
        <v>0</v>
      </c>
      <c r="G362" s="25">
        <f t="shared" si="13"/>
        <v>45016</v>
      </c>
    </row>
    <row r="363" spans="2:7" x14ac:dyDescent="0.35">
      <c r="B363" s="96" t="s">
        <v>13</v>
      </c>
      <c r="C363" s="148">
        <v>130012643</v>
      </c>
      <c r="D363" s="149">
        <v>0.27856626492954178</v>
      </c>
      <c r="E363" s="150">
        <v>40450</v>
      </c>
      <c r="F363" s="39">
        <f t="shared" si="12"/>
        <v>5259011.4093500003</v>
      </c>
      <c r="G363" s="25">
        <f t="shared" si="13"/>
        <v>45016</v>
      </c>
    </row>
    <row r="364" spans="2:7" x14ac:dyDescent="0.35">
      <c r="B364" s="96" t="s">
        <v>7</v>
      </c>
      <c r="C364" s="148">
        <v>0</v>
      </c>
      <c r="D364" s="149">
        <v>0</v>
      </c>
      <c r="E364" s="150"/>
      <c r="F364" s="39">
        <f t="shared" si="12"/>
        <v>0</v>
      </c>
      <c r="G364" s="25">
        <f t="shared" si="13"/>
        <v>45016</v>
      </c>
    </row>
    <row r="365" spans="2:7" x14ac:dyDescent="0.35">
      <c r="B365" s="96" t="s">
        <v>8</v>
      </c>
      <c r="C365" s="148">
        <v>45243781</v>
      </c>
      <c r="D365" s="149">
        <v>9.8837800645214025E-2</v>
      </c>
      <c r="E365" s="150">
        <v>50000</v>
      </c>
      <c r="F365" s="39">
        <f t="shared" si="12"/>
        <v>2262189.0499999998</v>
      </c>
      <c r="G365" s="25">
        <f t="shared" si="13"/>
        <v>45016</v>
      </c>
    </row>
    <row r="366" spans="2:7" x14ac:dyDescent="0.35">
      <c r="B366" s="95" t="s">
        <v>96</v>
      </c>
      <c r="C366" s="147">
        <v>70106639</v>
      </c>
      <c r="D366" s="151">
        <v>0.37386746224245232</v>
      </c>
      <c r="E366" s="150"/>
      <c r="F366" s="147">
        <f>946375750646.273/1000000</f>
        <v>946375.75064627291</v>
      </c>
      <c r="G366" s="89">
        <f t="shared" si="13"/>
        <v>45016</v>
      </c>
    </row>
    <row r="367" spans="2:7" ht="15" thickBot="1" x14ac:dyDescent="0.4">
      <c r="B367" s="94" t="s">
        <v>9</v>
      </c>
      <c r="C367" s="152">
        <v>195926657</v>
      </c>
      <c r="D367" s="153">
        <v>0.99938705968924102</v>
      </c>
      <c r="E367" s="154">
        <v>10500</v>
      </c>
      <c r="F367" s="42">
        <f t="shared" ref="F367" si="14">+(E367*C367)/1000000</f>
        <v>2057229.8984999999</v>
      </c>
      <c r="G367" s="90">
        <f t="shared" si="13"/>
        <v>45016</v>
      </c>
    </row>
    <row r="368" spans="2:7" ht="15" thickTop="1" x14ac:dyDescent="0.35">
      <c r="B368" s="96" t="s">
        <v>2</v>
      </c>
      <c r="C368" s="148">
        <v>566360307</v>
      </c>
      <c r="D368" s="149">
        <v>0.52932227549455446</v>
      </c>
      <c r="E368" s="150">
        <v>2680</v>
      </c>
      <c r="F368" s="78">
        <f>+(E368*C368)/1000000</f>
        <v>1517845.6227599999</v>
      </c>
      <c r="G368" s="146">
        <v>45107</v>
      </c>
    </row>
    <row r="369" spans="2:7" x14ac:dyDescent="0.35">
      <c r="B369" s="96" t="s">
        <v>12</v>
      </c>
      <c r="C369" s="148">
        <v>705813624</v>
      </c>
      <c r="D369" s="149">
        <v>0.60301276620707733</v>
      </c>
      <c r="E369" s="150">
        <v>3400</v>
      </c>
      <c r="F369" s="39">
        <f>+(E369*C369)/1000000</f>
        <v>2399766.3215999999</v>
      </c>
      <c r="G369" s="25">
        <f>+G368</f>
        <v>45107</v>
      </c>
    </row>
    <row r="370" spans="2:7" x14ac:dyDescent="0.35">
      <c r="B370" s="96" t="s">
        <v>16</v>
      </c>
      <c r="C370" s="148">
        <v>0</v>
      </c>
      <c r="D370" s="149">
        <v>0</v>
      </c>
      <c r="E370" s="150"/>
      <c r="F370" s="39">
        <f t="shared" ref="F370:F374" si="15">+(E370*C370)/1000000</f>
        <v>0</v>
      </c>
      <c r="G370" s="25">
        <f t="shared" ref="G370:G376" si="16">+G369</f>
        <v>45107</v>
      </c>
    </row>
    <row r="371" spans="2:7" x14ac:dyDescent="0.35">
      <c r="B371" s="96" t="s">
        <v>6</v>
      </c>
      <c r="C371" s="148">
        <v>0</v>
      </c>
      <c r="D371" s="149">
        <v>0</v>
      </c>
      <c r="E371" s="150"/>
      <c r="F371" s="39">
        <f t="shared" si="15"/>
        <v>0</v>
      </c>
      <c r="G371" s="25">
        <f t="shared" si="16"/>
        <v>45107</v>
      </c>
    </row>
    <row r="372" spans="2:7" x14ac:dyDescent="0.35">
      <c r="B372" s="96" t="s">
        <v>13</v>
      </c>
      <c r="C372" s="148">
        <v>130012643</v>
      </c>
      <c r="D372" s="149">
        <v>0.27856626492954178</v>
      </c>
      <c r="E372" s="150">
        <v>36000</v>
      </c>
      <c r="F372" s="39">
        <f t="shared" si="15"/>
        <v>4680455.148</v>
      </c>
      <c r="G372" s="25">
        <f t="shared" si="16"/>
        <v>45107</v>
      </c>
    </row>
    <row r="373" spans="2:7" x14ac:dyDescent="0.35">
      <c r="B373" s="96" t="s">
        <v>7</v>
      </c>
      <c r="C373" s="148">
        <v>0</v>
      </c>
      <c r="D373" s="149">
        <v>0</v>
      </c>
      <c r="E373" s="150"/>
      <c r="F373" s="39">
        <f t="shared" si="15"/>
        <v>0</v>
      </c>
      <c r="G373" s="25">
        <f t="shared" si="16"/>
        <v>45107</v>
      </c>
    </row>
    <row r="374" spans="2:7" x14ac:dyDescent="0.35">
      <c r="B374" s="96" t="s">
        <v>8</v>
      </c>
      <c r="C374" s="148">
        <v>45243781</v>
      </c>
      <c r="D374" s="149">
        <v>9.8837800645214025E-2</v>
      </c>
      <c r="E374" s="150">
        <v>52430</v>
      </c>
      <c r="F374" s="39">
        <f t="shared" si="15"/>
        <v>2372131.4378300002</v>
      </c>
      <c r="G374" s="25">
        <f t="shared" si="16"/>
        <v>45107</v>
      </c>
    </row>
    <row r="375" spans="2:7" x14ac:dyDescent="0.35">
      <c r="B375" s="95" t="s">
        <v>96</v>
      </c>
      <c r="C375" s="147">
        <v>70106639</v>
      </c>
      <c r="D375" s="151">
        <v>0.37386746224245232</v>
      </c>
      <c r="E375" s="150"/>
      <c r="F375" s="147">
        <v>956659.10096356203</v>
      </c>
      <c r="G375" s="89">
        <f t="shared" si="16"/>
        <v>45107</v>
      </c>
    </row>
    <row r="376" spans="2:7" ht="15" thickBot="1" x14ac:dyDescent="0.4">
      <c r="B376" s="94" t="s">
        <v>9</v>
      </c>
      <c r="C376" s="152">
        <v>195935168</v>
      </c>
      <c r="D376" s="153">
        <v>0.99938705968924102</v>
      </c>
      <c r="E376" s="154">
        <v>10500</v>
      </c>
      <c r="F376" s="42">
        <f t="shared" ref="F376" si="17">+(E376*C376)/1000000</f>
        <v>2057319.264</v>
      </c>
      <c r="G376" s="90">
        <f t="shared" si="16"/>
        <v>45107</v>
      </c>
    </row>
    <row r="377" spans="2:7" ht="15" thickTop="1" x14ac:dyDescent="0.35">
      <c r="B377" s="96" t="s">
        <v>2</v>
      </c>
      <c r="C377" s="148">
        <v>566360307</v>
      </c>
      <c r="D377" s="149">
        <v>0.52932227549455446</v>
      </c>
      <c r="E377" s="150">
        <v>2579</v>
      </c>
      <c r="F377" s="78">
        <f>+(E377*C377)/1000000</f>
        <v>1460643.2317530001</v>
      </c>
      <c r="G377" s="146">
        <v>45199</v>
      </c>
    </row>
    <row r="378" spans="2:7" x14ac:dyDescent="0.35">
      <c r="B378" s="96" t="s">
        <v>12</v>
      </c>
      <c r="C378" s="148">
        <v>705813624</v>
      </c>
      <c r="D378" s="149">
        <v>0.60301276620707733</v>
      </c>
      <c r="E378" s="150">
        <v>4910</v>
      </c>
      <c r="F378" s="39">
        <f>+(E378*C378)/1000000</f>
        <v>3465544.89384</v>
      </c>
      <c r="G378" s="25">
        <f>+G377</f>
        <v>45199</v>
      </c>
    </row>
    <row r="379" spans="2:7" x14ac:dyDescent="0.35">
      <c r="B379" s="96" t="s">
        <v>16</v>
      </c>
      <c r="C379" s="148">
        <v>0</v>
      </c>
      <c r="D379" s="149">
        <v>0</v>
      </c>
      <c r="E379" s="150"/>
      <c r="F379" s="39">
        <f t="shared" ref="F379:F384" si="18">+(E379*C379)/1000000</f>
        <v>0</v>
      </c>
      <c r="G379" s="25">
        <f t="shared" ref="G379:G385" si="19">+G378</f>
        <v>45199</v>
      </c>
    </row>
    <row r="380" spans="2:7" x14ac:dyDescent="0.35">
      <c r="B380" s="96" t="s">
        <v>6</v>
      </c>
      <c r="C380" s="148">
        <v>0</v>
      </c>
      <c r="D380" s="149">
        <v>0</v>
      </c>
      <c r="E380" s="150"/>
      <c r="F380" s="39">
        <f t="shared" si="18"/>
        <v>0</v>
      </c>
      <c r="G380" s="25">
        <f t="shared" si="19"/>
        <v>45199</v>
      </c>
    </row>
    <row r="381" spans="2:7" x14ac:dyDescent="0.35">
      <c r="B381" s="96" t="s">
        <v>13</v>
      </c>
      <c r="C381" s="148">
        <v>130012643</v>
      </c>
      <c r="D381" s="149">
        <v>0.27856626492954178</v>
      </c>
      <c r="E381" s="150">
        <v>31990</v>
      </c>
      <c r="F381" s="39">
        <f t="shared" si="18"/>
        <v>4159104.4495700002</v>
      </c>
      <c r="G381" s="25">
        <f t="shared" si="19"/>
        <v>45199</v>
      </c>
    </row>
    <row r="382" spans="2:7" x14ac:dyDescent="0.35">
      <c r="B382" s="96" t="s">
        <v>7</v>
      </c>
      <c r="C382" s="148">
        <v>0</v>
      </c>
      <c r="D382" s="149">
        <v>0</v>
      </c>
      <c r="E382" s="150"/>
      <c r="F382" s="39">
        <f t="shared" si="18"/>
        <v>0</v>
      </c>
      <c r="G382" s="25">
        <f t="shared" si="19"/>
        <v>45199</v>
      </c>
    </row>
    <row r="383" spans="2:7" x14ac:dyDescent="0.35">
      <c r="B383" s="96" t="s">
        <v>8</v>
      </c>
      <c r="C383" s="148">
        <v>45243781</v>
      </c>
      <c r="D383" s="149">
        <v>9.8837800645214025E-2</v>
      </c>
      <c r="E383" s="150">
        <v>49520</v>
      </c>
      <c r="F383" s="39">
        <f t="shared" si="18"/>
        <v>2240472.0351200001</v>
      </c>
      <c r="G383" s="25">
        <f t="shared" si="19"/>
        <v>45199</v>
      </c>
    </row>
    <row r="384" spans="2:7" x14ac:dyDescent="0.35">
      <c r="B384" s="95" t="s">
        <v>96</v>
      </c>
      <c r="C384" s="147">
        <v>70106639</v>
      </c>
      <c r="D384" s="151">
        <v>0.37386746224245232</v>
      </c>
      <c r="E384" s="150">
        <v>13453.891052249999</v>
      </c>
      <c r="F384" s="39">
        <f t="shared" si="18"/>
        <v>943207.08314542077</v>
      </c>
      <c r="G384" s="89">
        <f t="shared" si="19"/>
        <v>45199</v>
      </c>
    </row>
    <row r="385" spans="2:7" ht="15" thickBot="1" x14ac:dyDescent="0.4">
      <c r="B385" s="94" t="s">
        <v>9</v>
      </c>
      <c r="C385" s="152">
        <v>195935238</v>
      </c>
      <c r="D385" s="153">
        <v>0.99938705968924102</v>
      </c>
      <c r="E385" s="154">
        <v>10500</v>
      </c>
      <c r="F385" s="42">
        <f t="shared" ref="F385" si="20">+(E385*C385)/1000000</f>
        <v>2057319.9990000001</v>
      </c>
      <c r="G385" s="90">
        <f t="shared" si="19"/>
        <v>45199</v>
      </c>
    </row>
    <row r="386" spans="2:7" ht="15" thickTop="1" x14ac:dyDescent="0.35">
      <c r="B386" s="96" t="s">
        <v>2</v>
      </c>
      <c r="C386" s="148">
        <v>566360307</v>
      </c>
      <c r="D386" s="149">
        <v>0.52939999999999998</v>
      </c>
      <c r="E386" s="150">
        <v>2960</v>
      </c>
      <c r="F386" s="78">
        <f>+(E386*C386)/1000000</f>
        <v>1676426.50872</v>
      </c>
      <c r="G386" s="146">
        <v>45291</v>
      </c>
    </row>
    <row r="387" spans="2:7" x14ac:dyDescent="0.35">
      <c r="B387" s="96" t="s">
        <v>11</v>
      </c>
      <c r="C387" s="148">
        <v>705813624</v>
      </c>
      <c r="D387" s="149">
        <v>0.60660000000000003</v>
      </c>
      <c r="E387" s="150">
        <v>6110</v>
      </c>
      <c r="F387" s="39">
        <f>+(E387*C387)/1000000</f>
        <v>4312521.2426399998</v>
      </c>
      <c r="G387" s="25">
        <f>+G386</f>
        <v>45291</v>
      </c>
    </row>
    <row r="388" spans="2:7" x14ac:dyDescent="0.35">
      <c r="B388" s="96" t="s">
        <v>17</v>
      </c>
      <c r="C388" s="148">
        <v>0</v>
      </c>
      <c r="D388" s="149">
        <v>0</v>
      </c>
      <c r="E388" s="150"/>
      <c r="F388" s="39">
        <f t="shared" ref="F388:F394" si="21">+(E388*C388)/1000000</f>
        <v>0</v>
      </c>
      <c r="G388" s="25">
        <f t="shared" ref="G388:G394" si="22">+G387</f>
        <v>45291</v>
      </c>
    </row>
    <row r="389" spans="2:7" x14ac:dyDescent="0.35">
      <c r="B389" s="96" t="s">
        <v>6</v>
      </c>
      <c r="C389" s="148">
        <v>0</v>
      </c>
      <c r="D389" s="149">
        <v>0</v>
      </c>
      <c r="E389" s="150"/>
      <c r="F389" s="39">
        <f t="shared" si="21"/>
        <v>0</v>
      </c>
      <c r="G389" s="25">
        <f t="shared" si="22"/>
        <v>45291</v>
      </c>
    </row>
    <row r="390" spans="2:7" x14ac:dyDescent="0.35">
      <c r="B390" s="96" t="s">
        <v>18</v>
      </c>
      <c r="C390" s="148">
        <v>130012643</v>
      </c>
      <c r="D390" s="149">
        <v>0.27856626492954178</v>
      </c>
      <c r="E390" s="150">
        <v>29000</v>
      </c>
      <c r="F390" s="39">
        <f t="shared" si="21"/>
        <v>3770366.6469999999</v>
      </c>
      <c r="G390" s="25">
        <f t="shared" si="22"/>
        <v>45291</v>
      </c>
    </row>
    <row r="391" spans="2:7" x14ac:dyDescent="0.35">
      <c r="B391" s="96" t="s">
        <v>3</v>
      </c>
      <c r="C391" s="148">
        <v>0</v>
      </c>
      <c r="D391" s="149">
        <v>0</v>
      </c>
      <c r="E391" s="150"/>
      <c r="F391" s="39">
        <f t="shared" si="21"/>
        <v>0</v>
      </c>
      <c r="G391" s="25">
        <f t="shared" si="22"/>
        <v>45291</v>
      </c>
    </row>
    <row r="392" spans="2:7" x14ac:dyDescent="0.35">
      <c r="B392" s="96" t="s">
        <v>8</v>
      </c>
      <c r="C392" s="148">
        <v>45243781</v>
      </c>
      <c r="D392" s="149">
        <v>9.8837800645214025E-2</v>
      </c>
      <c r="E392" s="150">
        <v>45000</v>
      </c>
      <c r="F392" s="39">
        <f t="shared" si="21"/>
        <v>2035970.145</v>
      </c>
      <c r="G392" s="25">
        <f t="shared" si="22"/>
        <v>45291</v>
      </c>
    </row>
    <row r="393" spans="2:7" x14ac:dyDescent="0.35">
      <c r="B393" s="95" t="s">
        <v>96</v>
      </c>
      <c r="C393" s="147">
        <v>70106639</v>
      </c>
      <c r="D393" s="151">
        <v>0.37386746224245232</v>
      </c>
      <c r="E393" s="150">
        <v>13490.89614744</v>
      </c>
      <c r="F393" s="39">
        <f t="shared" si="21"/>
        <v>945801.38599506684</v>
      </c>
      <c r="G393" s="89">
        <f t="shared" si="22"/>
        <v>45291</v>
      </c>
    </row>
    <row r="394" spans="2:7" ht="15" thickBot="1" x14ac:dyDescent="0.4">
      <c r="B394" s="94" t="s">
        <v>9</v>
      </c>
      <c r="C394" s="152">
        <v>195935238</v>
      </c>
      <c r="D394" s="153">
        <v>0.99938705968924102</v>
      </c>
      <c r="E394" s="154">
        <v>10500</v>
      </c>
      <c r="F394" s="42">
        <f t="shared" si="21"/>
        <v>2057319.9990000001</v>
      </c>
      <c r="G394" s="90">
        <f t="shared" si="22"/>
        <v>45291</v>
      </c>
    </row>
    <row r="395" spans="2:7" ht="15" thickTop="1" x14ac:dyDescent="0.35">
      <c r="B395" s="96" t="s">
        <v>2</v>
      </c>
      <c r="C395" s="148">
        <v>566360307</v>
      </c>
      <c r="D395" s="149">
        <v>0.52941187110374766</v>
      </c>
      <c r="E395" s="150">
        <v>3935</v>
      </c>
      <c r="F395" s="78">
        <f>+(E395*C395)/1000000</f>
        <v>2228627.8080449998</v>
      </c>
      <c r="G395" s="146">
        <v>45382</v>
      </c>
    </row>
    <row r="396" spans="2:7" x14ac:dyDescent="0.35">
      <c r="B396" s="96" t="s">
        <v>11</v>
      </c>
      <c r="C396" s="148">
        <v>705813624</v>
      </c>
      <c r="D396" s="149">
        <v>0.6066376013218765</v>
      </c>
      <c r="E396" s="150">
        <v>8640</v>
      </c>
      <c r="F396" s="39">
        <f>+(E396*C396)/1000000</f>
        <v>6098229.7113600001</v>
      </c>
      <c r="G396" s="25">
        <f>+G395</f>
        <v>45382</v>
      </c>
    </row>
    <row r="397" spans="2:7" x14ac:dyDescent="0.35">
      <c r="B397" s="96" t="s">
        <v>17</v>
      </c>
      <c r="C397" s="148">
        <v>0</v>
      </c>
      <c r="D397" s="149">
        <v>0</v>
      </c>
      <c r="E397" s="150"/>
      <c r="F397" s="39">
        <f t="shared" ref="F397:F403" si="23">+(E397*C397)/1000000</f>
        <v>0</v>
      </c>
      <c r="G397" s="25">
        <f t="shared" ref="G397:G403" si="24">+G396</f>
        <v>45382</v>
      </c>
    </row>
    <row r="398" spans="2:7" x14ac:dyDescent="0.35">
      <c r="B398" s="96" t="s">
        <v>6</v>
      </c>
      <c r="C398" s="148">
        <v>0</v>
      </c>
      <c r="D398" s="149">
        <v>0</v>
      </c>
      <c r="E398" s="150"/>
      <c r="F398" s="39">
        <f t="shared" si="23"/>
        <v>0</v>
      </c>
      <c r="G398" s="25">
        <f t="shared" si="24"/>
        <v>45382</v>
      </c>
    </row>
    <row r="399" spans="2:7" x14ac:dyDescent="0.35">
      <c r="B399" s="96" t="s">
        <v>18</v>
      </c>
      <c r="C399" s="148">
        <v>166083479</v>
      </c>
      <c r="D399" s="149">
        <v>0.35585196518666534</v>
      </c>
      <c r="E399" s="150">
        <v>30480</v>
      </c>
      <c r="F399" s="39">
        <f t="shared" si="23"/>
        <v>5062224.4399199998</v>
      </c>
      <c r="G399" s="25">
        <f t="shared" si="24"/>
        <v>45382</v>
      </c>
    </row>
    <row r="400" spans="2:7" x14ac:dyDescent="0.35">
      <c r="B400" s="96" t="s">
        <v>3</v>
      </c>
      <c r="C400" s="148">
        <v>0</v>
      </c>
      <c r="D400" s="149">
        <v>0</v>
      </c>
      <c r="E400" s="150"/>
      <c r="F400" s="39">
        <f t="shared" si="23"/>
        <v>0</v>
      </c>
      <c r="G400" s="25">
        <f t="shared" si="24"/>
        <v>45382</v>
      </c>
    </row>
    <row r="401" spans="2:7" x14ac:dyDescent="0.35">
      <c r="B401" s="96" t="s">
        <v>109</v>
      </c>
      <c r="C401" s="148">
        <v>60176194</v>
      </c>
      <c r="D401" s="149">
        <v>0.13145914247142071</v>
      </c>
      <c r="E401" s="150">
        <v>6480</v>
      </c>
      <c r="F401" s="39">
        <f t="shared" si="23"/>
        <v>389941.73712000001</v>
      </c>
      <c r="G401" s="25">
        <f t="shared" si="24"/>
        <v>45382</v>
      </c>
    </row>
    <row r="402" spans="2:7" x14ac:dyDescent="0.35">
      <c r="B402" s="95" t="s">
        <v>96</v>
      </c>
      <c r="C402" s="147">
        <v>70106639</v>
      </c>
      <c r="D402" s="151">
        <v>0.37386746224245232</v>
      </c>
      <c r="E402" s="150">
        <v>13613.900823370001</v>
      </c>
      <c r="F402" s="39">
        <f>+(E402*C402)/1000000</f>
        <v>954424.8304058034</v>
      </c>
      <c r="G402" s="89">
        <f t="shared" si="24"/>
        <v>45382</v>
      </c>
    </row>
    <row r="403" spans="2:7" ht="15" thickBot="1" x14ac:dyDescent="0.4">
      <c r="B403" s="94" t="s">
        <v>9</v>
      </c>
      <c r="C403" s="152">
        <v>195935308</v>
      </c>
      <c r="D403" s="153">
        <v>0.99943118690289201</v>
      </c>
      <c r="E403" s="154">
        <v>10500</v>
      </c>
      <c r="F403" s="42">
        <f t="shared" si="23"/>
        <v>2057320.7339999999</v>
      </c>
      <c r="G403" s="90">
        <f t="shared" si="24"/>
        <v>45382</v>
      </c>
    </row>
    <row r="404" spans="2:7" ht="15" thickTop="1" x14ac:dyDescent="0.35">
      <c r="B404" s="96" t="s">
        <v>2</v>
      </c>
      <c r="C404" s="148">
        <v>566360307</v>
      </c>
      <c r="D404" s="149">
        <v>0.53563012021003631</v>
      </c>
      <c r="E404" s="150">
        <v>4100</v>
      </c>
      <c r="F404" s="78">
        <f>+(E404*C404)/1000000</f>
        <v>2322077.2587000001</v>
      </c>
      <c r="G404" s="146">
        <v>45473</v>
      </c>
    </row>
    <row r="405" spans="2:7" x14ac:dyDescent="0.35">
      <c r="B405" s="96" t="s">
        <v>116</v>
      </c>
      <c r="C405" s="148">
        <v>705930534</v>
      </c>
      <c r="D405" s="149">
        <v>0.53643919056482536</v>
      </c>
      <c r="E405" s="150">
        <v>8330</v>
      </c>
      <c r="F405" s="39">
        <f>+(E405*C405)/1000000</f>
        <v>5880401.34822</v>
      </c>
      <c r="G405" s="25">
        <f>+G404</f>
        <v>45473</v>
      </c>
    </row>
    <row r="406" spans="2:7" x14ac:dyDescent="0.35">
      <c r="B406" s="96" t="s">
        <v>17</v>
      </c>
      <c r="C406" s="148">
        <v>0</v>
      </c>
      <c r="D406" s="149">
        <v>0</v>
      </c>
      <c r="E406" s="150"/>
      <c r="F406" s="39">
        <f t="shared" ref="F406:F410" si="25">+(E406*C406)/1000000</f>
        <v>0</v>
      </c>
      <c r="G406" s="25">
        <f t="shared" ref="G406:G412" si="26">+G405</f>
        <v>45473</v>
      </c>
    </row>
    <row r="407" spans="2:7" x14ac:dyDescent="0.35">
      <c r="B407" s="96" t="s">
        <v>6</v>
      </c>
      <c r="C407" s="148">
        <v>0</v>
      </c>
      <c r="D407" s="149">
        <v>0</v>
      </c>
      <c r="E407" s="150"/>
      <c r="F407" s="39">
        <f t="shared" si="25"/>
        <v>0</v>
      </c>
      <c r="G407" s="25">
        <f t="shared" si="26"/>
        <v>45473</v>
      </c>
    </row>
    <row r="408" spans="2:7" x14ac:dyDescent="0.35">
      <c r="B408" s="96" t="s">
        <v>110</v>
      </c>
      <c r="C408" s="148">
        <v>56283340</v>
      </c>
      <c r="D408" s="149">
        <v>0.17597844100620652</v>
      </c>
      <c r="E408" s="150">
        <v>34400</v>
      </c>
      <c r="F408" s="39">
        <f t="shared" si="25"/>
        <v>1936146.8959999999</v>
      </c>
      <c r="G408" s="25">
        <f t="shared" si="26"/>
        <v>45473</v>
      </c>
    </row>
    <row r="409" spans="2:7" x14ac:dyDescent="0.35">
      <c r="B409" s="96" t="s">
        <v>112</v>
      </c>
      <c r="C409" s="148">
        <v>114500000</v>
      </c>
      <c r="D409" s="149">
        <v>0</v>
      </c>
      <c r="E409" s="150">
        <v>34400</v>
      </c>
      <c r="F409" s="39">
        <f t="shared" si="25"/>
        <v>3938800</v>
      </c>
      <c r="G409" s="25">
        <f t="shared" si="26"/>
        <v>45473</v>
      </c>
    </row>
    <row r="410" spans="2:7" x14ac:dyDescent="0.35">
      <c r="B410" s="96" t="s">
        <v>109</v>
      </c>
      <c r="C410" s="148">
        <v>76214986</v>
      </c>
      <c r="D410" s="156">
        <v>0.16649701546480883</v>
      </c>
      <c r="E410" s="150">
        <v>7100</v>
      </c>
      <c r="F410" s="39">
        <f t="shared" si="25"/>
        <v>541126.40060000005</v>
      </c>
      <c r="G410" s="25">
        <f t="shared" si="26"/>
        <v>45473</v>
      </c>
    </row>
    <row r="411" spans="2:7" x14ac:dyDescent="0.35">
      <c r="B411" s="95" t="s">
        <v>96</v>
      </c>
      <c r="C411" s="147">
        <v>70106639</v>
      </c>
      <c r="D411" s="151">
        <v>0.37386746224245232</v>
      </c>
      <c r="E411" s="150">
        <v>13823.02200605</v>
      </c>
      <c r="F411" s="39">
        <f>+(E411*C411)/1000000</f>
        <v>969085.61366720311</v>
      </c>
      <c r="G411" s="89">
        <f t="shared" si="26"/>
        <v>45473</v>
      </c>
    </row>
    <row r="412" spans="2:7" ht="15" thickBot="1" x14ac:dyDescent="0.4">
      <c r="B412" s="94" t="s">
        <v>9</v>
      </c>
      <c r="C412" s="152">
        <v>195935308</v>
      </c>
      <c r="D412" s="153">
        <v>0.99943118690289201</v>
      </c>
      <c r="E412" s="154">
        <v>10500</v>
      </c>
      <c r="F412" s="42">
        <f t="shared" ref="F412" si="27">+(E412*C412)/1000000</f>
        <v>2057320.7339999999</v>
      </c>
      <c r="G412" s="90">
        <f t="shared" si="26"/>
        <v>45473</v>
      </c>
    </row>
    <row r="413" spans="2:7" ht="15" thickTop="1" x14ac:dyDescent="0.35">
      <c r="B413" s="96" t="s">
        <v>2</v>
      </c>
      <c r="C413" s="148">
        <v>566360307</v>
      </c>
      <c r="D413" s="156">
        <v>0.53740401663074566</v>
      </c>
      <c r="E413" s="150">
        <v>3915</v>
      </c>
      <c r="F413" s="78">
        <f>+(E413*C413)/1000000</f>
        <v>2217300.6019049999</v>
      </c>
      <c r="G413" s="146">
        <v>45565</v>
      </c>
    </row>
    <row r="414" spans="2:7" x14ac:dyDescent="0.35">
      <c r="B414" s="96" t="s">
        <v>116</v>
      </c>
      <c r="C414" s="148">
        <v>705930534</v>
      </c>
      <c r="D414" s="156">
        <v>0.53946313309689187</v>
      </c>
      <c r="E414" s="150">
        <v>7500</v>
      </c>
      <c r="F414" s="39">
        <f>+(E414*C414)/1000000</f>
        <v>5294479.0049999999</v>
      </c>
      <c r="G414" s="25">
        <f>+G413</f>
        <v>45565</v>
      </c>
    </row>
    <row r="415" spans="2:7" x14ac:dyDescent="0.35">
      <c r="B415" s="96" t="s">
        <v>17</v>
      </c>
      <c r="C415" s="148">
        <v>0</v>
      </c>
      <c r="D415" s="156">
        <v>0</v>
      </c>
      <c r="E415" s="150"/>
      <c r="F415" s="39">
        <f t="shared" ref="F415:F418" si="28">+(E415*C415)/1000000</f>
        <v>0</v>
      </c>
      <c r="G415" s="25">
        <f t="shared" ref="G415:G429" si="29">+G414</f>
        <v>45565</v>
      </c>
    </row>
    <row r="416" spans="2:7" x14ac:dyDescent="0.35">
      <c r="B416" s="96" t="s">
        <v>6</v>
      </c>
      <c r="C416" s="148">
        <v>0</v>
      </c>
      <c r="D416" s="156">
        <v>0</v>
      </c>
      <c r="E416" s="150"/>
      <c r="F416" s="39">
        <f t="shared" si="28"/>
        <v>0</v>
      </c>
      <c r="G416" s="25">
        <f t="shared" si="29"/>
        <v>45565</v>
      </c>
    </row>
    <row r="417" spans="2:7" x14ac:dyDescent="0.35">
      <c r="B417" s="96" t="s">
        <v>110</v>
      </c>
      <c r="C417" s="148">
        <v>15583340</v>
      </c>
      <c r="D417" s="156">
        <v>4.8723687664407593E-2</v>
      </c>
      <c r="E417" s="150">
        <v>29000</v>
      </c>
      <c r="F417" s="39">
        <f>+(E417*C417)/1000000</f>
        <v>451916.86</v>
      </c>
      <c r="G417" s="25">
        <f t="shared" si="29"/>
        <v>45565</v>
      </c>
    </row>
    <row r="418" spans="2:7" x14ac:dyDescent="0.35">
      <c r="B418" s="96" t="s">
        <v>112</v>
      </c>
      <c r="C418" s="148">
        <v>155200000</v>
      </c>
      <c r="D418" s="156">
        <v>0</v>
      </c>
      <c r="E418" s="150">
        <v>29000</v>
      </c>
      <c r="F418" s="39">
        <f t="shared" si="28"/>
        <v>4500800</v>
      </c>
      <c r="G418" s="25">
        <f t="shared" si="29"/>
        <v>45565</v>
      </c>
    </row>
    <row r="419" spans="2:7" x14ac:dyDescent="0.35">
      <c r="B419" s="96" t="s">
        <v>109</v>
      </c>
      <c r="C419" s="148">
        <v>76214986</v>
      </c>
      <c r="D419" s="156">
        <v>0.16649701546480883</v>
      </c>
      <c r="E419" s="150">
        <v>7100</v>
      </c>
      <c r="F419" s="39">
        <f>+(E419*C419)/1000000</f>
        <v>541126.40060000005</v>
      </c>
      <c r="G419" s="25">
        <f t="shared" si="29"/>
        <v>45565</v>
      </c>
    </row>
    <row r="420" spans="2:7" x14ac:dyDescent="0.35">
      <c r="B420" s="95" t="s">
        <v>96</v>
      </c>
      <c r="C420" s="147">
        <v>70106639</v>
      </c>
      <c r="D420" s="157">
        <v>0.37450084716646853</v>
      </c>
      <c r="E420" s="150">
        <v>13972.47753964</v>
      </c>
      <c r="F420" s="39">
        <f>+(E420*C420)/1000000</f>
        <v>979563.43880714965</v>
      </c>
      <c r="G420" s="89">
        <f t="shared" si="29"/>
        <v>45565</v>
      </c>
    </row>
    <row r="421" spans="2:7" ht="15" thickBot="1" x14ac:dyDescent="0.4">
      <c r="B421" s="94" t="s">
        <v>9</v>
      </c>
      <c r="C421" s="152">
        <v>195935378</v>
      </c>
      <c r="D421" s="158">
        <v>0.99943118690289201</v>
      </c>
      <c r="E421" s="154">
        <v>10500</v>
      </c>
      <c r="F421" s="42">
        <f t="shared" ref="F421:F428" si="30">+(E421*C421)/1000000</f>
        <v>2057321.469</v>
      </c>
      <c r="G421" s="90">
        <f t="shared" si="29"/>
        <v>45565</v>
      </c>
    </row>
    <row r="422" spans="2:7" ht="15" thickTop="1" x14ac:dyDescent="0.35">
      <c r="B422" s="96" t="s">
        <v>2</v>
      </c>
      <c r="C422" s="148">
        <v>566360307</v>
      </c>
      <c r="D422" s="156">
        <v>0.53886576602534386</v>
      </c>
      <c r="E422" s="150">
        <v>3680</v>
      </c>
      <c r="F422" s="78">
        <f t="shared" si="30"/>
        <v>2084205.92976</v>
      </c>
      <c r="G422" s="160">
        <v>45657</v>
      </c>
    </row>
    <row r="423" spans="2:7" x14ac:dyDescent="0.35">
      <c r="B423" s="96" t="s">
        <v>116</v>
      </c>
      <c r="C423" s="148">
        <v>705930534</v>
      </c>
      <c r="D423" s="156">
        <v>0.54224298480841437</v>
      </c>
      <c r="E423" s="150">
        <v>10200</v>
      </c>
      <c r="F423" s="39">
        <f t="shared" si="30"/>
        <v>7200491.4468</v>
      </c>
      <c r="G423" s="25">
        <f>+G422</f>
        <v>45657</v>
      </c>
    </row>
    <row r="424" spans="2:7" x14ac:dyDescent="0.35">
      <c r="B424" s="96" t="s">
        <v>17</v>
      </c>
      <c r="C424" s="148">
        <v>0</v>
      </c>
      <c r="D424" s="156">
        <v>0</v>
      </c>
      <c r="E424" s="150"/>
      <c r="F424" s="39">
        <f t="shared" si="30"/>
        <v>0</v>
      </c>
      <c r="G424" s="25">
        <f t="shared" si="29"/>
        <v>45657</v>
      </c>
    </row>
    <row r="425" spans="2:7" x14ac:dyDescent="0.35">
      <c r="B425" s="96" t="s">
        <v>6</v>
      </c>
      <c r="C425" s="148">
        <v>0</v>
      </c>
      <c r="D425" s="156">
        <v>0</v>
      </c>
      <c r="E425" s="150"/>
      <c r="F425" s="39">
        <f t="shared" si="30"/>
        <v>0</v>
      </c>
      <c r="G425" s="25">
        <f t="shared" si="29"/>
        <v>45657</v>
      </c>
    </row>
    <row r="426" spans="2:7" x14ac:dyDescent="0.35">
      <c r="B426" s="96" t="s">
        <v>110</v>
      </c>
      <c r="C426" s="148">
        <v>26507774</v>
      </c>
      <c r="D426" s="156">
        <v>9.3792844677905426E-2</v>
      </c>
      <c r="E426" s="150">
        <v>37200</v>
      </c>
      <c r="F426" s="39">
        <f t="shared" si="30"/>
        <v>986089.19279999996</v>
      </c>
      <c r="G426" s="25">
        <f t="shared" si="29"/>
        <v>45657</v>
      </c>
    </row>
    <row r="427" spans="2:7" x14ac:dyDescent="0.35">
      <c r="B427" s="96" t="s">
        <v>112</v>
      </c>
      <c r="C427" s="148">
        <v>155200000</v>
      </c>
      <c r="D427" s="156">
        <v>0</v>
      </c>
      <c r="E427" s="150">
        <v>37200</v>
      </c>
      <c r="F427" s="39">
        <f t="shared" si="30"/>
        <v>5773440</v>
      </c>
      <c r="G427" s="25">
        <f t="shared" si="29"/>
        <v>45657</v>
      </c>
    </row>
    <row r="428" spans="2:7" x14ac:dyDescent="0.35">
      <c r="B428" s="95" t="s">
        <v>96</v>
      </c>
      <c r="C428" s="147">
        <v>63255152.2729619</v>
      </c>
      <c r="D428" s="157">
        <v>0.3745008471685019</v>
      </c>
      <c r="E428" s="150">
        <v>14016.21627678</v>
      </c>
      <c r="F428" s="39">
        <f t="shared" si="30"/>
        <v>886597.89487848594</v>
      </c>
      <c r="G428" s="89">
        <f t="shared" si="29"/>
        <v>45657</v>
      </c>
    </row>
    <row r="429" spans="2:7" ht="15" thickBot="1" x14ac:dyDescent="0.4">
      <c r="B429" s="94" t="s">
        <v>9</v>
      </c>
      <c r="C429" s="152">
        <v>195935378</v>
      </c>
      <c r="D429" s="158">
        <v>0.99943118690289201</v>
      </c>
      <c r="E429" s="154">
        <v>10500</v>
      </c>
      <c r="F429" s="42">
        <f>+(E429*C429)/1000000</f>
        <v>2057321.469</v>
      </c>
      <c r="G429" s="90">
        <f t="shared" si="29"/>
        <v>45657</v>
      </c>
    </row>
    <row r="430" spans="2:7" ht="15" thickTop="1" x14ac:dyDescent="0.35">
      <c r="B430" s="96" t="s">
        <v>2</v>
      </c>
      <c r="C430" s="148">
        <v>566360307</v>
      </c>
      <c r="D430" s="156">
        <v>0.54009793319797628</v>
      </c>
      <c r="E430" s="150">
        <v>3940</v>
      </c>
      <c r="F430" s="78">
        <f>+(E430*C430)/1000000</f>
        <v>2231459.6095799999</v>
      </c>
      <c r="G430" s="160">
        <v>45747</v>
      </c>
    </row>
    <row r="431" spans="2:7" x14ac:dyDescent="0.35">
      <c r="B431" s="96" t="s">
        <v>116</v>
      </c>
      <c r="C431" s="148">
        <v>705930534</v>
      </c>
      <c r="D431" s="156">
        <v>0.5441850141865533</v>
      </c>
      <c r="E431" s="150">
        <v>10240</v>
      </c>
      <c r="F431" s="39">
        <f t="shared" ref="F430:F436" si="31">+(E431*C431)/1000000</f>
        <v>7228728.6681599999</v>
      </c>
      <c r="G431" s="25">
        <f>+G430</f>
        <v>45747</v>
      </c>
    </row>
    <row r="432" spans="2:7" x14ac:dyDescent="0.35">
      <c r="B432" s="96" t="s">
        <v>17</v>
      </c>
      <c r="C432" s="148">
        <v>0</v>
      </c>
      <c r="D432" s="156">
        <v>0</v>
      </c>
      <c r="E432" s="150"/>
      <c r="F432" s="39">
        <f t="shared" si="31"/>
        <v>0</v>
      </c>
      <c r="G432" s="25">
        <f t="shared" ref="G432:G437" si="32">+G431</f>
        <v>45747</v>
      </c>
    </row>
    <row r="433" spans="2:7" x14ac:dyDescent="0.35">
      <c r="B433" s="96" t="s">
        <v>6</v>
      </c>
      <c r="C433" s="148">
        <v>0</v>
      </c>
      <c r="D433" s="156">
        <v>0</v>
      </c>
      <c r="E433" s="150"/>
      <c r="F433" s="39">
        <f t="shared" si="31"/>
        <v>0</v>
      </c>
      <c r="G433" s="25">
        <f t="shared" si="32"/>
        <v>45747</v>
      </c>
    </row>
    <row r="434" spans="2:7" x14ac:dyDescent="0.35">
      <c r="B434" s="96" t="s">
        <v>110</v>
      </c>
      <c r="C434" s="148">
        <v>26507774</v>
      </c>
      <c r="D434" s="156">
        <v>9.3792844677905426E-2</v>
      </c>
      <c r="E434" s="150">
        <v>42500</v>
      </c>
      <c r="F434" s="39">
        <f t="shared" si="31"/>
        <v>1126580.395</v>
      </c>
      <c r="G434" s="25">
        <f t="shared" si="32"/>
        <v>45747</v>
      </c>
    </row>
    <row r="435" spans="2:7" x14ac:dyDescent="0.35">
      <c r="B435" s="96" t="s">
        <v>112</v>
      </c>
      <c r="C435" s="148">
        <v>155200000</v>
      </c>
      <c r="D435" s="156">
        <v>0</v>
      </c>
      <c r="E435" s="150">
        <v>42500</v>
      </c>
      <c r="F435" s="39">
        <f t="shared" si="31"/>
        <v>6596000</v>
      </c>
      <c r="G435" s="25">
        <f t="shared" si="32"/>
        <v>45747</v>
      </c>
    </row>
    <row r="436" spans="2:7" x14ac:dyDescent="0.35">
      <c r="B436" s="95" t="s">
        <v>96</v>
      </c>
      <c r="C436" s="147">
        <v>62728212.084775001</v>
      </c>
      <c r="D436" s="157">
        <v>0.37138110846276684</v>
      </c>
      <c r="E436" s="150">
        <f>914991617354/62728212.084775</f>
        <v>14586.604447093448</v>
      </c>
      <c r="F436" s="39">
        <f t="shared" si="31"/>
        <v>914991.61735399999</v>
      </c>
      <c r="G436" s="89">
        <f t="shared" si="32"/>
        <v>45747</v>
      </c>
    </row>
    <row r="437" spans="2:7" ht="15" thickBot="1" x14ac:dyDescent="0.4">
      <c r="B437" s="94" t="s">
        <v>9</v>
      </c>
      <c r="C437" s="152">
        <v>195935378</v>
      </c>
      <c r="D437" s="158">
        <v>0.99943118690289201</v>
      </c>
      <c r="E437" s="154">
        <v>10500</v>
      </c>
      <c r="F437" s="42">
        <f>+(E437*C437)/1000000</f>
        <v>2057321.469</v>
      </c>
      <c r="G437" s="90">
        <f t="shared" si="32"/>
        <v>45747</v>
      </c>
    </row>
    <row r="438" spans="2:7" ht="15" thickTop="1" x14ac:dyDescent="0.35"/>
    <row r="440" spans="2:7" x14ac:dyDescent="0.35">
      <c r="C440" s="161"/>
    </row>
    <row r="441" spans="2:7" x14ac:dyDescent="0.35">
      <c r="C441" s="162"/>
    </row>
  </sheetData>
  <pageMargins left="0.7" right="0.7" top="0.75" bottom="0.75" header="0.3" footer="0.3"/>
  <pageSetup orientation="portrait" verticalDpi="597" r:id="rId1"/>
  <ignoredErrors>
    <ignoredError sqref="G261:G268 G270:G277 G279:G286 G288:G29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40"/>
  <sheetViews>
    <sheetView showGridLines="0" topLeftCell="A4" workbookViewId="0">
      <pane xSplit="2" ySplit="7" topLeftCell="J11" activePane="bottomRight" state="frozen"/>
      <selection activeCell="A4" sqref="A4"/>
      <selection pane="topRight" activeCell="C4" sqref="C4"/>
      <selection pane="bottomLeft" activeCell="A9" sqref="A9"/>
      <selection pane="bottomRight" activeCell="N13" sqref="N13"/>
    </sheetView>
  </sheetViews>
  <sheetFormatPr baseColWidth="10" defaultRowHeight="15" x14ac:dyDescent="0.4"/>
  <cols>
    <col min="1" max="1" width="3" style="1" customWidth="1"/>
    <col min="2" max="2" width="50.7265625" style="1" customWidth="1"/>
    <col min="3" max="3" width="15" style="1" customWidth="1"/>
    <col min="4" max="4" width="19.26953125" style="1" bestFit="1" customWidth="1"/>
    <col min="5" max="5" width="15.54296875" style="1" customWidth="1"/>
    <col min="6" max="6" width="13" style="1" bestFit="1" customWidth="1"/>
    <col min="7" max="7" width="12" style="1" bestFit="1" customWidth="1"/>
    <col min="8" max="8" width="17" style="1" customWidth="1"/>
    <col min="9" max="9" width="12.54296875" style="1" customWidth="1"/>
    <col min="10" max="11" width="13.26953125" style="1" customWidth="1"/>
    <col min="12" max="12" width="11.453125" style="1"/>
    <col min="13" max="14" width="18" style="1" customWidth="1"/>
    <col min="15" max="247" width="11.453125" style="1"/>
    <col min="248" max="248" width="3" style="1" customWidth="1"/>
    <col min="249" max="249" width="47" style="1" customWidth="1"/>
    <col min="250" max="250" width="24.81640625" style="1" customWidth="1"/>
    <col min="251" max="251" width="19.54296875" style="1" customWidth="1"/>
    <col min="252" max="252" width="17.1796875" style="1" bestFit="1" customWidth="1"/>
    <col min="253" max="253" width="24.81640625" style="1" customWidth="1"/>
    <col min="254" max="254" width="19.54296875" style="1" customWidth="1"/>
    <col min="255" max="255" width="19.26953125" style="1" bestFit="1" customWidth="1"/>
    <col min="256" max="256" width="24.81640625" style="1" customWidth="1"/>
    <col min="257" max="257" width="19.54296875" style="1" customWidth="1"/>
    <col min="258" max="258" width="15.54296875" style="1" customWidth="1"/>
    <col min="259" max="260" width="12.81640625" style="1" bestFit="1" customWidth="1"/>
    <col min="261" max="503" width="11.453125" style="1"/>
    <col min="504" max="504" width="3" style="1" customWidth="1"/>
    <col min="505" max="505" width="47" style="1" customWidth="1"/>
    <col min="506" max="506" width="24.81640625" style="1" customWidth="1"/>
    <col min="507" max="507" width="19.54296875" style="1" customWidth="1"/>
    <col min="508" max="508" width="17.1796875" style="1" bestFit="1" customWidth="1"/>
    <col min="509" max="509" width="24.81640625" style="1" customWidth="1"/>
    <col min="510" max="510" width="19.54296875" style="1" customWidth="1"/>
    <col min="511" max="511" width="19.26953125" style="1" bestFit="1" customWidth="1"/>
    <col min="512" max="512" width="24.81640625" style="1" customWidth="1"/>
    <col min="513" max="513" width="19.54296875" style="1" customWidth="1"/>
    <col min="514" max="514" width="15.54296875" style="1" customWidth="1"/>
    <col min="515" max="516" width="12.81640625" style="1" bestFit="1" customWidth="1"/>
    <col min="517" max="759" width="11.453125" style="1"/>
    <col min="760" max="760" width="3" style="1" customWidth="1"/>
    <col min="761" max="761" width="47" style="1" customWidth="1"/>
    <col min="762" max="762" width="24.81640625" style="1" customWidth="1"/>
    <col min="763" max="763" width="19.54296875" style="1" customWidth="1"/>
    <col min="764" max="764" width="17.1796875" style="1" bestFit="1" customWidth="1"/>
    <col min="765" max="765" width="24.81640625" style="1" customWidth="1"/>
    <col min="766" max="766" width="19.54296875" style="1" customWidth="1"/>
    <col min="767" max="767" width="19.26953125" style="1" bestFit="1" customWidth="1"/>
    <col min="768" max="768" width="24.81640625" style="1" customWidth="1"/>
    <col min="769" max="769" width="19.54296875" style="1" customWidth="1"/>
    <col min="770" max="770" width="15.54296875" style="1" customWidth="1"/>
    <col min="771" max="772" width="12.81640625" style="1" bestFit="1" customWidth="1"/>
    <col min="773" max="1015" width="11.453125" style="1"/>
    <col min="1016" max="1016" width="3" style="1" customWidth="1"/>
    <col min="1017" max="1017" width="47" style="1" customWidth="1"/>
    <col min="1018" max="1018" width="24.81640625" style="1" customWidth="1"/>
    <col min="1019" max="1019" width="19.54296875" style="1" customWidth="1"/>
    <col min="1020" max="1020" width="17.1796875" style="1" bestFit="1" customWidth="1"/>
    <col min="1021" max="1021" width="24.81640625" style="1" customWidth="1"/>
    <col min="1022" max="1022" width="19.54296875" style="1" customWidth="1"/>
    <col min="1023" max="1023" width="19.26953125" style="1" bestFit="1" customWidth="1"/>
    <col min="1024" max="1024" width="24.81640625" style="1" customWidth="1"/>
    <col min="1025" max="1025" width="19.54296875" style="1" customWidth="1"/>
    <col min="1026" max="1026" width="15.54296875" style="1" customWidth="1"/>
    <col min="1027" max="1028" width="12.81640625" style="1" bestFit="1" customWidth="1"/>
    <col min="1029" max="1271" width="11.453125" style="1"/>
    <col min="1272" max="1272" width="3" style="1" customWidth="1"/>
    <col min="1273" max="1273" width="47" style="1" customWidth="1"/>
    <col min="1274" max="1274" width="24.81640625" style="1" customWidth="1"/>
    <col min="1275" max="1275" width="19.54296875" style="1" customWidth="1"/>
    <col min="1276" max="1276" width="17.1796875" style="1" bestFit="1" customWidth="1"/>
    <col min="1277" max="1277" width="24.81640625" style="1" customWidth="1"/>
    <col min="1278" max="1278" width="19.54296875" style="1" customWidth="1"/>
    <col min="1279" max="1279" width="19.26953125" style="1" bestFit="1" customWidth="1"/>
    <col min="1280" max="1280" width="24.81640625" style="1" customWidth="1"/>
    <col min="1281" max="1281" width="19.54296875" style="1" customWidth="1"/>
    <col min="1282" max="1282" width="15.54296875" style="1" customWidth="1"/>
    <col min="1283" max="1284" width="12.81640625" style="1" bestFit="1" customWidth="1"/>
    <col min="1285" max="1527" width="11.453125" style="1"/>
    <col min="1528" max="1528" width="3" style="1" customWidth="1"/>
    <col min="1529" max="1529" width="47" style="1" customWidth="1"/>
    <col min="1530" max="1530" width="24.81640625" style="1" customWidth="1"/>
    <col min="1531" max="1531" width="19.54296875" style="1" customWidth="1"/>
    <col min="1532" max="1532" width="17.1796875" style="1" bestFit="1" customWidth="1"/>
    <col min="1533" max="1533" width="24.81640625" style="1" customWidth="1"/>
    <col min="1534" max="1534" width="19.54296875" style="1" customWidth="1"/>
    <col min="1535" max="1535" width="19.26953125" style="1" bestFit="1" customWidth="1"/>
    <col min="1536" max="1536" width="24.81640625" style="1" customWidth="1"/>
    <col min="1537" max="1537" width="19.54296875" style="1" customWidth="1"/>
    <col min="1538" max="1538" width="15.54296875" style="1" customWidth="1"/>
    <col min="1539" max="1540" width="12.81640625" style="1" bestFit="1" customWidth="1"/>
    <col min="1541" max="1783" width="11.453125" style="1"/>
    <col min="1784" max="1784" width="3" style="1" customWidth="1"/>
    <col min="1785" max="1785" width="47" style="1" customWidth="1"/>
    <col min="1786" max="1786" width="24.81640625" style="1" customWidth="1"/>
    <col min="1787" max="1787" width="19.54296875" style="1" customWidth="1"/>
    <col min="1788" max="1788" width="17.1796875" style="1" bestFit="1" customWidth="1"/>
    <col min="1789" max="1789" width="24.81640625" style="1" customWidth="1"/>
    <col min="1790" max="1790" width="19.54296875" style="1" customWidth="1"/>
    <col min="1791" max="1791" width="19.26953125" style="1" bestFit="1" customWidth="1"/>
    <col min="1792" max="1792" width="24.81640625" style="1" customWidth="1"/>
    <col min="1793" max="1793" width="19.54296875" style="1" customWidth="1"/>
    <col min="1794" max="1794" width="15.54296875" style="1" customWidth="1"/>
    <col min="1795" max="1796" width="12.81640625" style="1" bestFit="1" customWidth="1"/>
    <col min="1797" max="2039" width="11.453125" style="1"/>
    <col min="2040" max="2040" width="3" style="1" customWidth="1"/>
    <col min="2041" max="2041" width="47" style="1" customWidth="1"/>
    <col min="2042" max="2042" width="24.81640625" style="1" customWidth="1"/>
    <col min="2043" max="2043" width="19.54296875" style="1" customWidth="1"/>
    <col min="2044" max="2044" width="17.1796875" style="1" bestFit="1" customWidth="1"/>
    <col min="2045" max="2045" width="24.81640625" style="1" customWidth="1"/>
    <col min="2046" max="2046" width="19.54296875" style="1" customWidth="1"/>
    <col min="2047" max="2047" width="19.26953125" style="1" bestFit="1" customWidth="1"/>
    <col min="2048" max="2048" width="24.81640625" style="1" customWidth="1"/>
    <col min="2049" max="2049" width="19.54296875" style="1" customWidth="1"/>
    <col min="2050" max="2050" width="15.54296875" style="1" customWidth="1"/>
    <col min="2051" max="2052" width="12.81640625" style="1" bestFit="1" customWidth="1"/>
    <col min="2053" max="2295" width="11.453125" style="1"/>
    <col min="2296" max="2296" width="3" style="1" customWidth="1"/>
    <col min="2297" max="2297" width="47" style="1" customWidth="1"/>
    <col min="2298" max="2298" width="24.81640625" style="1" customWidth="1"/>
    <col min="2299" max="2299" width="19.54296875" style="1" customWidth="1"/>
    <col min="2300" max="2300" width="17.1796875" style="1" bestFit="1" customWidth="1"/>
    <col min="2301" max="2301" width="24.81640625" style="1" customWidth="1"/>
    <col min="2302" max="2302" width="19.54296875" style="1" customWidth="1"/>
    <col min="2303" max="2303" width="19.26953125" style="1" bestFit="1" customWidth="1"/>
    <col min="2304" max="2304" width="24.81640625" style="1" customWidth="1"/>
    <col min="2305" max="2305" width="19.54296875" style="1" customWidth="1"/>
    <col min="2306" max="2306" width="15.54296875" style="1" customWidth="1"/>
    <col min="2307" max="2308" width="12.81640625" style="1" bestFit="1" customWidth="1"/>
    <col min="2309" max="2551" width="11.453125" style="1"/>
    <col min="2552" max="2552" width="3" style="1" customWidth="1"/>
    <col min="2553" max="2553" width="47" style="1" customWidth="1"/>
    <col min="2554" max="2554" width="24.81640625" style="1" customWidth="1"/>
    <col min="2555" max="2555" width="19.54296875" style="1" customWidth="1"/>
    <col min="2556" max="2556" width="17.1796875" style="1" bestFit="1" customWidth="1"/>
    <col min="2557" max="2557" width="24.81640625" style="1" customWidth="1"/>
    <col min="2558" max="2558" width="19.54296875" style="1" customWidth="1"/>
    <col min="2559" max="2559" width="19.26953125" style="1" bestFit="1" customWidth="1"/>
    <col min="2560" max="2560" width="24.81640625" style="1" customWidth="1"/>
    <col min="2561" max="2561" width="19.54296875" style="1" customWidth="1"/>
    <col min="2562" max="2562" width="15.54296875" style="1" customWidth="1"/>
    <col min="2563" max="2564" width="12.81640625" style="1" bestFit="1" customWidth="1"/>
    <col min="2565" max="2807" width="11.453125" style="1"/>
    <col min="2808" max="2808" width="3" style="1" customWidth="1"/>
    <col min="2809" max="2809" width="47" style="1" customWidth="1"/>
    <col min="2810" max="2810" width="24.81640625" style="1" customWidth="1"/>
    <col min="2811" max="2811" width="19.54296875" style="1" customWidth="1"/>
    <col min="2812" max="2812" width="17.1796875" style="1" bestFit="1" customWidth="1"/>
    <col min="2813" max="2813" width="24.81640625" style="1" customWidth="1"/>
    <col min="2814" max="2814" width="19.54296875" style="1" customWidth="1"/>
    <col min="2815" max="2815" width="19.26953125" style="1" bestFit="1" customWidth="1"/>
    <col min="2816" max="2816" width="24.81640625" style="1" customWidth="1"/>
    <col min="2817" max="2817" width="19.54296875" style="1" customWidth="1"/>
    <col min="2818" max="2818" width="15.54296875" style="1" customWidth="1"/>
    <col min="2819" max="2820" width="12.81640625" style="1" bestFit="1" customWidth="1"/>
    <col min="2821" max="3063" width="11.453125" style="1"/>
    <col min="3064" max="3064" width="3" style="1" customWidth="1"/>
    <col min="3065" max="3065" width="47" style="1" customWidth="1"/>
    <col min="3066" max="3066" width="24.81640625" style="1" customWidth="1"/>
    <col min="3067" max="3067" width="19.54296875" style="1" customWidth="1"/>
    <col min="3068" max="3068" width="17.1796875" style="1" bestFit="1" customWidth="1"/>
    <col min="3069" max="3069" width="24.81640625" style="1" customWidth="1"/>
    <col min="3070" max="3070" width="19.54296875" style="1" customWidth="1"/>
    <col min="3071" max="3071" width="19.26953125" style="1" bestFit="1" customWidth="1"/>
    <col min="3072" max="3072" width="24.81640625" style="1" customWidth="1"/>
    <col min="3073" max="3073" width="19.54296875" style="1" customWidth="1"/>
    <col min="3074" max="3074" width="15.54296875" style="1" customWidth="1"/>
    <col min="3075" max="3076" width="12.81640625" style="1" bestFit="1" customWidth="1"/>
    <col min="3077" max="3319" width="11.453125" style="1"/>
    <col min="3320" max="3320" width="3" style="1" customWidth="1"/>
    <col min="3321" max="3321" width="47" style="1" customWidth="1"/>
    <col min="3322" max="3322" width="24.81640625" style="1" customWidth="1"/>
    <col min="3323" max="3323" width="19.54296875" style="1" customWidth="1"/>
    <col min="3324" max="3324" width="17.1796875" style="1" bestFit="1" customWidth="1"/>
    <col min="3325" max="3325" width="24.81640625" style="1" customWidth="1"/>
    <col min="3326" max="3326" width="19.54296875" style="1" customWidth="1"/>
    <col min="3327" max="3327" width="19.26953125" style="1" bestFit="1" customWidth="1"/>
    <col min="3328" max="3328" width="24.81640625" style="1" customWidth="1"/>
    <col min="3329" max="3329" width="19.54296875" style="1" customWidth="1"/>
    <col min="3330" max="3330" width="15.54296875" style="1" customWidth="1"/>
    <col min="3331" max="3332" width="12.81640625" style="1" bestFit="1" customWidth="1"/>
    <col min="3333" max="3575" width="11.453125" style="1"/>
    <col min="3576" max="3576" width="3" style="1" customWidth="1"/>
    <col min="3577" max="3577" width="47" style="1" customWidth="1"/>
    <col min="3578" max="3578" width="24.81640625" style="1" customWidth="1"/>
    <col min="3579" max="3579" width="19.54296875" style="1" customWidth="1"/>
    <col min="3580" max="3580" width="17.1796875" style="1" bestFit="1" customWidth="1"/>
    <col min="3581" max="3581" width="24.81640625" style="1" customWidth="1"/>
    <col min="3582" max="3582" width="19.54296875" style="1" customWidth="1"/>
    <col min="3583" max="3583" width="19.26953125" style="1" bestFit="1" customWidth="1"/>
    <col min="3584" max="3584" width="24.81640625" style="1" customWidth="1"/>
    <col min="3585" max="3585" width="19.54296875" style="1" customWidth="1"/>
    <col min="3586" max="3586" width="15.54296875" style="1" customWidth="1"/>
    <col min="3587" max="3588" width="12.81640625" style="1" bestFit="1" customWidth="1"/>
    <col min="3589" max="3831" width="11.453125" style="1"/>
    <col min="3832" max="3832" width="3" style="1" customWidth="1"/>
    <col min="3833" max="3833" width="47" style="1" customWidth="1"/>
    <col min="3834" max="3834" width="24.81640625" style="1" customWidth="1"/>
    <col min="3835" max="3835" width="19.54296875" style="1" customWidth="1"/>
    <col min="3836" max="3836" width="17.1796875" style="1" bestFit="1" customWidth="1"/>
    <col min="3837" max="3837" width="24.81640625" style="1" customWidth="1"/>
    <col min="3838" max="3838" width="19.54296875" style="1" customWidth="1"/>
    <col min="3839" max="3839" width="19.26953125" style="1" bestFit="1" customWidth="1"/>
    <col min="3840" max="3840" width="24.81640625" style="1" customWidth="1"/>
    <col min="3841" max="3841" width="19.54296875" style="1" customWidth="1"/>
    <col min="3842" max="3842" width="15.54296875" style="1" customWidth="1"/>
    <col min="3843" max="3844" width="12.81640625" style="1" bestFit="1" customWidth="1"/>
    <col min="3845" max="4087" width="11.453125" style="1"/>
    <col min="4088" max="4088" width="3" style="1" customWidth="1"/>
    <col min="4089" max="4089" width="47" style="1" customWidth="1"/>
    <col min="4090" max="4090" width="24.81640625" style="1" customWidth="1"/>
    <col min="4091" max="4091" width="19.54296875" style="1" customWidth="1"/>
    <col min="4092" max="4092" width="17.1796875" style="1" bestFit="1" customWidth="1"/>
    <col min="4093" max="4093" width="24.81640625" style="1" customWidth="1"/>
    <col min="4094" max="4094" width="19.54296875" style="1" customWidth="1"/>
    <col min="4095" max="4095" width="19.26953125" style="1" bestFit="1" customWidth="1"/>
    <col min="4096" max="4096" width="24.81640625" style="1" customWidth="1"/>
    <col min="4097" max="4097" width="19.54296875" style="1" customWidth="1"/>
    <col min="4098" max="4098" width="15.54296875" style="1" customWidth="1"/>
    <col min="4099" max="4100" width="12.81640625" style="1" bestFit="1" customWidth="1"/>
    <col min="4101" max="4343" width="11.453125" style="1"/>
    <col min="4344" max="4344" width="3" style="1" customWidth="1"/>
    <col min="4345" max="4345" width="47" style="1" customWidth="1"/>
    <col min="4346" max="4346" width="24.81640625" style="1" customWidth="1"/>
    <col min="4347" max="4347" width="19.54296875" style="1" customWidth="1"/>
    <col min="4348" max="4348" width="17.1796875" style="1" bestFit="1" customWidth="1"/>
    <col min="4349" max="4349" width="24.81640625" style="1" customWidth="1"/>
    <col min="4350" max="4350" width="19.54296875" style="1" customWidth="1"/>
    <col min="4351" max="4351" width="19.26953125" style="1" bestFit="1" customWidth="1"/>
    <col min="4352" max="4352" width="24.81640625" style="1" customWidth="1"/>
    <col min="4353" max="4353" width="19.54296875" style="1" customWidth="1"/>
    <col min="4354" max="4354" width="15.54296875" style="1" customWidth="1"/>
    <col min="4355" max="4356" width="12.81640625" style="1" bestFit="1" customWidth="1"/>
    <col min="4357" max="4599" width="11.453125" style="1"/>
    <col min="4600" max="4600" width="3" style="1" customWidth="1"/>
    <col min="4601" max="4601" width="47" style="1" customWidth="1"/>
    <col min="4602" max="4602" width="24.81640625" style="1" customWidth="1"/>
    <col min="4603" max="4603" width="19.54296875" style="1" customWidth="1"/>
    <col min="4604" max="4604" width="17.1796875" style="1" bestFit="1" customWidth="1"/>
    <col min="4605" max="4605" width="24.81640625" style="1" customWidth="1"/>
    <col min="4606" max="4606" width="19.54296875" style="1" customWidth="1"/>
    <col min="4607" max="4607" width="19.26953125" style="1" bestFit="1" customWidth="1"/>
    <col min="4608" max="4608" width="24.81640625" style="1" customWidth="1"/>
    <col min="4609" max="4609" width="19.54296875" style="1" customWidth="1"/>
    <col min="4610" max="4610" width="15.54296875" style="1" customWidth="1"/>
    <col min="4611" max="4612" width="12.81640625" style="1" bestFit="1" customWidth="1"/>
    <col min="4613" max="4855" width="11.453125" style="1"/>
    <col min="4856" max="4856" width="3" style="1" customWidth="1"/>
    <col min="4857" max="4857" width="47" style="1" customWidth="1"/>
    <col min="4858" max="4858" width="24.81640625" style="1" customWidth="1"/>
    <col min="4859" max="4859" width="19.54296875" style="1" customWidth="1"/>
    <col min="4860" max="4860" width="17.1796875" style="1" bestFit="1" customWidth="1"/>
    <col min="4861" max="4861" width="24.81640625" style="1" customWidth="1"/>
    <col min="4862" max="4862" width="19.54296875" style="1" customWidth="1"/>
    <col min="4863" max="4863" width="19.26953125" style="1" bestFit="1" customWidth="1"/>
    <col min="4864" max="4864" width="24.81640625" style="1" customWidth="1"/>
    <col min="4865" max="4865" width="19.54296875" style="1" customWidth="1"/>
    <col min="4866" max="4866" width="15.54296875" style="1" customWidth="1"/>
    <col min="4867" max="4868" width="12.81640625" style="1" bestFit="1" customWidth="1"/>
    <col min="4869" max="5111" width="11.453125" style="1"/>
    <col min="5112" max="5112" width="3" style="1" customWidth="1"/>
    <col min="5113" max="5113" width="47" style="1" customWidth="1"/>
    <col min="5114" max="5114" width="24.81640625" style="1" customWidth="1"/>
    <col min="5115" max="5115" width="19.54296875" style="1" customWidth="1"/>
    <col min="5116" max="5116" width="17.1796875" style="1" bestFit="1" customWidth="1"/>
    <col min="5117" max="5117" width="24.81640625" style="1" customWidth="1"/>
    <col min="5118" max="5118" width="19.54296875" style="1" customWidth="1"/>
    <col min="5119" max="5119" width="19.26953125" style="1" bestFit="1" customWidth="1"/>
    <col min="5120" max="5120" width="24.81640625" style="1" customWidth="1"/>
    <col min="5121" max="5121" width="19.54296875" style="1" customWidth="1"/>
    <col min="5122" max="5122" width="15.54296875" style="1" customWidth="1"/>
    <col min="5123" max="5124" width="12.81640625" style="1" bestFit="1" customWidth="1"/>
    <col min="5125" max="5367" width="11.453125" style="1"/>
    <col min="5368" max="5368" width="3" style="1" customWidth="1"/>
    <col min="5369" max="5369" width="47" style="1" customWidth="1"/>
    <col min="5370" max="5370" width="24.81640625" style="1" customWidth="1"/>
    <col min="5371" max="5371" width="19.54296875" style="1" customWidth="1"/>
    <col min="5372" max="5372" width="17.1796875" style="1" bestFit="1" customWidth="1"/>
    <col min="5373" max="5373" width="24.81640625" style="1" customWidth="1"/>
    <col min="5374" max="5374" width="19.54296875" style="1" customWidth="1"/>
    <col min="5375" max="5375" width="19.26953125" style="1" bestFit="1" customWidth="1"/>
    <col min="5376" max="5376" width="24.81640625" style="1" customWidth="1"/>
    <col min="5377" max="5377" width="19.54296875" style="1" customWidth="1"/>
    <col min="5378" max="5378" width="15.54296875" style="1" customWidth="1"/>
    <col min="5379" max="5380" width="12.81640625" style="1" bestFit="1" customWidth="1"/>
    <col min="5381" max="5623" width="11.453125" style="1"/>
    <col min="5624" max="5624" width="3" style="1" customWidth="1"/>
    <col min="5625" max="5625" width="47" style="1" customWidth="1"/>
    <col min="5626" max="5626" width="24.81640625" style="1" customWidth="1"/>
    <col min="5627" max="5627" width="19.54296875" style="1" customWidth="1"/>
    <col min="5628" max="5628" width="17.1796875" style="1" bestFit="1" customWidth="1"/>
    <col min="5629" max="5629" width="24.81640625" style="1" customWidth="1"/>
    <col min="5630" max="5630" width="19.54296875" style="1" customWidth="1"/>
    <col min="5631" max="5631" width="19.26953125" style="1" bestFit="1" customWidth="1"/>
    <col min="5632" max="5632" width="24.81640625" style="1" customWidth="1"/>
    <col min="5633" max="5633" width="19.54296875" style="1" customWidth="1"/>
    <col min="5634" max="5634" width="15.54296875" style="1" customWidth="1"/>
    <col min="5635" max="5636" width="12.81640625" style="1" bestFit="1" customWidth="1"/>
    <col min="5637" max="5879" width="11.453125" style="1"/>
    <col min="5880" max="5880" width="3" style="1" customWidth="1"/>
    <col min="5881" max="5881" width="47" style="1" customWidth="1"/>
    <col min="5882" max="5882" width="24.81640625" style="1" customWidth="1"/>
    <col min="5883" max="5883" width="19.54296875" style="1" customWidth="1"/>
    <col min="5884" max="5884" width="17.1796875" style="1" bestFit="1" customWidth="1"/>
    <col min="5885" max="5885" width="24.81640625" style="1" customWidth="1"/>
    <col min="5886" max="5886" width="19.54296875" style="1" customWidth="1"/>
    <col min="5887" max="5887" width="19.26953125" style="1" bestFit="1" customWidth="1"/>
    <col min="5888" max="5888" width="24.81640625" style="1" customWidth="1"/>
    <col min="5889" max="5889" width="19.54296875" style="1" customWidth="1"/>
    <col min="5890" max="5890" width="15.54296875" style="1" customWidth="1"/>
    <col min="5891" max="5892" width="12.81640625" style="1" bestFit="1" customWidth="1"/>
    <col min="5893" max="6135" width="11.453125" style="1"/>
    <col min="6136" max="6136" width="3" style="1" customWidth="1"/>
    <col min="6137" max="6137" width="47" style="1" customWidth="1"/>
    <col min="6138" max="6138" width="24.81640625" style="1" customWidth="1"/>
    <col min="6139" max="6139" width="19.54296875" style="1" customWidth="1"/>
    <col min="6140" max="6140" width="17.1796875" style="1" bestFit="1" customWidth="1"/>
    <col min="6141" max="6141" width="24.81640625" style="1" customWidth="1"/>
    <col min="6142" max="6142" width="19.54296875" style="1" customWidth="1"/>
    <col min="6143" max="6143" width="19.26953125" style="1" bestFit="1" customWidth="1"/>
    <col min="6144" max="6144" width="24.81640625" style="1" customWidth="1"/>
    <col min="6145" max="6145" width="19.54296875" style="1" customWidth="1"/>
    <col min="6146" max="6146" width="15.54296875" style="1" customWidth="1"/>
    <col min="6147" max="6148" width="12.81640625" style="1" bestFit="1" customWidth="1"/>
    <col min="6149" max="6391" width="11.453125" style="1"/>
    <col min="6392" max="6392" width="3" style="1" customWidth="1"/>
    <col min="6393" max="6393" width="47" style="1" customWidth="1"/>
    <col min="6394" max="6394" width="24.81640625" style="1" customWidth="1"/>
    <col min="6395" max="6395" width="19.54296875" style="1" customWidth="1"/>
    <col min="6396" max="6396" width="17.1796875" style="1" bestFit="1" customWidth="1"/>
    <col min="6397" max="6397" width="24.81640625" style="1" customWidth="1"/>
    <col min="6398" max="6398" width="19.54296875" style="1" customWidth="1"/>
    <col min="6399" max="6399" width="19.26953125" style="1" bestFit="1" customWidth="1"/>
    <col min="6400" max="6400" width="24.81640625" style="1" customWidth="1"/>
    <col min="6401" max="6401" width="19.54296875" style="1" customWidth="1"/>
    <col min="6402" max="6402" width="15.54296875" style="1" customWidth="1"/>
    <col min="6403" max="6404" width="12.81640625" style="1" bestFit="1" customWidth="1"/>
    <col min="6405" max="6647" width="11.453125" style="1"/>
    <col min="6648" max="6648" width="3" style="1" customWidth="1"/>
    <col min="6649" max="6649" width="47" style="1" customWidth="1"/>
    <col min="6650" max="6650" width="24.81640625" style="1" customWidth="1"/>
    <col min="6651" max="6651" width="19.54296875" style="1" customWidth="1"/>
    <col min="6652" max="6652" width="17.1796875" style="1" bestFit="1" customWidth="1"/>
    <col min="6653" max="6653" width="24.81640625" style="1" customWidth="1"/>
    <col min="6654" max="6654" width="19.54296875" style="1" customWidth="1"/>
    <col min="6655" max="6655" width="19.26953125" style="1" bestFit="1" customWidth="1"/>
    <col min="6656" max="6656" width="24.81640625" style="1" customWidth="1"/>
    <col min="6657" max="6657" width="19.54296875" style="1" customWidth="1"/>
    <col min="6658" max="6658" width="15.54296875" style="1" customWidth="1"/>
    <col min="6659" max="6660" width="12.81640625" style="1" bestFit="1" customWidth="1"/>
    <col min="6661" max="6903" width="11.453125" style="1"/>
    <col min="6904" max="6904" width="3" style="1" customWidth="1"/>
    <col min="6905" max="6905" width="47" style="1" customWidth="1"/>
    <col min="6906" max="6906" width="24.81640625" style="1" customWidth="1"/>
    <col min="6907" max="6907" width="19.54296875" style="1" customWidth="1"/>
    <col min="6908" max="6908" width="17.1796875" style="1" bestFit="1" customWidth="1"/>
    <col min="6909" max="6909" width="24.81640625" style="1" customWidth="1"/>
    <col min="6910" max="6910" width="19.54296875" style="1" customWidth="1"/>
    <col min="6911" max="6911" width="19.26953125" style="1" bestFit="1" customWidth="1"/>
    <col min="6912" max="6912" width="24.81640625" style="1" customWidth="1"/>
    <col min="6913" max="6913" width="19.54296875" style="1" customWidth="1"/>
    <col min="6914" max="6914" width="15.54296875" style="1" customWidth="1"/>
    <col min="6915" max="6916" width="12.81640625" style="1" bestFit="1" customWidth="1"/>
    <col min="6917" max="7159" width="11.453125" style="1"/>
    <col min="7160" max="7160" width="3" style="1" customWidth="1"/>
    <col min="7161" max="7161" width="47" style="1" customWidth="1"/>
    <col min="7162" max="7162" width="24.81640625" style="1" customWidth="1"/>
    <col min="7163" max="7163" width="19.54296875" style="1" customWidth="1"/>
    <col min="7164" max="7164" width="17.1796875" style="1" bestFit="1" customWidth="1"/>
    <col min="7165" max="7165" width="24.81640625" style="1" customWidth="1"/>
    <col min="7166" max="7166" width="19.54296875" style="1" customWidth="1"/>
    <col min="7167" max="7167" width="19.26953125" style="1" bestFit="1" customWidth="1"/>
    <col min="7168" max="7168" width="24.81640625" style="1" customWidth="1"/>
    <col min="7169" max="7169" width="19.54296875" style="1" customWidth="1"/>
    <col min="7170" max="7170" width="15.54296875" style="1" customWidth="1"/>
    <col min="7171" max="7172" width="12.81640625" style="1" bestFit="1" customWidth="1"/>
    <col min="7173" max="7415" width="11.453125" style="1"/>
    <col min="7416" max="7416" width="3" style="1" customWidth="1"/>
    <col min="7417" max="7417" width="47" style="1" customWidth="1"/>
    <col min="7418" max="7418" width="24.81640625" style="1" customWidth="1"/>
    <col min="7419" max="7419" width="19.54296875" style="1" customWidth="1"/>
    <col min="7420" max="7420" width="17.1796875" style="1" bestFit="1" customWidth="1"/>
    <col min="7421" max="7421" width="24.81640625" style="1" customWidth="1"/>
    <col min="7422" max="7422" width="19.54296875" style="1" customWidth="1"/>
    <col min="7423" max="7423" width="19.26953125" style="1" bestFit="1" customWidth="1"/>
    <col min="7424" max="7424" width="24.81640625" style="1" customWidth="1"/>
    <col min="7425" max="7425" width="19.54296875" style="1" customWidth="1"/>
    <col min="7426" max="7426" width="15.54296875" style="1" customWidth="1"/>
    <col min="7427" max="7428" width="12.81640625" style="1" bestFit="1" customWidth="1"/>
    <col min="7429" max="7671" width="11.453125" style="1"/>
    <col min="7672" max="7672" width="3" style="1" customWidth="1"/>
    <col min="7673" max="7673" width="47" style="1" customWidth="1"/>
    <col min="7674" max="7674" width="24.81640625" style="1" customWidth="1"/>
    <col min="7675" max="7675" width="19.54296875" style="1" customWidth="1"/>
    <col min="7676" max="7676" width="17.1796875" style="1" bestFit="1" customWidth="1"/>
    <col min="7677" max="7677" width="24.81640625" style="1" customWidth="1"/>
    <col min="7678" max="7678" width="19.54296875" style="1" customWidth="1"/>
    <col min="7679" max="7679" width="19.26953125" style="1" bestFit="1" customWidth="1"/>
    <col min="7680" max="7680" width="24.81640625" style="1" customWidth="1"/>
    <col min="7681" max="7681" width="19.54296875" style="1" customWidth="1"/>
    <col min="7682" max="7682" width="15.54296875" style="1" customWidth="1"/>
    <col min="7683" max="7684" width="12.81640625" style="1" bestFit="1" customWidth="1"/>
    <col min="7685" max="7927" width="11.453125" style="1"/>
    <col min="7928" max="7928" width="3" style="1" customWidth="1"/>
    <col min="7929" max="7929" width="47" style="1" customWidth="1"/>
    <col min="7930" max="7930" width="24.81640625" style="1" customWidth="1"/>
    <col min="7931" max="7931" width="19.54296875" style="1" customWidth="1"/>
    <col min="7932" max="7932" width="17.1796875" style="1" bestFit="1" customWidth="1"/>
    <col min="7933" max="7933" width="24.81640625" style="1" customWidth="1"/>
    <col min="7934" max="7934" width="19.54296875" style="1" customWidth="1"/>
    <col min="7935" max="7935" width="19.26953125" style="1" bestFit="1" customWidth="1"/>
    <col min="7936" max="7936" width="24.81640625" style="1" customWidth="1"/>
    <col min="7937" max="7937" width="19.54296875" style="1" customWidth="1"/>
    <col min="7938" max="7938" width="15.54296875" style="1" customWidth="1"/>
    <col min="7939" max="7940" width="12.81640625" style="1" bestFit="1" customWidth="1"/>
    <col min="7941" max="8183" width="11.453125" style="1"/>
    <col min="8184" max="8184" width="3" style="1" customWidth="1"/>
    <col min="8185" max="8185" width="47" style="1" customWidth="1"/>
    <col min="8186" max="8186" width="24.81640625" style="1" customWidth="1"/>
    <col min="8187" max="8187" width="19.54296875" style="1" customWidth="1"/>
    <col min="8188" max="8188" width="17.1796875" style="1" bestFit="1" customWidth="1"/>
    <col min="8189" max="8189" width="24.81640625" style="1" customWidth="1"/>
    <col min="8190" max="8190" width="19.54296875" style="1" customWidth="1"/>
    <col min="8191" max="8191" width="19.26953125" style="1" bestFit="1" customWidth="1"/>
    <col min="8192" max="8192" width="24.81640625" style="1" customWidth="1"/>
    <col min="8193" max="8193" width="19.54296875" style="1" customWidth="1"/>
    <col min="8194" max="8194" width="15.54296875" style="1" customWidth="1"/>
    <col min="8195" max="8196" width="12.81640625" style="1" bestFit="1" customWidth="1"/>
    <col min="8197" max="8439" width="11.453125" style="1"/>
    <col min="8440" max="8440" width="3" style="1" customWidth="1"/>
    <col min="8441" max="8441" width="47" style="1" customWidth="1"/>
    <col min="8442" max="8442" width="24.81640625" style="1" customWidth="1"/>
    <col min="8443" max="8443" width="19.54296875" style="1" customWidth="1"/>
    <col min="8444" max="8444" width="17.1796875" style="1" bestFit="1" customWidth="1"/>
    <col min="8445" max="8445" width="24.81640625" style="1" customWidth="1"/>
    <col min="8446" max="8446" width="19.54296875" style="1" customWidth="1"/>
    <col min="8447" max="8447" width="19.26953125" style="1" bestFit="1" customWidth="1"/>
    <col min="8448" max="8448" width="24.81640625" style="1" customWidth="1"/>
    <col min="8449" max="8449" width="19.54296875" style="1" customWidth="1"/>
    <col min="8450" max="8450" width="15.54296875" style="1" customWidth="1"/>
    <col min="8451" max="8452" width="12.81640625" style="1" bestFit="1" customWidth="1"/>
    <col min="8453" max="8695" width="11.453125" style="1"/>
    <col min="8696" max="8696" width="3" style="1" customWidth="1"/>
    <col min="8697" max="8697" width="47" style="1" customWidth="1"/>
    <col min="8698" max="8698" width="24.81640625" style="1" customWidth="1"/>
    <col min="8699" max="8699" width="19.54296875" style="1" customWidth="1"/>
    <col min="8700" max="8700" width="17.1796875" style="1" bestFit="1" customWidth="1"/>
    <col min="8701" max="8701" width="24.81640625" style="1" customWidth="1"/>
    <col min="8702" max="8702" width="19.54296875" style="1" customWidth="1"/>
    <col min="8703" max="8703" width="19.26953125" style="1" bestFit="1" customWidth="1"/>
    <col min="8704" max="8704" width="24.81640625" style="1" customWidth="1"/>
    <col min="8705" max="8705" width="19.54296875" style="1" customWidth="1"/>
    <col min="8706" max="8706" width="15.54296875" style="1" customWidth="1"/>
    <col min="8707" max="8708" width="12.81640625" style="1" bestFit="1" customWidth="1"/>
    <col min="8709" max="8951" width="11.453125" style="1"/>
    <col min="8952" max="8952" width="3" style="1" customWidth="1"/>
    <col min="8953" max="8953" width="47" style="1" customWidth="1"/>
    <col min="8954" max="8954" width="24.81640625" style="1" customWidth="1"/>
    <col min="8955" max="8955" width="19.54296875" style="1" customWidth="1"/>
    <col min="8956" max="8956" width="17.1796875" style="1" bestFit="1" customWidth="1"/>
    <col min="8957" max="8957" width="24.81640625" style="1" customWidth="1"/>
    <col min="8958" max="8958" width="19.54296875" style="1" customWidth="1"/>
    <col min="8959" max="8959" width="19.26953125" style="1" bestFit="1" customWidth="1"/>
    <col min="8960" max="8960" width="24.81640625" style="1" customWidth="1"/>
    <col min="8961" max="8961" width="19.54296875" style="1" customWidth="1"/>
    <col min="8962" max="8962" width="15.54296875" style="1" customWidth="1"/>
    <col min="8963" max="8964" width="12.81640625" style="1" bestFit="1" customWidth="1"/>
    <col min="8965" max="9207" width="11.453125" style="1"/>
    <col min="9208" max="9208" width="3" style="1" customWidth="1"/>
    <col min="9209" max="9209" width="47" style="1" customWidth="1"/>
    <col min="9210" max="9210" width="24.81640625" style="1" customWidth="1"/>
    <col min="9211" max="9211" width="19.54296875" style="1" customWidth="1"/>
    <col min="9212" max="9212" width="17.1796875" style="1" bestFit="1" customWidth="1"/>
    <col min="9213" max="9213" width="24.81640625" style="1" customWidth="1"/>
    <col min="9214" max="9214" width="19.54296875" style="1" customWidth="1"/>
    <col min="9215" max="9215" width="19.26953125" style="1" bestFit="1" customWidth="1"/>
    <col min="9216" max="9216" width="24.81640625" style="1" customWidth="1"/>
    <col min="9217" max="9217" width="19.54296875" style="1" customWidth="1"/>
    <col min="9218" max="9218" width="15.54296875" style="1" customWidth="1"/>
    <col min="9219" max="9220" width="12.81640625" style="1" bestFit="1" customWidth="1"/>
    <col min="9221" max="9463" width="11.453125" style="1"/>
    <col min="9464" max="9464" width="3" style="1" customWidth="1"/>
    <col min="9465" max="9465" width="47" style="1" customWidth="1"/>
    <col min="9466" max="9466" width="24.81640625" style="1" customWidth="1"/>
    <col min="9467" max="9467" width="19.54296875" style="1" customWidth="1"/>
    <col min="9468" max="9468" width="17.1796875" style="1" bestFit="1" customWidth="1"/>
    <col min="9469" max="9469" width="24.81640625" style="1" customWidth="1"/>
    <col min="9470" max="9470" width="19.54296875" style="1" customWidth="1"/>
    <col min="9471" max="9471" width="19.26953125" style="1" bestFit="1" customWidth="1"/>
    <col min="9472" max="9472" width="24.81640625" style="1" customWidth="1"/>
    <col min="9473" max="9473" width="19.54296875" style="1" customWidth="1"/>
    <col min="9474" max="9474" width="15.54296875" style="1" customWidth="1"/>
    <col min="9475" max="9476" width="12.81640625" style="1" bestFit="1" customWidth="1"/>
    <col min="9477" max="9719" width="11.453125" style="1"/>
    <col min="9720" max="9720" width="3" style="1" customWidth="1"/>
    <col min="9721" max="9721" width="47" style="1" customWidth="1"/>
    <col min="9722" max="9722" width="24.81640625" style="1" customWidth="1"/>
    <col min="9723" max="9723" width="19.54296875" style="1" customWidth="1"/>
    <col min="9724" max="9724" width="17.1796875" style="1" bestFit="1" customWidth="1"/>
    <col min="9725" max="9725" width="24.81640625" style="1" customWidth="1"/>
    <col min="9726" max="9726" width="19.54296875" style="1" customWidth="1"/>
    <col min="9727" max="9727" width="19.26953125" style="1" bestFit="1" customWidth="1"/>
    <col min="9728" max="9728" width="24.81640625" style="1" customWidth="1"/>
    <col min="9729" max="9729" width="19.54296875" style="1" customWidth="1"/>
    <col min="9730" max="9730" width="15.54296875" style="1" customWidth="1"/>
    <col min="9731" max="9732" width="12.81640625" style="1" bestFit="1" customWidth="1"/>
    <col min="9733" max="9975" width="11.453125" style="1"/>
    <col min="9976" max="9976" width="3" style="1" customWidth="1"/>
    <col min="9977" max="9977" width="47" style="1" customWidth="1"/>
    <col min="9978" max="9978" width="24.81640625" style="1" customWidth="1"/>
    <col min="9979" max="9979" width="19.54296875" style="1" customWidth="1"/>
    <col min="9980" max="9980" width="17.1796875" style="1" bestFit="1" customWidth="1"/>
    <col min="9981" max="9981" width="24.81640625" style="1" customWidth="1"/>
    <col min="9982" max="9982" width="19.54296875" style="1" customWidth="1"/>
    <col min="9983" max="9983" width="19.26953125" style="1" bestFit="1" customWidth="1"/>
    <col min="9984" max="9984" width="24.81640625" style="1" customWidth="1"/>
    <col min="9985" max="9985" width="19.54296875" style="1" customWidth="1"/>
    <col min="9986" max="9986" width="15.54296875" style="1" customWidth="1"/>
    <col min="9987" max="9988" width="12.81640625" style="1" bestFit="1" customWidth="1"/>
    <col min="9989" max="10231" width="11.453125" style="1"/>
    <col min="10232" max="10232" width="3" style="1" customWidth="1"/>
    <col min="10233" max="10233" width="47" style="1" customWidth="1"/>
    <col min="10234" max="10234" width="24.81640625" style="1" customWidth="1"/>
    <col min="10235" max="10235" width="19.54296875" style="1" customWidth="1"/>
    <col min="10236" max="10236" width="17.1796875" style="1" bestFit="1" customWidth="1"/>
    <col min="10237" max="10237" width="24.81640625" style="1" customWidth="1"/>
    <col min="10238" max="10238" width="19.54296875" style="1" customWidth="1"/>
    <col min="10239" max="10239" width="19.26953125" style="1" bestFit="1" customWidth="1"/>
    <col min="10240" max="10240" width="24.81640625" style="1" customWidth="1"/>
    <col min="10241" max="10241" width="19.54296875" style="1" customWidth="1"/>
    <col min="10242" max="10242" width="15.54296875" style="1" customWidth="1"/>
    <col min="10243" max="10244" width="12.81640625" style="1" bestFit="1" customWidth="1"/>
    <col min="10245" max="10487" width="11.453125" style="1"/>
    <col min="10488" max="10488" width="3" style="1" customWidth="1"/>
    <col min="10489" max="10489" width="47" style="1" customWidth="1"/>
    <col min="10490" max="10490" width="24.81640625" style="1" customWidth="1"/>
    <col min="10491" max="10491" width="19.54296875" style="1" customWidth="1"/>
    <col min="10492" max="10492" width="17.1796875" style="1" bestFit="1" customWidth="1"/>
    <col min="10493" max="10493" width="24.81640625" style="1" customWidth="1"/>
    <col min="10494" max="10494" width="19.54296875" style="1" customWidth="1"/>
    <col min="10495" max="10495" width="19.26953125" style="1" bestFit="1" customWidth="1"/>
    <col min="10496" max="10496" width="24.81640625" style="1" customWidth="1"/>
    <col min="10497" max="10497" width="19.54296875" style="1" customWidth="1"/>
    <col min="10498" max="10498" width="15.54296875" style="1" customWidth="1"/>
    <col min="10499" max="10500" width="12.81640625" style="1" bestFit="1" customWidth="1"/>
    <col min="10501" max="10743" width="11.453125" style="1"/>
    <col min="10744" max="10744" width="3" style="1" customWidth="1"/>
    <col min="10745" max="10745" width="47" style="1" customWidth="1"/>
    <col min="10746" max="10746" width="24.81640625" style="1" customWidth="1"/>
    <col min="10747" max="10747" width="19.54296875" style="1" customWidth="1"/>
    <col min="10748" max="10748" width="17.1796875" style="1" bestFit="1" customWidth="1"/>
    <col min="10749" max="10749" width="24.81640625" style="1" customWidth="1"/>
    <col min="10750" max="10750" width="19.54296875" style="1" customWidth="1"/>
    <col min="10751" max="10751" width="19.26953125" style="1" bestFit="1" customWidth="1"/>
    <col min="10752" max="10752" width="24.81640625" style="1" customWidth="1"/>
    <col min="10753" max="10753" width="19.54296875" style="1" customWidth="1"/>
    <col min="10754" max="10754" width="15.54296875" style="1" customWidth="1"/>
    <col min="10755" max="10756" width="12.81640625" style="1" bestFit="1" customWidth="1"/>
    <col min="10757" max="10999" width="11.453125" style="1"/>
    <col min="11000" max="11000" width="3" style="1" customWidth="1"/>
    <col min="11001" max="11001" width="47" style="1" customWidth="1"/>
    <col min="11002" max="11002" width="24.81640625" style="1" customWidth="1"/>
    <col min="11003" max="11003" width="19.54296875" style="1" customWidth="1"/>
    <col min="11004" max="11004" width="17.1796875" style="1" bestFit="1" customWidth="1"/>
    <col min="11005" max="11005" width="24.81640625" style="1" customWidth="1"/>
    <col min="11006" max="11006" width="19.54296875" style="1" customWidth="1"/>
    <col min="11007" max="11007" width="19.26953125" style="1" bestFit="1" customWidth="1"/>
    <col min="11008" max="11008" width="24.81640625" style="1" customWidth="1"/>
    <col min="11009" max="11009" width="19.54296875" style="1" customWidth="1"/>
    <col min="11010" max="11010" width="15.54296875" style="1" customWidth="1"/>
    <col min="11011" max="11012" width="12.81640625" style="1" bestFit="1" customWidth="1"/>
    <col min="11013" max="11255" width="11.453125" style="1"/>
    <col min="11256" max="11256" width="3" style="1" customWidth="1"/>
    <col min="11257" max="11257" width="47" style="1" customWidth="1"/>
    <col min="11258" max="11258" width="24.81640625" style="1" customWidth="1"/>
    <col min="11259" max="11259" width="19.54296875" style="1" customWidth="1"/>
    <col min="11260" max="11260" width="17.1796875" style="1" bestFit="1" customWidth="1"/>
    <col min="11261" max="11261" width="24.81640625" style="1" customWidth="1"/>
    <col min="11262" max="11262" width="19.54296875" style="1" customWidth="1"/>
    <col min="11263" max="11263" width="19.26953125" style="1" bestFit="1" customWidth="1"/>
    <col min="11264" max="11264" width="24.81640625" style="1" customWidth="1"/>
    <col min="11265" max="11265" width="19.54296875" style="1" customWidth="1"/>
    <col min="11266" max="11266" width="15.54296875" style="1" customWidth="1"/>
    <col min="11267" max="11268" width="12.81640625" style="1" bestFit="1" customWidth="1"/>
    <col min="11269" max="11511" width="11.453125" style="1"/>
    <col min="11512" max="11512" width="3" style="1" customWidth="1"/>
    <col min="11513" max="11513" width="47" style="1" customWidth="1"/>
    <col min="11514" max="11514" width="24.81640625" style="1" customWidth="1"/>
    <col min="11515" max="11515" width="19.54296875" style="1" customWidth="1"/>
    <col min="11516" max="11516" width="17.1796875" style="1" bestFit="1" customWidth="1"/>
    <col min="11517" max="11517" width="24.81640625" style="1" customWidth="1"/>
    <col min="11518" max="11518" width="19.54296875" style="1" customWidth="1"/>
    <col min="11519" max="11519" width="19.26953125" style="1" bestFit="1" customWidth="1"/>
    <col min="11520" max="11520" width="24.81640625" style="1" customWidth="1"/>
    <col min="11521" max="11521" width="19.54296875" style="1" customWidth="1"/>
    <col min="11522" max="11522" width="15.54296875" style="1" customWidth="1"/>
    <col min="11523" max="11524" width="12.81640625" style="1" bestFit="1" customWidth="1"/>
    <col min="11525" max="11767" width="11.453125" style="1"/>
    <col min="11768" max="11768" width="3" style="1" customWidth="1"/>
    <col min="11769" max="11769" width="47" style="1" customWidth="1"/>
    <col min="11770" max="11770" width="24.81640625" style="1" customWidth="1"/>
    <col min="11771" max="11771" width="19.54296875" style="1" customWidth="1"/>
    <col min="11772" max="11772" width="17.1796875" style="1" bestFit="1" customWidth="1"/>
    <col min="11773" max="11773" width="24.81640625" style="1" customWidth="1"/>
    <col min="11774" max="11774" width="19.54296875" style="1" customWidth="1"/>
    <col min="11775" max="11775" width="19.26953125" style="1" bestFit="1" customWidth="1"/>
    <col min="11776" max="11776" width="24.81640625" style="1" customWidth="1"/>
    <col min="11777" max="11777" width="19.54296875" style="1" customWidth="1"/>
    <col min="11778" max="11778" width="15.54296875" style="1" customWidth="1"/>
    <col min="11779" max="11780" width="12.81640625" style="1" bestFit="1" customWidth="1"/>
    <col min="11781" max="12023" width="11.453125" style="1"/>
    <col min="12024" max="12024" width="3" style="1" customWidth="1"/>
    <col min="12025" max="12025" width="47" style="1" customWidth="1"/>
    <col min="12026" max="12026" width="24.81640625" style="1" customWidth="1"/>
    <col min="12027" max="12027" width="19.54296875" style="1" customWidth="1"/>
    <col min="12028" max="12028" width="17.1796875" style="1" bestFit="1" customWidth="1"/>
    <col min="12029" max="12029" width="24.81640625" style="1" customWidth="1"/>
    <col min="12030" max="12030" width="19.54296875" style="1" customWidth="1"/>
    <col min="12031" max="12031" width="19.26953125" style="1" bestFit="1" customWidth="1"/>
    <col min="12032" max="12032" width="24.81640625" style="1" customWidth="1"/>
    <col min="12033" max="12033" width="19.54296875" style="1" customWidth="1"/>
    <col min="12034" max="12034" width="15.54296875" style="1" customWidth="1"/>
    <col min="12035" max="12036" width="12.81640625" style="1" bestFit="1" customWidth="1"/>
    <col min="12037" max="12279" width="11.453125" style="1"/>
    <col min="12280" max="12280" width="3" style="1" customWidth="1"/>
    <col min="12281" max="12281" width="47" style="1" customWidth="1"/>
    <col min="12282" max="12282" width="24.81640625" style="1" customWidth="1"/>
    <col min="12283" max="12283" width="19.54296875" style="1" customWidth="1"/>
    <col min="12284" max="12284" width="17.1796875" style="1" bestFit="1" customWidth="1"/>
    <col min="12285" max="12285" width="24.81640625" style="1" customWidth="1"/>
    <col min="12286" max="12286" width="19.54296875" style="1" customWidth="1"/>
    <col min="12287" max="12287" width="19.26953125" style="1" bestFit="1" customWidth="1"/>
    <col min="12288" max="12288" width="24.81640625" style="1" customWidth="1"/>
    <col min="12289" max="12289" width="19.54296875" style="1" customWidth="1"/>
    <col min="12290" max="12290" width="15.54296875" style="1" customWidth="1"/>
    <col min="12291" max="12292" width="12.81640625" style="1" bestFit="1" customWidth="1"/>
    <col min="12293" max="12535" width="11.453125" style="1"/>
    <col min="12536" max="12536" width="3" style="1" customWidth="1"/>
    <col min="12537" max="12537" width="47" style="1" customWidth="1"/>
    <col min="12538" max="12538" width="24.81640625" style="1" customWidth="1"/>
    <col min="12539" max="12539" width="19.54296875" style="1" customWidth="1"/>
    <col min="12540" max="12540" width="17.1796875" style="1" bestFit="1" customWidth="1"/>
    <col min="12541" max="12541" width="24.81640625" style="1" customWidth="1"/>
    <col min="12542" max="12542" width="19.54296875" style="1" customWidth="1"/>
    <col min="12543" max="12543" width="19.26953125" style="1" bestFit="1" customWidth="1"/>
    <col min="12544" max="12544" width="24.81640625" style="1" customWidth="1"/>
    <col min="12545" max="12545" width="19.54296875" style="1" customWidth="1"/>
    <col min="12546" max="12546" width="15.54296875" style="1" customWidth="1"/>
    <col min="12547" max="12548" width="12.81640625" style="1" bestFit="1" customWidth="1"/>
    <col min="12549" max="12791" width="11.453125" style="1"/>
    <col min="12792" max="12792" width="3" style="1" customWidth="1"/>
    <col min="12793" max="12793" width="47" style="1" customWidth="1"/>
    <col min="12794" max="12794" width="24.81640625" style="1" customWidth="1"/>
    <col min="12795" max="12795" width="19.54296875" style="1" customWidth="1"/>
    <col min="12796" max="12796" width="17.1796875" style="1" bestFit="1" customWidth="1"/>
    <col min="12797" max="12797" width="24.81640625" style="1" customWidth="1"/>
    <col min="12798" max="12798" width="19.54296875" style="1" customWidth="1"/>
    <col min="12799" max="12799" width="19.26953125" style="1" bestFit="1" customWidth="1"/>
    <col min="12800" max="12800" width="24.81640625" style="1" customWidth="1"/>
    <col min="12801" max="12801" width="19.54296875" style="1" customWidth="1"/>
    <col min="12802" max="12802" width="15.54296875" style="1" customWidth="1"/>
    <col min="12803" max="12804" width="12.81640625" style="1" bestFit="1" customWidth="1"/>
    <col min="12805" max="13047" width="11.453125" style="1"/>
    <col min="13048" max="13048" width="3" style="1" customWidth="1"/>
    <col min="13049" max="13049" width="47" style="1" customWidth="1"/>
    <col min="13050" max="13050" width="24.81640625" style="1" customWidth="1"/>
    <col min="13051" max="13051" width="19.54296875" style="1" customWidth="1"/>
    <col min="13052" max="13052" width="17.1796875" style="1" bestFit="1" customWidth="1"/>
    <col min="13053" max="13053" width="24.81640625" style="1" customWidth="1"/>
    <col min="13054" max="13054" width="19.54296875" style="1" customWidth="1"/>
    <col min="13055" max="13055" width="19.26953125" style="1" bestFit="1" customWidth="1"/>
    <col min="13056" max="13056" width="24.81640625" style="1" customWidth="1"/>
    <col min="13057" max="13057" width="19.54296875" style="1" customWidth="1"/>
    <col min="13058" max="13058" width="15.54296875" style="1" customWidth="1"/>
    <col min="13059" max="13060" width="12.81640625" style="1" bestFit="1" customWidth="1"/>
    <col min="13061" max="13303" width="11.453125" style="1"/>
    <col min="13304" max="13304" width="3" style="1" customWidth="1"/>
    <col min="13305" max="13305" width="47" style="1" customWidth="1"/>
    <col min="13306" max="13306" width="24.81640625" style="1" customWidth="1"/>
    <col min="13307" max="13307" width="19.54296875" style="1" customWidth="1"/>
    <col min="13308" max="13308" width="17.1796875" style="1" bestFit="1" customWidth="1"/>
    <col min="13309" max="13309" width="24.81640625" style="1" customWidth="1"/>
    <col min="13310" max="13310" width="19.54296875" style="1" customWidth="1"/>
    <col min="13311" max="13311" width="19.26953125" style="1" bestFit="1" customWidth="1"/>
    <col min="13312" max="13312" width="24.81640625" style="1" customWidth="1"/>
    <col min="13313" max="13313" width="19.54296875" style="1" customWidth="1"/>
    <col min="13314" max="13314" width="15.54296875" style="1" customWidth="1"/>
    <col min="13315" max="13316" width="12.81640625" style="1" bestFit="1" customWidth="1"/>
    <col min="13317" max="13559" width="11.453125" style="1"/>
    <col min="13560" max="13560" width="3" style="1" customWidth="1"/>
    <col min="13561" max="13561" width="47" style="1" customWidth="1"/>
    <col min="13562" max="13562" width="24.81640625" style="1" customWidth="1"/>
    <col min="13563" max="13563" width="19.54296875" style="1" customWidth="1"/>
    <col min="13564" max="13564" width="17.1796875" style="1" bestFit="1" customWidth="1"/>
    <col min="13565" max="13565" width="24.81640625" style="1" customWidth="1"/>
    <col min="13566" max="13566" width="19.54296875" style="1" customWidth="1"/>
    <col min="13567" max="13567" width="19.26953125" style="1" bestFit="1" customWidth="1"/>
    <col min="13568" max="13568" width="24.81640625" style="1" customWidth="1"/>
    <col min="13569" max="13569" width="19.54296875" style="1" customWidth="1"/>
    <col min="13570" max="13570" width="15.54296875" style="1" customWidth="1"/>
    <col min="13571" max="13572" width="12.81640625" style="1" bestFit="1" customWidth="1"/>
    <col min="13573" max="13815" width="11.453125" style="1"/>
    <col min="13816" max="13816" width="3" style="1" customWidth="1"/>
    <col min="13817" max="13817" width="47" style="1" customWidth="1"/>
    <col min="13818" max="13818" width="24.81640625" style="1" customWidth="1"/>
    <col min="13819" max="13819" width="19.54296875" style="1" customWidth="1"/>
    <col min="13820" max="13820" width="17.1796875" style="1" bestFit="1" customWidth="1"/>
    <col min="13821" max="13821" width="24.81640625" style="1" customWidth="1"/>
    <col min="13822" max="13822" width="19.54296875" style="1" customWidth="1"/>
    <col min="13823" max="13823" width="19.26953125" style="1" bestFit="1" customWidth="1"/>
    <col min="13824" max="13824" width="24.81640625" style="1" customWidth="1"/>
    <col min="13825" max="13825" width="19.54296875" style="1" customWidth="1"/>
    <col min="13826" max="13826" width="15.54296875" style="1" customWidth="1"/>
    <col min="13827" max="13828" width="12.81640625" style="1" bestFit="1" customWidth="1"/>
    <col min="13829" max="14071" width="11.453125" style="1"/>
    <col min="14072" max="14072" width="3" style="1" customWidth="1"/>
    <col min="14073" max="14073" width="47" style="1" customWidth="1"/>
    <col min="14074" max="14074" width="24.81640625" style="1" customWidth="1"/>
    <col min="14075" max="14075" width="19.54296875" style="1" customWidth="1"/>
    <col min="14076" max="14076" width="17.1796875" style="1" bestFit="1" customWidth="1"/>
    <col min="14077" max="14077" width="24.81640625" style="1" customWidth="1"/>
    <col min="14078" max="14078" width="19.54296875" style="1" customWidth="1"/>
    <col min="14079" max="14079" width="19.26953125" style="1" bestFit="1" customWidth="1"/>
    <col min="14080" max="14080" width="24.81640625" style="1" customWidth="1"/>
    <col min="14081" max="14081" width="19.54296875" style="1" customWidth="1"/>
    <col min="14082" max="14082" width="15.54296875" style="1" customWidth="1"/>
    <col min="14083" max="14084" width="12.81640625" style="1" bestFit="1" customWidth="1"/>
    <col min="14085" max="14327" width="11.453125" style="1"/>
    <col min="14328" max="14328" width="3" style="1" customWidth="1"/>
    <col min="14329" max="14329" width="47" style="1" customWidth="1"/>
    <col min="14330" max="14330" width="24.81640625" style="1" customWidth="1"/>
    <col min="14331" max="14331" width="19.54296875" style="1" customWidth="1"/>
    <col min="14332" max="14332" width="17.1796875" style="1" bestFit="1" customWidth="1"/>
    <col min="14333" max="14333" width="24.81640625" style="1" customWidth="1"/>
    <col min="14334" max="14334" width="19.54296875" style="1" customWidth="1"/>
    <col min="14335" max="14335" width="19.26953125" style="1" bestFit="1" customWidth="1"/>
    <col min="14336" max="14336" width="24.81640625" style="1" customWidth="1"/>
    <col min="14337" max="14337" width="19.54296875" style="1" customWidth="1"/>
    <col min="14338" max="14338" width="15.54296875" style="1" customWidth="1"/>
    <col min="14339" max="14340" width="12.81640625" style="1" bestFit="1" customWidth="1"/>
    <col min="14341" max="14583" width="11.453125" style="1"/>
    <col min="14584" max="14584" width="3" style="1" customWidth="1"/>
    <col min="14585" max="14585" width="47" style="1" customWidth="1"/>
    <col min="14586" max="14586" width="24.81640625" style="1" customWidth="1"/>
    <col min="14587" max="14587" width="19.54296875" style="1" customWidth="1"/>
    <col min="14588" max="14588" width="17.1796875" style="1" bestFit="1" customWidth="1"/>
    <col min="14589" max="14589" width="24.81640625" style="1" customWidth="1"/>
    <col min="14590" max="14590" width="19.54296875" style="1" customWidth="1"/>
    <col min="14591" max="14591" width="19.26953125" style="1" bestFit="1" customWidth="1"/>
    <col min="14592" max="14592" width="24.81640625" style="1" customWidth="1"/>
    <col min="14593" max="14593" width="19.54296875" style="1" customWidth="1"/>
    <col min="14594" max="14594" width="15.54296875" style="1" customWidth="1"/>
    <col min="14595" max="14596" width="12.81640625" style="1" bestFit="1" customWidth="1"/>
    <col min="14597" max="14839" width="11.453125" style="1"/>
    <col min="14840" max="14840" width="3" style="1" customWidth="1"/>
    <col min="14841" max="14841" width="47" style="1" customWidth="1"/>
    <col min="14842" max="14842" width="24.81640625" style="1" customWidth="1"/>
    <col min="14843" max="14843" width="19.54296875" style="1" customWidth="1"/>
    <col min="14844" max="14844" width="17.1796875" style="1" bestFit="1" customWidth="1"/>
    <col min="14845" max="14845" width="24.81640625" style="1" customWidth="1"/>
    <col min="14846" max="14846" width="19.54296875" style="1" customWidth="1"/>
    <col min="14847" max="14847" width="19.26953125" style="1" bestFit="1" customWidth="1"/>
    <col min="14848" max="14848" width="24.81640625" style="1" customWidth="1"/>
    <col min="14849" max="14849" width="19.54296875" style="1" customWidth="1"/>
    <col min="14850" max="14850" width="15.54296875" style="1" customWidth="1"/>
    <col min="14851" max="14852" width="12.81640625" style="1" bestFit="1" customWidth="1"/>
    <col min="14853" max="15095" width="11.453125" style="1"/>
    <col min="15096" max="15096" width="3" style="1" customWidth="1"/>
    <col min="15097" max="15097" width="47" style="1" customWidth="1"/>
    <col min="15098" max="15098" width="24.81640625" style="1" customWidth="1"/>
    <col min="15099" max="15099" width="19.54296875" style="1" customWidth="1"/>
    <col min="15100" max="15100" width="17.1796875" style="1" bestFit="1" customWidth="1"/>
    <col min="15101" max="15101" width="24.81640625" style="1" customWidth="1"/>
    <col min="15102" max="15102" width="19.54296875" style="1" customWidth="1"/>
    <col min="15103" max="15103" width="19.26953125" style="1" bestFit="1" customWidth="1"/>
    <col min="15104" max="15104" width="24.81640625" style="1" customWidth="1"/>
    <col min="15105" max="15105" width="19.54296875" style="1" customWidth="1"/>
    <col min="15106" max="15106" width="15.54296875" style="1" customWidth="1"/>
    <col min="15107" max="15108" width="12.81640625" style="1" bestFit="1" customWidth="1"/>
    <col min="15109" max="15351" width="11.453125" style="1"/>
    <col min="15352" max="15352" width="3" style="1" customWidth="1"/>
    <col min="15353" max="15353" width="47" style="1" customWidth="1"/>
    <col min="15354" max="15354" width="24.81640625" style="1" customWidth="1"/>
    <col min="15355" max="15355" width="19.54296875" style="1" customWidth="1"/>
    <col min="15356" max="15356" width="17.1796875" style="1" bestFit="1" customWidth="1"/>
    <col min="15357" max="15357" width="24.81640625" style="1" customWidth="1"/>
    <col min="15358" max="15358" width="19.54296875" style="1" customWidth="1"/>
    <col min="15359" max="15359" width="19.26953125" style="1" bestFit="1" customWidth="1"/>
    <col min="15360" max="15360" width="24.81640625" style="1" customWidth="1"/>
    <col min="15361" max="15361" width="19.54296875" style="1" customWidth="1"/>
    <col min="15362" max="15362" width="15.54296875" style="1" customWidth="1"/>
    <col min="15363" max="15364" width="12.81640625" style="1" bestFit="1" customWidth="1"/>
    <col min="15365" max="15607" width="11.453125" style="1"/>
    <col min="15608" max="15608" width="3" style="1" customWidth="1"/>
    <col min="15609" max="15609" width="47" style="1" customWidth="1"/>
    <col min="15610" max="15610" width="24.81640625" style="1" customWidth="1"/>
    <col min="15611" max="15611" width="19.54296875" style="1" customWidth="1"/>
    <col min="15612" max="15612" width="17.1796875" style="1" bestFit="1" customWidth="1"/>
    <col min="15613" max="15613" width="24.81640625" style="1" customWidth="1"/>
    <col min="15614" max="15614" width="19.54296875" style="1" customWidth="1"/>
    <col min="15615" max="15615" width="19.26953125" style="1" bestFit="1" customWidth="1"/>
    <col min="15616" max="15616" width="24.81640625" style="1" customWidth="1"/>
    <col min="15617" max="15617" width="19.54296875" style="1" customWidth="1"/>
    <col min="15618" max="15618" width="15.54296875" style="1" customWidth="1"/>
    <col min="15619" max="15620" width="12.81640625" style="1" bestFit="1" customWidth="1"/>
    <col min="15621" max="15863" width="11.453125" style="1"/>
    <col min="15864" max="15864" width="3" style="1" customWidth="1"/>
    <col min="15865" max="15865" width="47" style="1" customWidth="1"/>
    <col min="15866" max="15866" width="24.81640625" style="1" customWidth="1"/>
    <col min="15867" max="15867" width="19.54296875" style="1" customWidth="1"/>
    <col min="15868" max="15868" width="17.1796875" style="1" bestFit="1" customWidth="1"/>
    <col min="15869" max="15869" width="24.81640625" style="1" customWidth="1"/>
    <col min="15870" max="15870" width="19.54296875" style="1" customWidth="1"/>
    <col min="15871" max="15871" width="19.26953125" style="1" bestFit="1" customWidth="1"/>
    <col min="15872" max="15872" width="24.81640625" style="1" customWidth="1"/>
    <col min="15873" max="15873" width="19.54296875" style="1" customWidth="1"/>
    <col min="15874" max="15874" width="15.54296875" style="1" customWidth="1"/>
    <col min="15875" max="15876" width="12.81640625" style="1" bestFit="1" customWidth="1"/>
    <col min="15877" max="16119" width="11.453125" style="1"/>
    <col min="16120" max="16120" width="3" style="1" customWidth="1"/>
    <col min="16121" max="16121" width="47" style="1" customWidth="1"/>
    <col min="16122" max="16122" width="24.81640625" style="1" customWidth="1"/>
    <col min="16123" max="16123" width="19.54296875" style="1" customWidth="1"/>
    <col min="16124" max="16124" width="17.1796875" style="1" bestFit="1" customWidth="1"/>
    <col min="16125" max="16125" width="24.81640625" style="1" customWidth="1"/>
    <col min="16126" max="16126" width="19.54296875" style="1" customWidth="1"/>
    <col min="16127" max="16127" width="19.26953125" style="1" bestFit="1" customWidth="1"/>
    <col min="16128" max="16128" width="24.81640625" style="1" customWidth="1"/>
    <col min="16129" max="16129" width="19.54296875" style="1" customWidth="1"/>
    <col min="16130" max="16130" width="15.54296875" style="1" customWidth="1"/>
    <col min="16131" max="16132" width="12.81640625" style="1" bestFit="1" customWidth="1"/>
    <col min="16133" max="16384" width="11.453125" style="1"/>
  </cols>
  <sheetData>
    <row r="1" spans="1:14" x14ac:dyDescent="0.4">
      <c r="N1" s="159"/>
    </row>
    <row r="2" spans="1:14" x14ac:dyDescent="0.4">
      <c r="N2" s="159"/>
    </row>
    <row r="3" spans="1:14" x14ac:dyDescent="0.4">
      <c r="N3" s="159"/>
    </row>
    <row r="4" spans="1:14" ht="19" customHeight="1" x14ac:dyDescent="0.4"/>
    <row r="5" spans="1:14" ht="19" customHeight="1" x14ac:dyDescent="0.4"/>
    <row r="6" spans="1:14" ht="19" customHeight="1" x14ac:dyDescent="0.4"/>
    <row r="7" spans="1:14" x14ac:dyDescent="0.4">
      <c r="A7" s="2" t="s">
        <v>15</v>
      </c>
    </row>
    <row r="8" spans="1:14" x14ac:dyDescent="0.4">
      <c r="A8" s="76" t="s">
        <v>89</v>
      </c>
    </row>
    <row r="10" spans="1:14" x14ac:dyDescent="0.4">
      <c r="B10" s="71" t="s">
        <v>88</v>
      </c>
      <c r="C10" s="75">
        <v>2013</v>
      </c>
      <c r="D10" s="75">
        <v>2014</v>
      </c>
      <c r="E10" s="75">
        <v>2015</v>
      </c>
      <c r="F10" s="75">
        <v>2016</v>
      </c>
      <c r="G10" s="75">
        <v>2017</v>
      </c>
      <c r="H10" s="75" t="s">
        <v>93</v>
      </c>
      <c r="I10" s="75" t="s">
        <v>98</v>
      </c>
      <c r="J10" s="75" t="s">
        <v>101</v>
      </c>
      <c r="K10" s="75" t="s">
        <v>102</v>
      </c>
      <c r="L10" s="75" t="s">
        <v>104</v>
      </c>
      <c r="M10" s="75" t="s">
        <v>107</v>
      </c>
      <c r="N10" s="75" t="s">
        <v>117</v>
      </c>
    </row>
    <row r="11" spans="1:14" s="2" customFormat="1" x14ac:dyDescent="0.4">
      <c r="B11" s="74" t="s">
        <v>87</v>
      </c>
      <c r="C11" s="62"/>
      <c r="D11" s="62"/>
      <c r="E11" s="62"/>
      <c r="F11" s="62"/>
    </row>
    <row r="12" spans="1:14" x14ac:dyDescent="0.4">
      <c r="B12" s="60" t="s">
        <v>41</v>
      </c>
      <c r="C12" s="57">
        <v>9431.2038150000008</v>
      </c>
      <c r="D12" s="56">
        <v>9786.858639</v>
      </c>
      <c r="E12" s="56">
        <v>8296.1487070000003</v>
      </c>
      <c r="F12" s="56">
        <v>5018.3277199100003</v>
      </c>
      <c r="G12" s="56">
        <v>0</v>
      </c>
      <c r="H12" s="56">
        <v>0</v>
      </c>
      <c r="I12" s="91">
        <v>0</v>
      </c>
      <c r="J12" s="91">
        <v>0</v>
      </c>
      <c r="K12" s="91"/>
      <c r="L12" s="91"/>
      <c r="M12" s="91"/>
      <c r="N12" s="91"/>
    </row>
    <row r="13" spans="1:14" x14ac:dyDescent="0.4">
      <c r="B13" s="60" t="s">
        <v>40</v>
      </c>
      <c r="C13" s="57">
        <v>35202.537337499998</v>
      </c>
      <c r="D13" s="56">
        <v>40669.439216999999</v>
      </c>
      <c r="E13" s="56">
        <v>44490.485674000003</v>
      </c>
      <c r="F13" s="56">
        <v>11338.323594</v>
      </c>
      <c r="G13" s="56">
        <v>38189.1224315</v>
      </c>
      <c r="H13" s="83">
        <v>84941</v>
      </c>
      <c r="I13" s="91">
        <v>102228.03541350001</v>
      </c>
      <c r="J13" s="91">
        <v>136776.01414049999</v>
      </c>
      <c r="K13" s="91">
        <v>173872.61424949998</v>
      </c>
      <c r="L13" s="83">
        <v>160421.55695775</v>
      </c>
      <c r="M13" s="83">
        <v>163961.31</v>
      </c>
      <c r="N13" s="83">
        <v>171748.76309774999</v>
      </c>
    </row>
    <row r="14" spans="1:14" x14ac:dyDescent="0.4">
      <c r="B14" s="60" t="s">
        <v>39</v>
      </c>
      <c r="C14" s="57">
        <v>105170.401126</v>
      </c>
      <c r="D14" s="56">
        <v>113905.484276</v>
      </c>
      <c r="E14" s="56">
        <v>119555.171401</v>
      </c>
      <c r="F14" s="56">
        <v>123959.453815</v>
      </c>
      <c r="G14" s="56">
        <v>150191.391214</v>
      </c>
      <c r="H14" s="83">
        <v>148633</v>
      </c>
      <c r="I14" s="91">
        <v>159257.59033499999</v>
      </c>
      <c r="J14" s="83">
        <v>152393.66927228001</v>
      </c>
      <c r="K14" s="83">
        <v>110767.42132644998</v>
      </c>
      <c r="L14" s="83">
        <v>144640.85398259998</v>
      </c>
      <c r="M14" s="83">
        <v>276006</v>
      </c>
      <c r="N14" s="83">
        <v>201275.29086335999</v>
      </c>
    </row>
    <row r="15" spans="1:14" x14ac:dyDescent="0.4">
      <c r="B15" s="60" t="s">
        <v>38</v>
      </c>
      <c r="C15" s="57">
        <v>24845.180619999999</v>
      </c>
      <c r="D15" s="56">
        <v>25462.196694999999</v>
      </c>
      <c r="E15" s="56">
        <v>28382.739450000001</v>
      </c>
      <c r="F15" s="56">
        <v>20567.202499999999</v>
      </c>
      <c r="G15" s="56">
        <v>23816.820491999999</v>
      </c>
      <c r="H15" s="83">
        <v>2631</v>
      </c>
      <c r="I15" s="91">
        <v>876.85267499999998</v>
      </c>
      <c r="J15" s="91">
        <v>0</v>
      </c>
      <c r="K15" s="91"/>
      <c r="L15" s="83"/>
      <c r="M15" s="83"/>
      <c r="N15" s="83"/>
    </row>
    <row r="16" spans="1:14" ht="17.5" x14ac:dyDescent="0.4">
      <c r="B16" s="60" t="s">
        <v>94</v>
      </c>
      <c r="C16" s="57">
        <v>45380.899537500009</v>
      </c>
      <c r="D16" s="56">
        <v>51926.600869499991</v>
      </c>
      <c r="E16" s="56">
        <v>56354.166532000003</v>
      </c>
      <c r="F16" s="56">
        <v>60321.051585000001</v>
      </c>
      <c r="G16" s="56">
        <v>14788.267302</v>
      </c>
      <c r="H16" s="83">
        <v>50397</v>
      </c>
      <c r="I16" s="91">
        <v>70309.130505999987</v>
      </c>
      <c r="J16" s="91">
        <v>81173.318106999999</v>
      </c>
      <c r="K16" s="91">
        <v>77612.459007800004</v>
      </c>
      <c r="L16" s="83">
        <v>94348.533284999983</v>
      </c>
      <c r="M16" s="83">
        <v>148788.88</v>
      </c>
      <c r="N16" s="83">
        <v>222774.22515999997</v>
      </c>
    </row>
    <row r="17" spans="2:16" x14ac:dyDescent="0.4">
      <c r="B17" s="60" t="s">
        <v>36</v>
      </c>
      <c r="C17" s="57">
        <v>9338.0749312499993</v>
      </c>
      <c r="D17" s="56">
        <v>5716.6421812500002</v>
      </c>
      <c r="E17" s="56">
        <v>1225.2743805</v>
      </c>
      <c r="F17" s="56">
        <v>740.10553449999998</v>
      </c>
      <c r="G17" s="56">
        <v>0</v>
      </c>
      <c r="H17" s="56">
        <v>0</v>
      </c>
      <c r="I17" s="91"/>
      <c r="J17" s="91"/>
      <c r="K17" s="91"/>
      <c r="L17" s="83"/>
      <c r="M17" s="83"/>
      <c r="N17" s="83"/>
    </row>
    <row r="18" spans="2:16" x14ac:dyDescent="0.4">
      <c r="B18" s="60" t="s">
        <v>35</v>
      </c>
      <c r="C18" s="57">
        <v>14801.258115000001</v>
      </c>
      <c r="D18" s="56">
        <v>15968.037849188402</v>
      </c>
      <c r="E18" s="56">
        <v>17392.332904216</v>
      </c>
      <c r="F18" s="56">
        <v>22108.859073300006</v>
      </c>
      <c r="G18" s="56">
        <v>23752.985127000004</v>
      </c>
      <c r="H18" s="83">
        <v>25261</v>
      </c>
      <c r="I18" s="91">
        <v>27172.814829140003</v>
      </c>
      <c r="J18" s="91">
        <v>28951.495460300001</v>
      </c>
      <c r="K18" s="91">
        <v>31163.916355600006</v>
      </c>
      <c r="L18" s="83">
        <v>40090.9095925</v>
      </c>
      <c r="M18" s="83">
        <v>56544</v>
      </c>
      <c r="N18" s="163">
        <v>4363.7626769999997</v>
      </c>
    </row>
    <row r="19" spans="2:16" x14ac:dyDescent="0.4">
      <c r="B19" s="60" t="s">
        <v>86</v>
      </c>
      <c r="C19" s="57">
        <v>0</v>
      </c>
      <c r="D19" s="57">
        <v>0</v>
      </c>
      <c r="E19" s="57">
        <v>0</v>
      </c>
      <c r="F19" s="57">
        <v>0</v>
      </c>
      <c r="G19" s="56">
        <v>92425.328504510006</v>
      </c>
      <c r="H19" s="83">
        <v>98842</v>
      </c>
      <c r="I19" s="91">
        <v>49958.302509000001</v>
      </c>
      <c r="J19" s="91">
        <v>74953.701902000001</v>
      </c>
      <c r="K19" s="91">
        <v>0</v>
      </c>
      <c r="L19" s="83">
        <v>360956.62191985</v>
      </c>
      <c r="M19" s="83">
        <v>303977</v>
      </c>
      <c r="N19" s="163">
        <v>0</v>
      </c>
    </row>
    <row r="20" spans="2:16" x14ac:dyDescent="0.4">
      <c r="B20" s="60" t="s">
        <v>33</v>
      </c>
      <c r="C20" s="57"/>
      <c r="D20" s="57"/>
      <c r="E20" s="57"/>
      <c r="F20" s="57">
        <v>214</v>
      </c>
      <c r="G20" s="56">
        <v>60.397782999999997</v>
      </c>
      <c r="H20" s="1">
        <v>221</v>
      </c>
      <c r="I20" s="91">
        <v>662.37603140994906</v>
      </c>
      <c r="J20" s="91">
        <v>345.006483</v>
      </c>
      <c r="K20" s="91">
        <v>15832.705731599999</v>
      </c>
      <c r="L20" s="83">
        <f>36137.48476459-L25</f>
        <v>25072.484764590001</v>
      </c>
      <c r="M20" s="83">
        <v>28925.68</v>
      </c>
      <c r="N20" s="163">
        <v>49412.82792435</v>
      </c>
    </row>
    <row r="21" spans="2:16" x14ac:dyDescent="0.4">
      <c r="B21" s="2" t="s">
        <v>85</v>
      </c>
      <c r="C21" s="73">
        <f t="shared" ref="C21:I21" si="0">SUM(C12:C20)</f>
        <v>244169.55548225003</v>
      </c>
      <c r="D21" s="73">
        <f t="shared" si="0"/>
        <v>263435.25972693838</v>
      </c>
      <c r="E21" s="73">
        <f t="shared" si="0"/>
        <v>275696.31904871599</v>
      </c>
      <c r="F21" s="73">
        <f t="shared" si="0"/>
        <v>244267.32382171002</v>
      </c>
      <c r="G21" s="73">
        <f t="shared" si="0"/>
        <v>343224.31285401003</v>
      </c>
      <c r="H21" s="73">
        <f t="shared" si="0"/>
        <v>410926</v>
      </c>
      <c r="I21" s="92">
        <f t="shared" si="0"/>
        <v>410465.10229904996</v>
      </c>
      <c r="J21" s="92">
        <f t="shared" ref="J21:K21" si="1">SUM(J12:J20)</f>
        <v>474593.20536508004</v>
      </c>
      <c r="K21" s="92">
        <f t="shared" si="1"/>
        <v>409249.11667094991</v>
      </c>
      <c r="L21" s="92">
        <f t="shared" ref="L21:M21" si="2">SUM(L12:L20)</f>
        <v>825530.96050229005</v>
      </c>
      <c r="M21" s="92">
        <f t="shared" si="2"/>
        <v>978202.87</v>
      </c>
      <c r="N21" s="164">
        <f>SUM(N12:N20)</f>
        <v>649574.86972246005</v>
      </c>
    </row>
    <row r="22" spans="2:16" x14ac:dyDescent="0.4">
      <c r="C22" s="70"/>
      <c r="D22" s="70"/>
      <c r="E22" s="70"/>
      <c r="I22" s="91"/>
      <c r="J22" s="91"/>
      <c r="K22" s="91"/>
      <c r="L22" s="91"/>
      <c r="M22" s="91"/>
      <c r="N22" s="83"/>
    </row>
    <row r="23" spans="2:16" s="2" customFormat="1" x14ac:dyDescent="0.4">
      <c r="B23" s="64" t="s">
        <v>84</v>
      </c>
      <c r="C23" s="63"/>
      <c r="D23" s="63"/>
      <c r="E23" s="63"/>
      <c r="F23" s="63"/>
      <c r="I23" s="93"/>
      <c r="J23" s="93"/>
      <c r="K23" s="93"/>
      <c r="L23" s="93"/>
      <c r="M23" s="93"/>
      <c r="N23" s="92"/>
    </row>
    <row r="24" spans="2:16" x14ac:dyDescent="0.4">
      <c r="B24" s="60" t="s">
        <v>83</v>
      </c>
      <c r="C24" s="57"/>
      <c r="D24" s="56"/>
      <c r="E24" s="56"/>
      <c r="F24" s="56"/>
      <c r="G24" s="56">
        <v>49313</v>
      </c>
      <c r="H24" s="83">
        <v>64888</v>
      </c>
      <c r="I24" s="91">
        <v>163767.60451100001</v>
      </c>
      <c r="J24" s="91">
        <v>0</v>
      </c>
      <c r="K24" s="91">
        <v>0</v>
      </c>
      <c r="L24" s="91">
        <v>0</v>
      </c>
      <c r="M24" s="91"/>
      <c r="N24" s="83"/>
      <c r="P24" s="1" t="s">
        <v>118</v>
      </c>
    </row>
    <row r="25" spans="2:16" x14ac:dyDescent="0.4">
      <c r="B25" s="60" t="s">
        <v>90</v>
      </c>
      <c r="C25" s="57"/>
      <c r="D25" s="56"/>
      <c r="E25" s="56"/>
      <c r="F25" s="56">
        <v>12157</v>
      </c>
      <c r="G25" s="56">
        <v>5737.01190941</v>
      </c>
      <c r="H25" s="83">
        <v>115338</v>
      </c>
      <c r="I25" s="91">
        <v>13862.858156999999</v>
      </c>
      <c r="J25" s="91">
        <v>7148.9842580000004</v>
      </c>
      <c r="K25" s="91">
        <v>63154.635026100004</v>
      </c>
      <c r="L25" s="91">
        <v>11065</v>
      </c>
      <c r="M25" s="91"/>
      <c r="N25" s="83"/>
    </row>
    <row r="26" spans="2:16" x14ac:dyDescent="0.4">
      <c r="B26" s="2" t="s">
        <v>82</v>
      </c>
      <c r="C26" s="73">
        <f t="shared" ref="C26:G26" si="3">SUM(C24:C25)</f>
        <v>0</v>
      </c>
      <c r="D26" s="73">
        <f t="shared" si="3"/>
        <v>0</v>
      </c>
      <c r="E26" s="73">
        <f t="shared" si="3"/>
        <v>0</v>
      </c>
      <c r="F26" s="73">
        <f t="shared" si="3"/>
        <v>12157</v>
      </c>
      <c r="G26" s="73">
        <f t="shared" si="3"/>
        <v>55050.011909410001</v>
      </c>
      <c r="H26" s="73">
        <f t="shared" ref="H26:L26" si="4">SUM(H24:H25)</f>
        <v>180226</v>
      </c>
      <c r="I26" s="92">
        <f t="shared" si="4"/>
        <v>177630.46266800002</v>
      </c>
      <c r="J26" s="92">
        <f t="shared" si="4"/>
        <v>7148.9842580000004</v>
      </c>
      <c r="K26" s="92">
        <f t="shared" si="4"/>
        <v>63154.635026100004</v>
      </c>
      <c r="L26" s="92">
        <f t="shared" si="4"/>
        <v>11065</v>
      </c>
      <c r="M26" s="92">
        <f t="shared" ref="M26:N26" si="5">SUM(M24:M25)</f>
        <v>0</v>
      </c>
      <c r="N26" s="164">
        <f t="shared" si="5"/>
        <v>0</v>
      </c>
    </row>
    <row r="27" spans="2:16" x14ac:dyDescent="0.4">
      <c r="C27" s="70"/>
      <c r="D27" s="70"/>
      <c r="E27" s="70"/>
      <c r="I27" s="91"/>
      <c r="J27" s="91"/>
      <c r="K27" s="91"/>
      <c r="L27" s="91"/>
      <c r="M27" s="91"/>
      <c r="N27" s="91"/>
    </row>
    <row r="28" spans="2:16" s="2" customFormat="1" x14ac:dyDescent="0.4">
      <c r="B28" s="64" t="s">
        <v>81</v>
      </c>
      <c r="C28" s="63"/>
      <c r="D28" s="63"/>
      <c r="E28" s="63"/>
      <c r="F28" s="63"/>
      <c r="I28" s="93"/>
      <c r="J28" s="93"/>
      <c r="K28" s="93"/>
      <c r="L28" s="93"/>
      <c r="M28" s="93"/>
      <c r="N28" s="93"/>
    </row>
    <row r="29" spans="2:16" ht="17.5" x14ac:dyDescent="0.4">
      <c r="B29" s="60" t="s">
        <v>94</v>
      </c>
      <c r="C29" s="57"/>
      <c r="D29" s="56"/>
      <c r="E29" s="56"/>
      <c r="F29" s="56"/>
      <c r="G29" s="56">
        <v>63304.161784000004</v>
      </c>
      <c r="I29" s="91"/>
      <c r="J29" s="91"/>
      <c r="K29" s="91"/>
      <c r="L29" s="91"/>
      <c r="M29" s="91"/>
      <c r="N29" s="91"/>
    </row>
    <row r="30" spans="2:16" x14ac:dyDescent="0.4">
      <c r="B30" s="60" t="s">
        <v>38</v>
      </c>
      <c r="C30" s="57"/>
      <c r="D30" s="56"/>
      <c r="E30" s="56"/>
      <c r="F30" s="56"/>
      <c r="G30" s="56"/>
      <c r="H30" s="83">
        <f>654682308000/1000000</f>
        <v>654682.30799999996</v>
      </c>
      <c r="I30" s="91">
        <v>122791.850525</v>
      </c>
      <c r="J30" s="91">
        <v>0</v>
      </c>
      <c r="K30" s="91"/>
      <c r="L30" s="91"/>
      <c r="M30" s="91"/>
      <c r="N30" s="91"/>
    </row>
    <row r="31" spans="2:16" x14ac:dyDescent="0.4">
      <c r="B31" s="60" t="s">
        <v>33</v>
      </c>
      <c r="C31" s="57"/>
      <c r="D31" s="56"/>
      <c r="E31" s="56"/>
      <c r="F31" s="56"/>
      <c r="G31" s="56"/>
      <c r="H31" s="83"/>
      <c r="I31" s="91">
        <v>398.863786</v>
      </c>
      <c r="J31" s="91">
        <f>5426.620018+36422.32374047</f>
        <v>41848.943758469999</v>
      </c>
      <c r="K31" s="91">
        <v>23728.3587008504</v>
      </c>
      <c r="L31" s="91">
        <v>40.478118223599999</v>
      </c>
      <c r="M31" s="91">
        <v>275906</v>
      </c>
      <c r="N31" s="163">
        <v>215297.46221629001</v>
      </c>
    </row>
    <row r="32" spans="2:16" x14ac:dyDescent="0.4">
      <c r="B32" s="2" t="s">
        <v>80</v>
      </c>
      <c r="C32" s="73">
        <f t="shared" ref="C32:G32" si="6">SUM(C29:C29)</f>
        <v>0</v>
      </c>
      <c r="D32" s="73">
        <f t="shared" si="6"/>
        <v>0</v>
      </c>
      <c r="E32" s="73">
        <f t="shared" si="6"/>
        <v>0</v>
      </c>
      <c r="F32" s="73">
        <f t="shared" si="6"/>
        <v>0</v>
      </c>
      <c r="G32" s="73">
        <f t="shared" si="6"/>
        <v>63304.161784000004</v>
      </c>
      <c r="H32" s="73">
        <f>SUM(H29:H30)</f>
        <v>654682.30799999996</v>
      </c>
      <c r="I32" s="92">
        <f t="shared" ref="I32:M32" si="7">SUM(I29:I31)</f>
        <v>123190.714311</v>
      </c>
      <c r="J32" s="92">
        <f t="shared" si="7"/>
        <v>41848.943758469999</v>
      </c>
      <c r="K32" s="92">
        <f t="shared" si="7"/>
        <v>23728.3587008504</v>
      </c>
      <c r="L32" s="92">
        <f t="shared" si="7"/>
        <v>40.478118223599999</v>
      </c>
      <c r="M32" s="92">
        <f t="shared" si="7"/>
        <v>275906</v>
      </c>
      <c r="N32" s="92">
        <f>SUM(N29:N31)</f>
        <v>215297.46221629001</v>
      </c>
    </row>
    <row r="33" spans="2:14" x14ac:dyDescent="0.4">
      <c r="C33" s="70"/>
      <c r="D33" s="70"/>
      <c r="E33" s="70"/>
      <c r="I33" s="91"/>
      <c r="J33" s="91"/>
      <c r="K33" s="91"/>
      <c r="L33" s="91"/>
      <c r="M33" s="91"/>
      <c r="N33" s="91"/>
    </row>
    <row r="34" spans="2:14" x14ac:dyDescent="0.4">
      <c r="B34" s="2" t="s">
        <v>79</v>
      </c>
      <c r="C34" s="72">
        <f t="shared" ref="C34:I34" si="8">+C21+C26+C32</f>
        <v>244169.55548225003</v>
      </c>
      <c r="D34" s="72">
        <f t="shared" si="8"/>
        <v>263435.25972693838</v>
      </c>
      <c r="E34" s="72">
        <f t="shared" si="8"/>
        <v>275696.31904871599</v>
      </c>
      <c r="F34" s="72">
        <f t="shared" si="8"/>
        <v>256424.32382171002</v>
      </c>
      <c r="G34" s="72">
        <f t="shared" si="8"/>
        <v>461578.48654742003</v>
      </c>
      <c r="H34" s="84">
        <f t="shared" si="8"/>
        <v>1245834.308</v>
      </c>
      <c r="I34" s="92">
        <f t="shared" si="8"/>
        <v>711286.27927804994</v>
      </c>
      <c r="J34" s="92">
        <f t="shared" ref="J34:K34" si="9">+J21+J26+J32</f>
        <v>523591.13338155003</v>
      </c>
      <c r="K34" s="92">
        <f t="shared" si="9"/>
        <v>496132.11039790034</v>
      </c>
      <c r="L34" s="92">
        <f>+L21+L26+L32</f>
        <v>836636.43862051365</v>
      </c>
      <c r="M34" s="92">
        <f>+M21+M26+M32</f>
        <v>1254108.8700000001</v>
      </c>
      <c r="N34" s="92">
        <f>+N21+N26+N32</f>
        <v>864872.33193875011</v>
      </c>
    </row>
    <row r="35" spans="2:14" x14ac:dyDescent="0.4">
      <c r="C35" s="70"/>
      <c r="D35" s="70"/>
      <c r="E35" s="70"/>
      <c r="I35" s="91"/>
    </row>
    <row r="36" spans="2:14" ht="17.5" x14ac:dyDescent="0.4">
      <c r="B36" s="17" t="s">
        <v>23</v>
      </c>
      <c r="D36" s="45"/>
      <c r="E36" s="45"/>
      <c r="I36" s="91"/>
    </row>
    <row r="37" spans="2:14" ht="17.5" x14ac:dyDescent="0.4">
      <c r="B37" s="17" t="s">
        <v>78</v>
      </c>
      <c r="C37" s="47"/>
      <c r="D37" s="47"/>
      <c r="I37" s="91"/>
    </row>
    <row r="38" spans="2:14" ht="17.5" x14ac:dyDescent="0.4">
      <c r="B38" s="17" t="s">
        <v>92</v>
      </c>
    </row>
    <row r="39" spans="2:14" ht="17.5" x14ac:dyDescent="0.4">
      <c r="B39" s="17" t="s">
        <v>77</v>
      </c>
    </row>
    <row r="40" spans="2:14" ht="17.5" x14ac:dyDescent="0.4">
      <c r="B40" s="17" t="s">
        <v>95</v>
      </c>
    </row>
  </sheetData>
  <phoneticPr fontId="27" type="noConversion"/>
  <pageMargins left="0.7" right="0.7" top="0.75" bottom="0.75" header="0.3" footer="0.3"/>
  <pageSetup orientation="portrait" verticalDpi="597" r:id="rId1"/>
  <ignoredErrors>
    <ignoredError sqref="H10:J10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T37"/>
  <sheetViews>
    <sheetView showGridLines="0" workbookViewId="0">
      <pane xSplit="2" ySplit="9" topLeftCell="L10" activePane="bottomRight" state="frozen"/>
      <selection pane="topRight" activeCell="C1" sqref="C1"/>
      <selection pane="bottomLeft" activeCell="A10" sqref="A10"/>
      <selection pane="bottomRight" activeCell="S15" sqref="S15"/>
    </sheetView>
  </sheetViews>
  <sheetFormatPr baseColWidth="10" defaultRowHeight="15" x14ac:dyDescent="0.35"/>
  <cols>
    <col min="1" max="1" width="2" style="109" customWidth="1"/>
    <col min="2" max="2" width="28.1796875" style="109" customWidth="1"/>
    <col min="3" max="6" width="17.7265625" style="109" customWidth="1"/>
    <col min="7" max="7" width="1.81640625" style="109" customWidth="1"/>
    <col min="8" max="12" width="15.7265625" style="109" customWidth="1"/>
    <col min="13" max="13" width="16.26953125" style="109" customWidth="1"/>
    <col min="14" max="14" width="12.1796875" style="109" bestFit="1" customWidth="1"/>
    <col min="15" max="15" width="12.36328125" style="109" bestFit="1" customWidth="1"/>
    <col min="16" max="17" width="11.453125" style="109"/>
    <col min="18" max="20" width="11.54296875" style="109" customWidth="1"/>
    <col min="21" max="260" width="11.453125" style="109"/>
    <col min="261" max="261" width="33.81640625" style="109" bestFit="1" customWidth="1"/>
    <col min="262" max="264" width="17" style="109" bestFit="1" customWidth="1"/>
    <col min="265" max="265" width="17" style="109" customWidth="1"/>
    <col min="266" max="266" width="19.7265625" style="109" bestFit="1" customWidth="1"/>
    <col min="267" max="267" width="23" style="109" bestFit="1" customWidth="1"/>
    <col min="268" max="516" width="11.453125" style="109"/>
    <col min="517" max="517" width="33.81640625" style="109" bestFit="1" customWidth="1"/>
    <col min="518" max="520" width="17" style="109" bestFit="1" customWidth="1"/>
    <col min="521" max="521" width="17" style="109" customWidth="1"/>
    <col min="522" max="522" width="19.7265625" style="109" bestFit="1" customWidth="1"/>
    <col min="523" max="523" width="23" style="109" bestFit="1" customWidth="1"/>
    <col min="524" max="772" width="11.453125" style="109"/>
    <col min="773" max="773" width="33.81640625" style="109" bestFit="1" customWidth="1"/>
    <col min="774" max="776" width="17" style="109" bestFit="1" customWidth="1"/>
    <col min="777" max="777" width="17" style="109" customWidth="1"/>
    <col min="778" max="778" width="19.7265625" style="109" bestFit="1" customWidth="1"/>
    <col min="779" max="779" width="23" style="109" bestFit="1" customWidth="1"/>
    <col min="780" max="1028" width="11.453125" style="109"/>
    <col min="1029" max="1029" width="33.81640625" style="109" bestFit="1" customWidth="1"/>
    <col min="1030" max="1032" width="17" style="109" bestFit="1" customWidth="1"/>
    <col min="1033" max="1033" width="17" style="109" customWidth="1"/>
    <col min="1034" max="1034" width="19.7265625" style="109" bestFit="1" customWidth="1"/>
    <col min="1035" max="1035" width="23" style="109" bestFit="1" customWidth="1"/>
    <col min="1036" max="1284" width="11.453125" style="109"/>
    <col min="1285" max="1285" width="33.81640625" style="109" bestFit="1" customWidth="1"/>
    <col min="1286" max="1288" width="17" style="109" bestFit="1" customWidth="1"/>
    <col min="1289" max="1289" width="17" style="109" customWidth="1"/>
    <col min="1290" max="1290" width="19.7265625" style="109" bestFit="1" customWidth="1"/>
    <col min="1291" max="1291" width="23" style="109" bestFit="1" customWidth="1"/>
    <col min="1292" max="1540" width="11.453125" style="109"/>
    <col min="1541" max="1541" width="33.81640625" style="109" bestFit="1" customWidth="1"/>
    <col min="1542" max="1544" width="17" style="109" bestFit="1" customWidth="1"/>
    <col min="1545" max="1545" width="17" style="109" customWidth="1"/>
    <col min="1546" max="1546" width="19.7265625" style="109" bestFit="1" customWidth="1"/>
    <col min="1547" max="1547" width="23" style="109" bestFit="1" customWidth="1"/>
    <col min="1548" max="1796" width="11.453125" style="109"/>
    <col min="1797" max="1797" width="33.81640625" style="109" bestFit="1" customWidth="1"/>
    <col min="1798" max="1800" width="17" style="109" bestFit="1" customWidth="1"/>
    <col min="1801" max="1801" width="17" style="109" customWidth="1"/>
    <col min="1802" max="1802" width="19.7265625" style="109" bestFit="1" customWidth="1"/>
    <col min="1803" max="1803" width="23" style="109" bestFit="1" customWidth="1"/>
    <col min="1804" max="2052" width="11.453125" style="109"/>
    <col min="2053" max="2053" width="33.81640625" style="109" bestFit="1" customWidth="1"/>
    <col min="2054" max="2056" width="17" style="109" bestFit="1" customWidth="1"/>
    <col min="2057" max="2057" width="17" style="109" customWidth="1"/>
    <col min="2058" max="2058" width="19.7265625" style="109" bestFit="1" customWidth="1"/>
    <col min="2059" max="2059" width="23" style="109" bestFit="1" customWidth="1"/>
    <col min="2060" max="2308" width="11.453125" style="109"/>
    <col min="2309" max="2309" width="33.81640625" style="109" bestFit="1" customWidth="1"/>
    <col min="2310" max="2312" width="17" style="109" bestFit="1" customWidth="1"/>
    <col min="2313" max="2313" width="17" style="109" customWidth="1"/>
    <col min="2314" max="2314" width="19.7265625" style="109" bestFit="1" customWidth="1"/>
    <col min="2315" max="2315" width="23" style="109" bestFit="1" customWidth="1"/>
    <col min="2316" max="2564" width="11.453125" style="109"/>
    <col min="2565" max="2565" width="33.81640625" style="109" bestFit="1" customWidth="1"/>
    <col min="2566" max="2568" width="17" style="109" bestFit="1" customWidth="1"/>
    <col min="2569" max="2569" width="17" style="109" customWidth="1"/>
    <col min="2570" max="2570" width="19.7265625" style="109" bestFit="1" customWidth="1"/>
    <col min="2571" max="2571" width="23" style="109" bestFit="1" customWidth="1"/>
    <col min="2572" max="2820" width="11.453125" style="109"/>
    <col min="2821" max="2821" width="33.81640625" style="109" bestFit="1" customWidth="1"/>
    <col min="2822" max="2824" width="17" style="109" bestFit="1" customWidth="1"/>
    <col min="2825" max="2825" width="17" style="109" customWidth="1"/>
    <col min="2826" max="2826" width="19.7265625" style="109" bestFit="1" customWidth="1"/>
    <col min="2827" max="2827" width="23" style="109" bestFit="1" customWidth="1"/>
    <col min="2828" max="3076" width="11.453125" style="109"/>
    <col min="3077" max="3077" width="33.81640625" style="109" bestFit="1" customWidth="1"/>
    <col min="3078" max="3080" width="17" style="109" bestFit="1" customWidth="1"/>
    <col min="3081" max="3081" width="17" style="109" customWidth="1"/>
    <col min="3082" max="3082" width="19.7265625" style="109" bestFit="1" customWidth="1"/>
    <col min="3083" max="3083" width="23" style="109" bestFit="1" customWidth="1"/>
    <col min="3084" max="3332" width="11.453125" style="109"/>
    <col min="3333" max="3333" width="33.81640625" style="109" bestFit="1" customWidth="1"/>
    <col min="3334" max="3336" width="17" style="109" bestFit="1" customWidth="1"/>
    <col min="3337" max="3337" width="17" style="109" customWidth="1"/>
    <col min="3338" max="3338" width="19.7265625" style="109" bestFit="1" customWidth="1"/>
    <col min="3339" max="3339" width="23" style="109" bestFit="1" customWidth="1"/>
    <col min="3340" max="3588" width="11.453125" style="109"/>
    <col min="3589" max="3589" width="33.81640625" style="109" bestFit="1" customWidth="1"/>
    <col min="3590" max="3592" width="17" style="109" bestFit="1" customWidth="1"/>
    <col min="3593" max="3593" width="17" style="109" customWidth="1"/>
    <col min="3594" max="3594" width="19.7265625" style="109" bestFit="1" customWidth="1"/>
    <col min="3595" max="3595" width="23" style="109" bestFit="1" customWidth="1"/>
    <col min="3596" max="3844" width="11.453125" style="109"/>
    <col min="3845" max="3845" width="33.81640625" style="109" bestFit="1" customWidth="1"/>
    <col min="3846" max="3848" width="17" style="109" bestFit="1" customWidth="1"/>
    <col min="3849" max="3849" width="17" style="109" customWidth="1"/>
    <col min="3850" max="3850" width="19.7265625" style="109" bestFit="1" customWidth="1"/>
    <col min="3851" max="3851" width="23" style="109" bestFit="1" customWidth="1"/>
    <col min="3852" max="4100" width="11.453125" style="109"/>
    <col min="4101" max="4101" width="33.81640625" style="109" bestFit="1" customWidth="1"/>
    <col min="4102" max="4104" width="17" style="109" bestFit="1" customWidth="1"/>
    <col min="4105" max="4105" width="17" style="109" customWidth="1"/>
    <col min="4106" max="4106" width="19.7265625" style="109" bestFit="1" customWidth="1"/>
    <col min="4107" max="4107" width="23" style="109" bestFit="1" customWidth="1"/>
    <col min="4108" max="4356" width="11.453125" style="109"/>
    <col min="4357" max="4357" width="33.81640625" style="109" bestFit="1" customWidth="1"/>
    <col min="4358" max="4360" width="17" style="109" bestFit="1" customWidth="1"/>
    <col min="4361" max="4361" width="17" style="109" customWidth="1"/>
    <col min="4362" max="4362" width="19.7265625" style="109" bestFit="1" customWidth="1"/>
    <col min="4363" max="4363" width="23" style="109" bestFit="1" customWidth="1"/>
    <col min="4364" max="4612" width="11.453125" style="109"/>
    <col min="4613" max="4613" width="33.81640625" style="109" bestFit="1" customWidth="1"/>
    <col min="4614" max="4616" width="17" style="109" bestFit="1" customWidth="1"/>
    <col min="4617" max="4617" width="17" style="109" customWidth="1"/>
    <col min="4618" max="4618" width="19.7265625" style="109" bestFit="1" customWidth="1"/>
    <col min="4619" max="4619" width="23" style="109" bestFit="1" customWidth="1"/>
    <col min="4620" max="4868" width="11.453125" style="109"/>
    <col min="4869" max="4869" width="33.81640625" style="109" bestFit="1" customWidth="1"/>
    <col min="4870" max="4872" width="17" style="109" bestFit="1" customWidth="1"/>
    <col min="4873" max="4873" width="17" style="109" customWidth="1"/>
    <col min="4874" max="4874" width="19.7265625" style="109" bestFit="1" customWidth="1"/>
    <col min="4875" max="4875" width="23" style="109" bestFit="1" customWidth="1"/>
    <col min="4876" max="5124" width="11.453125" style="109"/>
    <col min="5125" max="5125" width="33.81640625" style="109" bestFit="1" customWidth="1"/>
    <col min="5126" max="5128" width="17" style="109" bestFit="1" customWidth="1"/>
    <col min="5129" max="5129" width="17" style="109" customWidth="1"/>
    <col min="5130" max="5130" width="19.7265625" style="109" bestFit="1" customWidth="1"/>
    <col min="5131" max="5131" width="23" style="109" bestFit="1" customWidth="1"/>
    <col min="5132" max="5380" width="11.453125" style="109"/>
    <col min="5381" max="5381" width="33.81640625" style="109" bestFit="1" customWidth="1"/>
    <col min="5382" max="5384" width="17" style="109" bestFit="1" customWidth="1"/>
    <col min="5385" max="5385" width="17" style="109" customWidth="1"/>
    <col min="5386" max="5386" width="19.7265625" style="109" bestFit="1" customWidth="1"/>
    <col min="5387" max="5387" width="23" style="109" bestFit="1" customWidth="1"/>
    <col min="5388" max="5636" width="11.453125" style="109"/>
    <col min="5637" max="5637" width="33.81640625" style="109" bestFit="1" customWidth="1"/>
    <col min="5638" max="5640" width="17" style="109" bestFit="1" customWidth="1"/>
    <col min="5641" max="5641" width="17" style="109" customWidth="1"/>
    <col min="5642" max="5642" width="19.7265625" style="109" bestFit="1" customWidth="1"/>
    <col min="5643" max="5643" width="23" style="109" bestFit="1" customWidth="1"/>
    <col min="5644" max="5892" width="11.453125" style="109"/>
    <col min="5893" max="5893" width="33.81640625" style="109" bestFit="1" customWidth="1"/>
    <col min="5894" max="5896" width="17" style="109" bestFit="1" customWidth="1"/>
    <col min="5897" max="5897" width="17" style="109" customWidth="1"/>
    <col min="5898" max="5898" width="19.7265625" style="109" bestFit="1" customWidth="1"/>
    <col min="5899" max="5899" width="23" style="109" bestFit="1" customWidth="1"/>
    <col min="5900" max="6148" width="11.453125" style="109"/>
    <col min="6149" max="6149" width="33.81640625" style="109" bestFit="1" customWidth="1"/>
    <col min="6150" max="6152" width="17" style="109" bestFit="1" customWidth="1"/>
    <col min="6153" max="6153" width="17" style="109" customWidth="1"/>
    <col min="6154" max="6154" width="19.7265625" style="109" bestFit="1" customWidth="1"/>
    <col min="6155" max="6155" width="23" style="109" bestFit="1" customWidth="1"/>
    <col min="6156" max="6404" width="11.453125" style="109"/>
    <col min="6405" max="6405" width="33.81640625" style="109" bestFit="1" customWidth="1"/>
    <col min="6406" max="6408" width="17" style="109" bestFit="1" customWidth="1"/>
    <col min="6409" max="6409" width="17" style="109" customWidth="1"/>
    <col min="6410" max="6410" width="19.7265625" style="109" bestFit="1" customWidth="1"/>
    <col min="6411" max="6411" width="23" style="109" bestFit="1" customWidth="1"/>
    <col min="6412" max="6660" width="11.453125" style="109"/>
    <col min="6661" max="6661" width="33.81640625" style="109" bestFit="1" customWidth="1"/>
    <col min="6662" max="6664" width="17" style="109" bestFit="1" customWidth="1"/>
    <col min="6665" max="6665" width="17" style="109" customWidth="1"/>
    <col min="6666" max="6666" width="19.7265625" style="109" bestFit="1" customWidth="1"/>
    <col min="6667" max="6667" width="23" style="109" bestFit="1" customWidth="1"/>
    <col min="6668" max="6916" width="11.453125" style="109"/>
    <col min="6917" max="6917" width="33.81640625" style="109" bestFit="1" customWidth="1"/>
    <col min="6918" max="6920" width="17" style="109" bestFit="1" customWidth="1"/>
    <col min="6921" max="6921" width="17" style="109" customWidth="1"/>
    <col min="6922" max="6922" width="19.7265625" style="109" bestFit="1" customWidth="1"/>
    <col min="6923" max="6923" width="23" style="109" bestFit="1" customWidth="1"/>
    <col min="6924" max="7172" width="11.453125" style="109"/>
    <col min="7173" max="7173" width="33.81640625" style="109" bestFit="1" customWidth="1"/>
    <col min="7174" max="7176" width="17" style="109" bestFit="1" customWidth="1"/>
    <col min="7177" max="7177" width="17" style="109" customWidth="1"/>
    <col min="7178" max="7178" width="19.7265625" style="109" bestFit="1" customWidth="1"/>
    <col min="7179" max="7179" width="23" style="109" bestFit="1" customWidth="1"/>
    <col min="7180" max="7428" width="11.453125" style="109"/>
    <col min="7429" max="7429" width="33.81640625" style="109" bestFit="1" customWidth="1"/>
    <col min="7430" max="7432" width="17" style="109" bestFit="1" customWidth="1"/>
    <col min="7433" max="7433" width="17" style="109" customWidth="1"/>
    <col min="7434" max="7434" width="19.7265625" style="109" bestFit="1" customWidth="1"/>
    <col min="7435" max="7435" width="23" style="109" bestFit="1" customWidth="1"/>
    <col min="7436" max="7684" width="11.453125" style="109"/>
    <col min="7685" max="7685" width="33.81640625" style="109" bestFit="1" customWidth="1"/>
    <col min="7686" max="7688" width="17" style="109" bestFit="1" customWidth="1"/>
    <col min="7689" max="7689" width="17" style="109" customWidth="1"/>
    <col min="7690" max="7690" width="19.7265625" style="109" bestFit="1" customWidth="1"/>
    <col min="7691" max="7691" width="23" style="109" bestFit="1" customWidth="1"/>
    <col min="7692" max="7940" width="11.453125" style="109"/>
    <col min="7941" max="7941" width="33.81640625" style="109" bestFit="1" customWidth="1"/>
    <col min="7942" max="7944" width="17" style="109" bestFit="1" customWidth="1"/>
    <col min="7945" max="7945" width="17" style="109" customWidth="1"/>
    <col min="7946" max="7946" width="19.7265625" style="109" bestFit="1" customWidth="1"/>
    <col min="7947" max="7947" width="23" style="109" bestFit="1" customWidth="1"/>
    <col min="7948" max="8196" width="11.453125" style="109"/>
    <col min="8197" max="8197" width="33.81640625" style="109" bestFit="1" customWidth="1"/>
    <col min="8198" max="8200" width="17" style="109" bestFit="1" customWidth="1"/>
    <col min="8201" max="8201" width="17" style="109" customWidth="1"/>
    <col min="8202" max="8202" width="19.7265625" style="109" bestFit="1" customWidth="1"/>
    <col min="8203" max="8203" width="23" style="109" bestFit="1" customWidth="1"/>
    <col min="8204" max="8452" width="11.453125" style="109"/>
    <col min="8453" max="8453" width="33.81640625" style="109" bestFit="1" customWidth="1"/>
    <col min="8454" max="8456" width="17" style="109" bestFit="1" customWidth="1"/>
    <col min="8457" max="8457" width="17" style="109" customWidth="1"/>
    <col min="8458" max="8458" width="19.7265625" style="109" bestFit="1" customWidth="1"/>
    <col min="8459" max="8459" width="23" style="109" bestFit="1" customWidth="1"/>
    <col min="8460" max="8708" width="11.453125" style="109"/>
    <col min="8709" max="8709" width="33.81640625" style="109" bestFit="1" customWidth="1"/>
    <col min="8710" max="8712" width="17" style="109" bestFit="1" customWidth="1"/>
    <col min="8713" max="8713" width="17" style="109" customWidth="1"/>
    <col min="8714" max="8714" width="19.7265625" style="109" bestFit="1" customWidth="1"/>
    <col min="8715" max="8715" width="23" style="109" bestFit="1" customWidth="1"/>
    <col min="8716" max="8964" width="11.453125" style="109"/>
    <col min="8965" max="8965" width="33.81640625" style="109" bestFit="1" customWidth="1"/>
    <col min="8966" max="8968" width="17" style="109" bestFit="1" customWidth="1"/>
    <col min="8969" max="8969" width="17" style="109" customWidth="1"/>
    <col min="8970" max="8970" width="19.7265625" style="109" bestFit="1" customWidth="1"/>
    <col min="8971" max="8971" width="23" style="109" bestFit="1" customWidth="1"/>
    <col min="8972" max="9220" width="11.453125" style="109"/>
    <col min="9221" max="9221" width="33.81640625" style="109" bestFit="1" customWidth="1"/>
    <col min="9222" max="9224" width="17" style="109" bestFit="1" customWidth="1"/>
    <col min="9225" max="9225" width="17" style="109" customWidth="1"/>
    <col min="9226" max="9226" width="19.7265625" style="109" bestFit="1" customWidth="1"/>
    <col min="9227" max="9227" width="23" style="109" bestFit="1" customWidth="1"/>
    <col min="9228" max="9476" width="11.453125" style="109"/>
    <col min="9477" max="9477" width="33.81640625" style="109" bestFit="1" customWidth="1"/>
    <col min="9478" max="9480" width="17" style="109" bestFit="1" customWidth="1"/>
    <col min="9481" max="9481" width="17" style="109" customWidth="1"/>
    <col min="9482" max="9482" width="19.7265625" style="109" bestFit="1" customWidth="1"/>
    <col min="9483" max="9483" width="23" style="109" bestFit="1" customWidth="1"/>
    <col min="9484" max="9732" width="11.453125" style="109"/>
    <col min="9733" max="9733" width="33.81640625" style="109" bestFit="1" customWidth="1"/>
    <col min="9734" max="9736" width="17" style="109" bestFit="1" customWidth="1"/>
    <col min="9737" max="9737" width="17" style="109" customWidth="1"/>
    <col min="9738" max="9738" width="19.7265625" style="109" bestFit="1" customWidth="1"/>
    <col min="9739" max="9739" width="23" style="109" bestFit="1" customWidth="1"/>
    <col min="9740" max="9988" width="11.453125" style="109"/>
    <col min="9989" max="9989" width="33.81640625" style="109" bestFit="1" customWidth="1"/>
    <col min="9990" max="9992" width="17" style="109" bestFit="1" customWidth="1"/>
    <col min="9993" max="9993" width="17" style="109" customWidth="1"/>
    <col min="9994" max="9994" width="19.7265625" style="109" bestFit="1" customWidth="1"/>
    <col min="9995" max="9995" width="23" style="109" bestFit="1" customWidth="1"/>
    <col min="9996" max="10244" width="11.453125" style="109"/>
    <col min="10245" max="10245" width="33.81640625" style="109" bestFit="1" customWidth="1"/>
    <col min="10246" max="10248" width="17" style="109" bestFit="1" customWidth="1"/>
    <col min="10249" max="10249" width="17" style="109" customWidth="1"/>
    <col min="10250" max="10250" width="19.7265625" style="109" bestFit="1" customWidth="1"/>
    <col min="10251" max="10251" width="23" style="109" bestFit="1" customWidth="1"/>
    <col min="10252" max="10500" width="11.453125" style="109"/>
    <col min="10501" max="10501" width="33.81640625" style="109" bestFit="1" customWidth="1"/>
    <col min="10502" max="10504" width="17" style="109" bestFit="1" customWidth="1"/>
    <col min="10505" max="10505" width="17" style="109" customWidth="1"/>
    <col min="10506" max="10506" width="19.7265625" style="109" bestFit="1" customWidth="1"/>
    <col min="10507" max="10507" width="23" style="109" bestFit="1" customWidth="1"/>
    <col min="10508" max="10756" width="11.453125" style="109"/>
    <col min="10757" max="10757" width="33.81640625" style="109" bestFit="1" customWidth="1"/>
    <col min="10758" max="10760" width="17" style="109" bestFit="1" customWidth="1"/>
    <col min="10761" max="10761" width="17" style="109" customWidth="1"/>
    <col min="10762" max="10762" width="19.7265625" style="109" bestFit="1" customWidth="1"/>
    <col min="10763" max="10763" width="23" style="109" bestFit="1" customWidth="1"/>
    <col min="10764" max="11012" width="11.453125" style="109"/>
    <col min="11013" max="11013" width="33.81640625" style="109" bestFit="1" customWidth="1"/>
    <col min="11014" max="11016" width="17" style="109" bestFit="1" customWidth="1"/>
    <col min="11017" max="11017" width="17" style="109" customWidth="1"/>
    <col min="11018" max="11018" width="19.7265625" style="109" bestFit="1" customWidth="1"/>
    <col min="11019" max="11019" width="23" style="109" bestFit="1" customWidth="1"/>
    <col min="11020" max="11268" width="11.453125" style="109"/>
    <col min="11269" max="11269" width="33.81640625" style="109" bestFit="1" customWidth="1"/>
    <col min="11270" max="11272" width="17" style="109" bestFit="1" customWidth="1"/>
    <col min="11273" max="11273" width="17" style="109" customWidth="1"/>
    <col min="11274" max="11274" width="19.7265625" style="109" bestFit="1" customWidth="1"/>
    <col min="11275" max="11275" width="23" style="109" bestFit="1" customWidth="1"/>
    <col min="11276" max="11524" width="11.453125" style="109"/>
    <col min="11525" max="11525" width="33.81640625" style="109" bestFit="1" customWidth="1"/>
    <col min="11526" max="11528" width="17" style="109" bestFit="1" customWidth="1"/>
    <col min="11529" max="11529" width="17" style="109" customWidth="1"/>
    <col min="11530" max="11530" width="19.7265625" style="109" bestFit="1" customWidth="1"/>
    <col min="11531" max="11531" width="23" style="109" bestFit="1" customWidth="1"/>
    <col min="11532" max="11780" width="11.453125" style="109"/>
    <col min="11781" max="11781" width="33.81640625" style="109" bestFit="1" customWidth="1"/>
    <col min="11782" max="11784" width="17" style="109" bestFit="1" customWidth="1"/>
    <col min="11785" max="11785" width="17" style="109" customWidth="1"/>
    <col min="11786" max="11786" width="19.7265625" style="109" bestFit="1" customWidth="1"/>
    <col min="11787" max="11787" width="23" style="109" bestFit="1" customWidth="1"/>
    <col min="11788" max="12036" width="11.453125" style="109"/>
    <col min="12037" max="12037" width="33.81640625" style="109" bestFit="1" customWidth="1"/>
    <col min="12038" max="12040" width="17" style="109" bestFit="1" customWidth="1"/>
    <col min="12041" max="12041" width="17" style="109" customWidth="1"/>
    <col min="12042" max="12042" width="19.7265625" style="109" bestFit="1" customWidth="1"/>
    <col min="12043" max="12043" width="23" style="109" bestFit="1" customWidth="1"/>
    <col min="12044" max="12292" width="11.453125" style="109"/>
    <col min="12293" max="12293" width="33.81640625" style="109" bestFit="1" customWidth="1"/>
    <col min="12294" max="12296" width="17" style="109" bestFit="1" customWidth="1"/>
    <col min="12297" max="12297" width="17" style="109" customWidth="1"/>
    <col min="12298" max="12298" width="19.7265625" style="109" bestFit="1" customWidth="1"/>
    <col min="12299" max="12299" width="23" style="109" bestFit="1" customWidth="1"/>
    <col min="12300" max="12548" width="11.453125" style="109"/>
    <col min="12549" max="12549" width="33.81640625" style="109" bestFit="1" customWidth="1"/>
    <col min="12550" max="12552" width="17" style="109" bestFit="1" customWidth="1"/>
    <col min="12553" max="12553" width="17" style="109" customWidth="1"/>
    <col min="12554" max="12554" width="19.7265625" style="109" bestFit="1" customWidth="1"/>
    <col min="12555" max="12555" width="23" style="109" bestFit="1" customWidth="1"/>
    <col min="12556" max="12804" width="11.453125" style="109"/>
    <col min="12805" max="12805" width="33.81640625" style="109" bestFit="1" customWidth="1"/>
    <col min="12806" max="12808" width="17" style="109" bestFit="1" customWidth="1"/>
    <col min="12809" max="12809" width="17" style="109" customWidth="1"/>
    <col min="12810" max="12810" width="19.7265625" style="109" bestFit="1" customWidth="1"/>
    <col min="12811" max="12811" width="23" style="109" bestFit="1" customWidth="1"/>
    <col min="12812" max="13060" width="11.453125" style="109"/>
    <col min="13061" max="13061" width="33.81640625" style="109" bestFit="1" customWidth="1"/>
    <col min="13062" max="13064" width="17" style="109" bestFit="1" customWidth="1"/>
    <col min="13065" max="13065" width="17" style="109" customWidth="1"/>
    <col min="13066" max="13066" width="19.7265625" style="109" bestFit="1" customWidth="1"/>
    <col min="13067" max="13067" width="23" style="109" bestFit="1" customWidth="1"/>
    <col min="13068" max="13316" width="11.453125" style="109"/>
    <col min="13317" max="13317" width="33.81640625" style="109" bestFit="1" customWidth="1"/>
    <col min="13318" max="13320" width="17" style="109" bestFit="1" customWidth="1"/>
    <col min="13321" max="13321" width="17" style="109" customWidth="1"/>
    <col min="13322" max="13322" width="19.7265625" style="109" bestFit="1" customWidth="1"/>
    <col min="13323" max="13323" width="23" style="109" bestFit="1" customWidth="1"/>
    <col min="13324" max="13572" width="11.453125" style="109"/>
    <col min="13573" max="13573" width="33.81640625" style="109" bestFit="1" customWidth="1"/>
    <col min="13574" max="13576" width="17" style="109" bestFit="1" customWidth="1"/>
    <col min="13577" max="13577" width="17" style="109" customWidth="1"/>
    <col min="13578" max="13578" width="19.7265625" style="109" bestFit="1" customWidth="1"/>
    <col min="13579" max="13579" width="23" style="109" bestFit="1" customWidth="1"/>
    <col min="13580" max="13828" width="11.453125" style="109"/>
    <col min="13829" max="13829" width="33.81640625" style="109" bestFit="1" customWidth="1"/>
    <col min="13830" max="13832" width="17" style="109" bestFit="1" customWidth="1"/>
    <col min="13833" max="13833" width="17" style="109" customWidth="1"/>
    <col min="13834" max="13834" width="19.7265625" style="109" bestFit="1" customWidth="1"/>
    <col min="13835" max="13835" width="23" style="109" bestFit="1" customWidth="1"/>
    <col min="13836" max="14084" width="11.453125" style="109"/>
    <col min="14085" max="14085" width="33.81640625" style="109" bestFit="1" customWidth="1"/>
    <col min="14086" max="14088" width="17" style="109" bestFit="1" customWidth="1"/>
    <col min="14089" max="14089" width="17" style="109" customWidth="1"/>
    <col min="14090" max="14090" width="19.7265625" style="109" bestFit="1" customWidth="1"/>
    <col min="14091" max="14091" width="23" style="109" bestFit="1" customWidth="1"/>
    <col min="14092" max="14340" width="11.453125" style="109"/>
    <col min="14341" max="14341" width="33.81640625" style="109" bestFit="1" customWidth="1"/>
    <col min="14342" max="14344" width="17" style="109" bestFit="1" customWidth="1"/>
    <col min="14345" max="14345" width="17" style="109" customWidth="1"/>
    <col min="14346" max="14346" width="19.7265625" style="109" bestFit="1" customWidth="1"/>
    <col min="14347" max="14347" width="23" style="109" bestFit="1" customWidth="1"/>
    <col min="14348" max="14596" width="11.453125" style="109"/>
    <col min="14597" max="14597" width="33.81640625" style="109" bestFit="1" customWidth="1"/>
    <col min="14598" max="14600" width="17" style="109" bestFit="1" customWidth="1"/>
    <col min="14601" max="14601" width="17" style="109" customWidth="1"/>
    <col min="14602" max="14602" width="19.7265625" style="109" bestFit="1" customWidth="1"/>
    <col min="14603" max="14603" width="23" style="109" bestFit="1" customWidth="1"/>
    <col min="14604" max="14852" width="11.453125" style="109"/>
    <col min="14853" max="14853" width="33.81640625" style="109" bestFit="1" customWidth="1"/>
    <col min="14854" max="14856" width="17" style="109" bestFit="1" customWidth="1"/>
    <col min="14857" max="14857" width="17" style="109" customWidth="1"/>
    <col min="14858" max="14858" width="19.7265625" style="109" bestFit="1" customWidth="1"/>
    <col min="14859" max="14859" width="23" style="109" bestFit="1" customWidth="1"/>
    <col min="14860" max="15108" width="11.453125" style="109"/>
    <col min="15109" max="15109" width="33.81640625" style="109" bestFit="1" customWidth="1"/>
    <col min="15110" max="15112" width="17" style="109" bestFit="1" customWidth="1"/>
    <col min="15113" max="15113" width="17" style="109" customWidth="1"/>
    <col min="15114" max="15114" width="19.7265625" style="109" bestFit="1" customWidth="1"/>
    <col min="15115" max="15115" width="23" style="109" bestFit="1" customWidth="1"/>
    <col min="15116" max="15364" width="11.453125" style="109"/>
    <col min="15365" max="15365" width="33.81640625" style="109" bestFit="1" customWidth="1"/>
    <col min="15366" max="15368" width="17" style="109" bestFit="1" customWidth="1"/>
    <col min="15369" max="15369" width="17" style="109" customWidth="1"/>
    <col min="15370" max="15370" width="19.7265625" style="109" bestFit="1" customWidth="1"/>
    <col min="15371" max="15371" width="23" style="109" bestFit="1" customWidth="1"/>
    <col min="15372" max="15620" width="11.453125" style="109"/>
    <col min="15621" max="15621" width="33.81640625" style="109" bestFit="1" customWidth="1"/>
    <col min="15622" max="15624" width="17" style="109" bestFit="1" customWidth="1"/>
    <col min="15625" max="15625" width="17" style="109" customWidth="1"/>
    <col min="15626" max="15626" width="19.7265625" style="109" bestFit="1" customWidth="1"/>
    <col min="15627" max="15627" width="23" style="109" bestFit="1" customWidth="1"/>
    <col min="15628" max="15876" width="11.453125" style="109"/>
    <col min="15877" max="15877" width="33.81640625" style="109" bestFit="1" customWidth="1"/>
    <col min="15878" max="15880" width="17" style="109" bestFit="1" customWidth="1"/>
    <col min="15881" max="15881" width="17" style="109" customWidth="1"/>
    <col min="15882" max="15882" width="19.7265625" style="109" bestFit="1" customWidth="1"/>
    <col min="15883" max="15883" width="23" style="109" bestFit="1" customWidth="1"/>
    <col min="15884" max="16132" width="11.453125" style="109"/>
    <col min="16133" max="16133" width="33.81640625" style="109" bestFit="1" customWidth="1"/>
    <col min="16134" max="16136" width="17" style="109" bestFit="1" customWidth="1"/>
    <col min="16137" max="16137" width="17" style="109" customWidth="1"/>
    <col min="16138" max="16138" width="19.7265625" style="109" bestFit="1" customWidth="1"/>
    <col min="16139" max="16139" width="23" style="109" bestFit="1" customWidth="1"/>
    <col min="16140" max="16384" width="11.453125" style="109"/>
  </cols>
  <sheetData>
    <row r="5" spans="1:20" x14ac:dyDescent="0.35">
      <c r="A5" s="108" t="s">
        <v>15</v>
      </c>
      <c r="B5" s="108"/>
    </row>
    <row r="6" spans="1:20" x14ac:dyDescent="0.35">
      <c r="A6" s="108" t="s">
        <v>76</v>
      </c>
    </row>
    <row r="8" spans="1:20" x14ac:dyDescent="0.35">
      <c r="C8" s="167" t="s">
        <v>56</v>
      </c>
      <c r="D8" s="167"/>
      <c r="E8" s="167"/>
      <c r="F8" s="167"/>
      <c r="H8" s="167" t="s">
        <v>55</v>
      </c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6"/>
    </row>
    <row r="9" spans="1:20" ht="30" x14ac:dyDescent="0.35">
      <c r="B9" s="110"/>
      <c r="C9" s="111">
        <v>2011</v>
      </c>
      <c r="D9" s="111">
        <v>2012</v>
      </c>
      <c r="E9" s="111">
        <v>2013</v>
      </c>
      <c r="F9" s="111">
        <v>2014</v>
      </c>
      <c r="H9" s="111">
        <v>2014</v>
      </c>
      <c r="I9" s="111">
        <v>2015</v>
      </c>
      <c r="J9" s="112" t="s">
        <v>53</v>
      </c>
      <c r="K9" s="113" t="s">
        <v>75</v>
      </c>
      <c r="L9" s="113" t="s">
        <v>91</v>
      </c>
      <c r="M9" s="113" t="s">
        <v>93</v>
      </c>
      <c r="N9" s="113" t="s">
        <v>98</v>
      </c>
      <c r="O9" s="113" t="s">
        <v>101</v>
      </c>
      <c r="P9" s="113" t="s">
        <v>102</v>
      </c>
      <c r="Q9" s="113" t="s">
        <v>104</v>
      </c>
      <c r="R9" s="113" t="s">
        <v>107</v>
      </c>
      <c r="S9" s="113" t="s">
        <v>117</v>
      </c>
      <c r="T9" s="113" t="s">
        <v>119</v>
      </c>
    </row>
    <row r="10" spans="1:20" x14ac:dyDescent="0.35">
      <c r="B10" s="114" t="s">
        <v>74</v>
      </c>
      <c r="C10" s="115">
        <f>212/4</f>
        <v>53</v>
      </c>
      <c r="D10" s="115">
        <v>57.5</v>
      </c>
      <c r="E10" s="115">
        <v>62</v>
      </c>
      <c r="F10" s="115">
        <v>67</v>
      </c>
      <c r="G10" s="116"/>
      <c r="H10" s="115">
        <v>67</v>
      </c>
      <c r="I10" s="117">
        <v>71.75</v>
      </c>
      <c r="J10" s="117">
        <v>71.75</v>
      </c>
      <c r="K10" s="117">
        <v>77.5</v>
      </c>
      <c r="L10" s="117">
        <v>82</v>
      </c>
      <c r="M10" s="118">
        <f>350/4</f>
        <v>87.5</v>
      </c>
      <c r="N10" s="118">
        <f>376/4</f>
        <v>94</v>
      </c>
      <c r="O10" s="118">
        <v>95.5</v>
      </c>
      <c r="P10" s="118">
        <f>500/4</f>
        <v>125</v>
      </c>
      <c r="Q10" s="118">
        <v>143.75</v>
      </c>
      <c r="R10" s="118">
        <v>159</v>
      </c>
      <c r="S10" s="118">
        <v>172</v>
      </c>
      <c r="T10" s="118"/>
    </row>
    <row r="11" spans="1:20" s="133" customFormat="1" x14ac:dyDescent="0.35">
      <c r="B11" s="130" t="s">
        <v>69</v>
      </c>
      <c r="C11" s="131"/>
      <c r="D11" s="131">
        <f>D10/C10-1</f>
        <v>8.4905660377358583E-2</v>
      </c>
      <c r="E11" s="131">
        <f>E10/D10-1</f>
        <v>7.8260869565217384E-2</v>
      </c>
      <c r="F11" s="131">
        <f>F10/E10-1</f>
        <v>8.0645161290322509E-2</v>
      </c>
      <c r="G11" s="132"/>
      <c r="H11" s="131"/>
      <c r="I11" s="131">
        <f>I10/H10-1</f>
        <v>7.0895522388059629E-2</v>
      </c>
      <c r="J11" s="131">
        <f>J10/H10-1</f>
        <v>7.0895522388059629E-2</v>
      </c>
      <c r="K11" s="131">
        <f>K10/I10-1</f>
        <v>8.0139372822299659E-2</v>
      </c>
      <c r="L11" s="131">
        <f t="shared" ref="L11:R11" si="0">L10/K10-1</f>
        <v>5.8064516129032295E-2</v>
      </c>
      <c r="M11" s="131">
        <f t="shared" si="0"/>
        <v>6.7073170731707377E-2</v>
      </c>
      <c r="N11" s="131">
        <f t="shared" si="0"/>
        <v>7.4285714285714288E-2</v>
      </c>
      <c r="O11" s="131">
        <f t="shared" si="0"/>
        <v>1.5957446808510634E-2</v>
      </c>
      <c r="P11" s="131">
        <f t="shared" si="0"/>
        <v>0.30890052356020936</v>
      </c>
      <c r="Q11" s="131">
        <f t="shared" si="0"/>
        <v>0.14999999999999991</v>
      </c>
      <c r="R11" s="131">
        <f t="shared" si="0"/>
        <v>0.10608695652173905</v>
      </c>
      <c r="S11" s="131">
        <f>S10/R10-1</f>
        <v>8.1761006289308158E-2</v>
      </c>
      <c r="T11" s="131"/>
    </row>
    <row r="12" spans="1:20" s="133" customFormat="1" x14ac:dyDescent="0.35">
      <c r="B12" s="130" t="s">
        <v>73</v>
      </c>
      <c r="C12" s="131"/>
      <c r="D12" s="131">
        <v>2.4400000000000002E-2</v>
      </c>
      <c r="E12" s="131">
        <v>1.9400000000000001E-2</v>
      </c>
      <c r="F12" s="131">
        <v>3.6600000000000001E-2</v>
      </c>
      <c r="G12" s="132"/>
      <c r="H12" s="131">
        <v>3.6600000000000001E-2</v>
      </c>
      <c r="I12" s="131">
        <v>6.7699999999999996E-2</v>
      </c>
      <c r="J12" s="131">
        <v>6.7699999999999996E-2</v>
      </c>
      <c r="K12" s="131">
        <v>5.7500000000000002E-2</v>
      </c>
      <c r="L12" s="131">
        <v>4.0899999999999999E-2</v>
      </c>
      <c r="M12" s="134">
        <v>3.1800000000000002E-2</v>
      </c>
      <c r="N12" s="134">
        <v>3.7999999999999999E-2</v>
      </c>
      <c r="O12" s="134">
        <v>1.61E-2</v>
      </c>
      <c r="P12" s="134">
        <v>5.62E-2</v>
      </c>
      <c r="Q12" s="134">
        <v>0.13120000000000001</v>
      </c>
      <c r="R12" s="134">
        <v>9.2799999999999994E-2</v>
      </c>
      <c r="S12" s="134">
        <v>5.1999999999999998E-2</v>
      </c>
      <c r="T12" s="134"/>
    </row>
    <row r="13" spans="1:20" s="133" customFormat="1" x14ac:dyDescent="0.35">
      <c r="B13" s="130" t="s">
        <v>72</v>
      </c>
      <c r="C13" s="131"/>
      <c r="D13" s="131">
        <f>D11-D12</f>
        <v>6.0505660377358578E-2</v>
      </c>
      <c r="E13" s="131">
        <f>E11-E12</f>
        <v>5.8860869565217383E-2</v>
      </c>
      <c r="F13" s="131">
        <f>F11-F12</f>
        <v>4.4045161290322508E-2</v>
      </c>
      <c r="G13" s="132"/>
      <c r="H13" s="131"/>
      <c r="I13" s="131">
        <f t="shared" ref="I13:M13" si="1">I11-I12</f>
        <v>3.1955223880596323E-3</v>
      </c>
      <c r="J13" s="131">
        <f t="shared" si="1"/>
        <v>3.1955223880596323E-3</v>
      </c>
      <c r="K13" s="131">
        <f t="shared" si="1"/>
        <v>2.2639372822299657E-2</v>
      </c>
      <c r="L13" s="131">
        <f t="shared" si="1"/>
        <v>1.7164516129032296E-2</v>
      </c>
      <c r="M13" s="131">
        <f t="shared" si="1"/>
        <v>3.5273170731707375E-2</v>
      </c>
      <c r="N13" s="131">
        <f t="shared" ref="N13:R13" si="2">N11-N12</f>
        <v>3.6285714285714289E-2</v>
      </c>
      <c r="O13" s="131">
        <f t="shared" si="2"/>
        <v>-1.4255319148936615E-4</v>
      </c>
      <c r="P13" s="131">
        <f t="shared" si="2"/>
        <v>0.25270052356020933</v>
      </c>
      <c r="Q13" s="131">
        <f t="shared" si="2"/>
        <v>1.87999999999999E-2</v>
      </c>
      <c r="R13" s="131">
        <f t="shared" si="2"/>
        <v>1.3286956521739057E-2</v>
      </c>
      <c r="S13" s="131">
        <f>S11-S12</f>
        <v>2.976100628930816E-2</v>
      </c>
      <c r="T13" s="131"/>
    </row>
    <row r="14" spans="1:20" x14ac:dyDescent="0.35">
      <c r="B14" s="119"/>
      <c r="C14" s="120"/>
      <c r="D14" s="120"/>
      <c r="E14" s="120"/>
      <c r="F14" s="120"/>
      <c r="G14" s="116"/>
      <c r="H14" s="120"/>
      <c r="I14" s="120"/>
      <c r="J14" s="120"/>
      <c r="K14" s="120"/>
      <c r="L14" s="120"/>
      <c r="M14" s="116"/>
      <c r="N14" s="116"/>
      <c r="O14" s="116"/>
      <c r="P14" s="116"/>
      <c r="Q14" s="116"/>
      <c r="R14" s="116"/>
      <c r="S14" s="116"/>
      <c r="T14" s="116"/>
    </row>
    <row r="15" spans="1:20" ht="15.5" x14ac:dyDescent="0.35">
      <c r="B15" s="114" t="s">
        <v>71</v>
      </c>
      <c r="C15" s="69">
        <v>645400000</v>
      </c>
      <c r="D15" s="69">
        <v>785244384</v>
      </c>
      <c r="E15" s="69">
        <v>790933123</v>
      </c>
      <c r="F15" s="69">
        <v>793154437</v>
      </c>
      <c r="G15" s="121"/>
      <c r="H15" s="69">
        <v>793154437</v>
      </c>
      <c r="I15" s="69">
        <v>818452657</v>
      </c>
      <c r="J15" s="69">
        <v>818452657</v>
      </c>
      <c r="K15" s="69">
        <v>857227180</v>
      </c>
      <c r="L15" s="69">
        <v>857227180</v>
      </c>
      <c r="M15" s="69">
        <v>857227180</v>
      </c>
      <c r="N15" s="69">
        <v>857227180</v>
      </c>
      <c r="O15" s="69">
        <v>857227180</v>
      </c>
      <c r="P15" s="69">
        <v>869456283</v>
      </c>
      <c r="Q15" s="69">
        <v>869456284</v>
      </c>
      <c r="R15" s="69">
        <v>862532041</v>
      </c>
      <c r="S15" s="69">
        <v>839327545</v>
      </c>
      <c r="T15" s="69"/>
    </row>
    <row r="16" spans="1:20" ht="15.5" x14ac:dyDescent="0.35">
      <c r="B16" s="114" t="s">
        <v>70</v>
      </c>
      <c r="C16" s="122">
        <f>(C10*C15*4)/1000000</f>
        <v>136824.79999999999</v>
      </c>
      <c r="D16" s="122">
        <f>(D10*D15*4)/1000000</f>
        <v>180606.20832000001</v>
      </c>
      <c r="E16" s="122">
        <f>(E10*E15*4)/1000000</f>
        <v>196151.41450399999</v>
      </c>
      <c r="F16" s="122">
        <f>(F10*F15*4)/1000000</f>
        <v>212565.38911600001</v>
      </c>
      <c r="G16" s="116"/>
      <c r="H16" s="122">
        <f t="shared" ref="H16:M16" si="3">(H10*H15*4)/1000000</f>
        <v>212565.38911600001</v>
      </c>
      <c r="I16" s="122">
        <f t="shared" si="3"/>
        <v>234895.91255899999</v>
      </c>
      <c r="J16" s="122">
        <f t="shared" si="3"/>
        <v>234895.91255899999</v>
      </c>
      <c r="K16" s="122">
        <f t="shared" si="3"/>
        <v>265740.42580000003</v>
      </c>
      <c r="L16" s="122">
        <f t="shared" si="3"/>
        <v>281170.51504000003</v>
      </c>
      <c r="M16" s="122">
        <f t="shared" si="3"/>
        <v>300029.51299999998</v>
      </c>
      <c r="N16" s="122">
        <f t="shared" ref="N16:R16" si="4">(N10*N15*4)/1000000</f>
        <v>322317.41967999999</v>
      </c>
      <c r="O16" s="122">
        <f t="shared" si="4"/>
        <v>327460.78275999997</v>
      </c>
      <c r="P16" s="122">
        <f t="shared" si="4"/>
        <v>434728.14150000003</v>
      </c>
      <c r="Q16" s="122">
        <f t="shared" si="4"/>
        <v>499937.36330000003</v>
      </c>
      <c r="R16" s="122">
        <f t="shared" si="4"/>
        <v>548570.37807600002</v>
      </c>
      <c r="S16" s="122">
        <f>(S10*S15*4)/1000000</f>
        <v>577457.35095999995</v>
      </c>
      <c r="T16" s="122"/>
    </row>
    <row r="17" spans="2:20" s="133" customFormat="1" x14ac:dyDescent="0.35">
      <c r="B17" s="130" t="s">
        <v>69</v>
      </c>
      <c r="C17" s="131"/>
      <c r="D17" s="131">
        <f>D16/C16-1</f>
        <v>0.31998152615607722</v>
      </c>
      <c r="E17" s="131">
        <f>E16/D16-1</f>
        <v>8.6072379950842048E-2</v>
      </c>
      <c r="F17" s="131">
        <f>F16/E16-1</f>
        <v>8.368012361014765E-2</v>
      </c>
      <c r="G17" s="132"/>
      <c r="H17" s="131">
        <f>H16/E16-1</f>
        <v>8.368012361014765E-2</v>
      </c>
      <c r="I17" s="131">
        <f>I16/H16-1</f>
        <v>0.10505249013428952</v>
      </c>
      <c r="J17" s="131">
        <f>J16/H16-1</f>
        <v>0.10505249013428952</v>
      </c>
      <c r="K17" s="131">
        <f>K16/I16-1</f>
        <v>0.13131140897674265</v>
      </c>
      <c r="L17" s="131">
        <f t="shared" ref="L17:P17" si="5">L16/K16-1</f>
        <v>5.8064516129032295E-2</v>
      </c>
      <c r="M17" s="131">
        <f t="shared" si="5"/>
        <v>6.7073170731707155E-2</v>
      </c>
      <c r="N17" s="131">
        <f t="shared" si="5"/>
        <v>7.4285714285714288E-2</v>
      </c>
      <c r="O17" s="131">
        <f t="shared" si="5"/>
        <v>1.5957446808510634E-2</v>
      </c>
      <c r="P17" s="131">
        <f t="shared" si="5"/>
        <v>0.32757314581580776</v>
      </c>
      <c r="Q17" s="131">
        <f>Q16/P16-1</f>
        <v>0.15000000132266567</v>
      </c>
      <c r="R17" s="131">
        <f>R16/Q16-1</f>
        <v>9.7278215924854861E-2</v>
      </c>
      <c r="S17" s="131">
        <f>S16/R16-1</f>
        <v>5.2658645159286976E-2</v>
      </c>
      <c r="T17" s="131"/>
    </row>
    <row r="18" spans="2:20" x14ac:dyDescent="0.35">
      <c r="B18" s="119"/>
      <c r="C18" s="120"/>
      <c r="D18" s="120"/>
      <c r="E18" s="120"/>
      <c r="F18" s="120"/>
      <c r="G18" s="116"/>
      <c r="H18" s="120"/>
      <c r="I18" s="120"/>
      <c r="J18" s="120"/>
      <c r="K18" s="120"/>
      <c r="L18" s="120"/>
      <c r="M18" s="116"/>
      <c r="N18" s="116"/>
      <c r="O18" s="116"/>
      <c r="P18" s="116"/>
      <c r="Q18" s="116"/>
      <c r="R18" s="116"/>
      <c r="S18" s="116"/>
      <c r="T18" s="116"/>
    </row>
    <row r="19" spans="2:20" ht="15.5" x14ac:dyDescent="0.35">
      <c r="B19" s="114" t="s">
        <v>68</v>
      </c>
      <c r="C19" s="122"/>
      <c r="D19" s="122">
        <v>21000</v>
      </c>
      <c r="E19" s="122">
        <v>19440</v>
      </c>
      <c r="F19" s="122">
        <v>20500</v>
      </c>
      <c r="G19" s="116"/>
      <c r="H19" s="122">
        <v>20500</v>
      </c>
      <c r="I19" s="122">
        <v>16200</v>
      </c>
      <c r="J19" s="122">
        <v>16200</v>
      </c>
      <c r="K19" s="122">
        <v>19280</v>
      </c>
      <c r="L19" s="122">
        <v>20880</v>
      </c>
      <c r="M19" s="123">
        <v>16900</v>
      </c>
      <c r="N19" s="123">
        <f>+'EV-Ebitda'!L11</f>
        <v>17800</v>
      </c>
      <c r="O19" s="123">
        <f>+'EV-Ebitda'!M11</f>
        <v>13900</v>
      </c>
      <c r="P19" s="123">
        <v>13550</v>
      </c>
      <c r="Q19" s="123">
        <v>9490</v>
      </c>
      <c r="R19" s="123">
        <v>12420</v>
      </c>
      <c r="S19" s="123">
        <v>20600</v>
      </c>
      <c r="T19" s="123"/>
    </row>
    <row r="20" spans="2:20" s="133" customFormat="1" x14ac:dyDescent="0.35">
      <c r="B20" s="131" t="s">
        <v>67</v>
      </c>
      <c r="C20" s="131"/>
      <c r="D20" s="131">
        <f>D10*4/D19</f>
        <v>1.0952380952380953E-2</v>
      </c>
      <c r="E20" s="131">
        <f>E10*4/E19</f>
        <v>1.2757201646090535E-2</v>
      </c>
      <c r="F20" s="131">
        <f>F10*4/F19</f>
        <v>1.3073170731707317E-2</v>
      </c>
      <c r="G20" s="132"/>
      <c r="H20" s="131">
        <f t="shared" ref="H20:M20" si="6">H10*4/H19</f>
        <v>1.3073170731707317E-2</v>
      </c>
      <c r="I20" s="131">
        <f t="shared" si="6"/>
        <v>1.7716049382716051E-2</v>
      </c>
      <c r="J20" s="131">
        <f t="shared" si="6"/>
        <v>1.7716049382716051E-2</v>
      </c>
      <c r="K20" s="131">
        <f t="shared" si="6"/>
        <v>1.6078838174273857E-2</v>
      </c>
      <c r="L20" s="131">
        <f t="shared" si="6"/>
        <v>1.5708812260536397E-2</v>
      </c>
      <c r="M20" s="131">
        <f t="shared" si="6"/>
        <v>2.0710059171597635E-2</v>
      </c>
      <c r="N20" s="131">
        <f t="shared" ref="N20" si="7">N10*4/N19</f>
        <v>2.1123595505617977E-2</v>
      </c>
      <c r="O20" s="131">
        <f>O10*4/O19</f>
        <v>2.7482014388489209E-2</v>
      </c>
      <c r="P20" s="131">
        <f>P10*4/P19</f>
        <v>3.6900369003690037E-2</v>
      </c>
      <c r="Q20" s="131">
        <f>Q10*4/Q19</f>
        <v>6.0590094836670182E-2</v>
      </c>
      <c r="R20" s="131">
        <f>R10*4/R19</f>
        <v>5.1207729468599035E-2</v>
      </c>
      <c r="S20" s="131">
        <f>S10*4/S19</f>
        <v>3.3398058252427185E-2</v>
      </c>
      <c r="T20" s="131"/>
    </row>
    <row r="21" spans="2:20" ht="15.5" x14ac:dyDescent="0.35">
      <c r="B21" s="114" t="s">
        <v>106</v>
      </c>
      <c r="C21" s="122"/>
      <c r="D21" s="122">
        <v>21320</v>
      </c>
      <c r="E21" s="122">
        <v>19500</v>
      </c>
      <c r="F21" s="122">
        <v>20000</v>
      </c>
      <c r="G21" s="116"/>
      <c r="H21" s="122">
        <v>20000</v>
      </c>
      <c r="I21" s="122">
        <v>15280</v>
      </c>
      <c r="J21" s="122">
        <v>15280</v>
      </c>
      <c r="K21" s="122">
        <v>18140</v>
      </c>
      <c r="L21" s="122">
        <v>19180</v>
      </c>
      <c r="M21" s="123">
        <v>14500</v>
      </c>
      <c r="N21" s="123">
        <f>+'EV-Ebitda'!L15</f>
        <v>13500</v>
      </c>
      <c r="O21" s="123">
        <f>+'EV-Ebitda'!M15</f>
        <v>10500</v>
      </c>
      <c r="P21" s="123">
        <v>9300</v>
      </c>
      <c r="Q21" s="123">
        <v>6350</v>
      </c>
      <c r="R21" s="123">
        <v>8460</v>
      </c>
      <c r="S21" s="123">
        <v>15440</v>
      </c>
      <c r="T21" s="123"/>
    </row>
    <row r="22" spans="2:20" s="133" customFormat="1" x14ac:dyDescent="0.35">
      <c r="B22" s="131" t="s">
        <v>66</v>
      </c>
      <c r="C22" s="131"/>
      <c r="D22" s="131">
        <f>D10*4/D21</f>
        <v>1.0787992495309569E-2</v>
      </c>
      <c r="E22" s="131">
        <f>E10*4/E21</f>
        <v>1.2717948717948718E-2</v>
      </c>
      <c r="F22" s="131">
        <f>F10*4/F21</f>
        <v>1.34E-2</v>
      </c>
      <c r="G22" s="132"/>
      <c r="H22" s="131">
        <f t="shared" ref="H22:M22" si="8">H10*4/H21</f>
        <v>1.34E-2</v>
      </c>
      <c r="I22" s="131">
        <f t="shared" si="8"/>
        <v>1.8782722513089004E-2</v>
      </c>
      <c r="J22" s="131">
        <f t="shared" si="8"/>
        <v>1.8782722513089004E-2</v>
      </c>
      <c r="K22" s="131">
        <f t="shared" si="8"/>
        <v>1.7089305402425578E-2</v>
      </c>
      <c r="L22" s="131">
        <f t="shared" si="8"/>
        <v>1.7101147028154327E-2</v>
      </c>
      <c r="M22" s="131">
        <f t="shared" si="8"/>
        <v>2.4137931034482758E-2</v>
      </c>
      <c r="N22" s="131">
        <f t="shared" ref="N22" si="9">N10*4/N21</f>
        <v>2.7851851851851853E-2</v>
      </c>
      <c r="O22" s="131">
        <f>O10*4/O21</f>
        <v>3.6380952380952382E-2</v>
      </c>
      <c r="P22" s="131">
        <f>P10*4/P21</f>
        <v>5.3763440860215055E-2</v>
      </c>
      <c r="Q22" s="131">
        <f>Q10*4/Q21</f>
        <v>9.055118110236221E-2</v>
      </c>
      <c r="R22" s="131">
        <f>R10*4/R21</f>
        <v>7.5177304964539005E-2</v>
      </c>
      <c r="S22" s="131">
        <f>S10*4/S21</f>
        <v>4.4559585492227979E-2</v>
      </c>
      <c r="T22" s="131"/>
    </row>
    <row r="23" spans="2:20" x14ac:dyDescent="0.35">
      <c r="B23" s="119"/>
      <c r="C23" s="124"/>
      <c r="D23" s="124"/>
      <c r="E23" s="124"/>
      <c r="F23" s="124"/>
      <c r="G23" s="116"/>
      <c r="H23" s="124"/>
      <c r="I23" s="120"/>
      <c r="J23" s="120"/>
      <c r="K23" s="120"/>
      <c r="L23" s="120"/>
      <c r="M23" s="116"/>
      <c r="N23" s="116"/>
      <c r="O23" s="116"/>
      <c r="P23" s="116"/>
      <c r="Q23" s="116"/>
      <c r="R23" s="116"/>
      <c r="S23" s="116"/>
      <c r="T23" s="116"/>
    </row>
    <row r="24" spans="2:20" s="127" customFormat="1" ht="15.5" x14ac:dyDescent="0.35">
      <c r="B24" s="114" t="s">
        <v>65</v>
      </c>
      <c r="C24" s="122">
        <v>153657</v>
      </c>
      <c r="D24" s="122">
        <v>343938</v>
      </c>
      <c r="E24" s="122">
        <v>294950</v>
      </c>
      <c r="F24" s="122">
        <v>380713</v>
      </c>
      <c r="G24" s="125"/>
      <c r="H24" s="122">
        <v>521133</v>
      </c>
      <c r="I24" s="122">
        <v>301000</v>
      </c>
      <c r="J24" s="122">
        <v>326830</v>
      </c>
      <c r="K24" s="122">
        <v>589466</v>
      </c>
      <c r="L24" s="122">
        <v>610659</v>
      </c>
      <c r="M24" s="126">
        <v>671327</v>
      </c>
      <c r="N24" s="126">
        <v>689565</v>
      </c>
      <c r="O24" s="126">
        <v>-100012.55556780123</v>
      </c>
      <c r="P24" s="126">
        <v>589799</v>
      </c>
      <c r="Q24" s="126">
        <v>881424</v>
      </c>
      <c r="R24" s="126">
        <v>915503</v>
      </c>
      <c r="S24" s="126">
        <v>4544418</v>
      </c>
      <c r="T24" s="126"/>
    </row>
    <row r="25" spans="2:20" s="136" customFormat="1" x14ac:dyDescent="0.35">
      <c r="B25" s="130" t="s">
        <v>64</v>
      </c>
      <c r="C25" s="130"/>
      <c r="D25" s="130">
        <f>D24/C24-1</f>
        <v>1.2383490501571681</v>
      </c>
      <c r="E25" s="130">
        <f>E24/D24-1</f>
        <v>-0.1424326477446517</v>
      </c>
      <c r="F25" s="130">
        <f>F24/E24-1</f>
        <v>0.29077131717240201</v>
      </c>
      <c r="G25" s="135"/>
      <c r="H25" s="130"/>
      <c r="I25" s="131">
        <f t="shared" ref="I25:O25" si="10">(I24-H24)/ABS(H24)</f>
        <v>-0.42241232084707742</v>
      </c>
      <c r="J25" s="131">
        <f t="shared" si="10"/>
        <v>8.5813953488372091E-2</v>
      </c>
      <c r="K25" s="131">
        <f t="shared" si="10"/>
        <v>0.80358596212098032</v>
      </c>
      <c r="L25" s="131">
        <f t="shared" si="10"/>
        <v>3.5952879385749134E-2</v>
      </c>
      <c r="M25" s="131">
        <f t="shared" si="10"/>
        <v>9.9348408850111106E-2</v>
      </c>
      <c r="N25" s="131">
        <f t="shared" si="10"/>
        <v>2.7167088468064E-2</v>
      </c>
      <c r="O25" s="131">
        <f t="shared" si="10"/>
        <v>-1.1450371691831824</v>
      </c>
      <c r="P25" s="131">
        <f>(P24-O24)/ABS(O24)</f>
        <v>6.8972495668322287</v>
      </c>
      <c r="Q25" s="131">
        <f>(Q24-P24)/ABS(P24)</f>
        <v>0.49444810859292743</v>
      </c>
      <c r="R25" s="131">
        <f>(R24-Q24)/ABS(Q24)</f>
        <v>3.8663571674926026E-2</v>
      </c>
      <c r="S25" s="131">
        <f>(S24-R24)/ABS(R24)</f>
        <v>3.9638482888641544</v>
      </c>
      <c r="T25" s="131"/>
    </row>
    <row r="26" spans="2:20" s="136" customFormat="1" x14ac:dyDescent="0.35">
      <c r="B26" s="130" t="s">
        <v>61</v>
      </c>
      <c r="C26" s="130"/>
      <c r="D26" s="130">
        <f>D16/D24</f>
        <v>0.52511268984526283</v>
      </c>
      <c r="E26" s="130">
        <f>E16/E24</f>
        <v>0.66503276658416677</v>
      </c>
      <c r="F26" s="130">
        <f>F16/F24</f>
        <v>0.55833499017895372</v>
      </c>
      <c r="G26" s="135"/>
      <c r="H26" s="130">
        <f t="shared" ref="H26:K26" si="11">H16/H24</f>
        <v>0.40789086301577526</v>
      </c>
      <c r="I26" s="131">
        <f t="shared" si="11"/>
        <v>0.78038509155813951</v>
      </c>
      <c r="J26" s="131">
        <f t="shared" si="11"/>
        <v>0.7187097651959734</v>
      </c>
      <c r="K26" s="131">
        <f t="shared" si="11"/>
        <v>0.45081552761312788</v>
      </c>
      <c r="L26" s="137">
        <f t="shared" ref="L26:M26" si="12">+ABS(L16)/ABS(L24)</f>
        <v>0.4604378467196914</v>
      </c>
      <c r="M26" s="137">
        <f t="shared" si="12"/>
        <v>0.44692007471768597</v>
      </c>
      <c r="N26" s="137">
        <f t="shared" ref="N26:R26" si="13">+ABS(N16)/ABS(N24)</f>
        <v>0.46742137388063487</v>
      </c>
      <c r="O26" s="137">
        <f t="shared" si="13"/>
        <v>3.2741967336091657</v>
      </c>
      <c r="P26" s="137">
        <f t="shared" si="13"/>
        <v>0.73707846486684447</v>
      </c>
      <c r="Q26" s="137">
        <f t="shared" si="13"/>
        <v>0.56719281900651675</v>
      </c>
      <c r="R26" s="137">
        <f t="shared" si="13"/>
        <v>0.59920107096972919</v>
      </c>
      <c r="S26" s="137">
        <f>+ABS(S16)/ABS(S24)</f>
        <v>0.12706959416145255</v>
      </c>
      <c r="T26" s="137"/>
    </row>
    <row r="27" spans="2:20" s="127" customFormat="1" x14ac:dyDescent="0.35">
      <c r="B27" s="128"/>
      <c r="C27" s="128"/>
      <c r="D27" s="128"/>
      <c r="E27" s="128"/>
      <c r="F27" s="128"/>
      <c r="G27" s="125"/>
      <c r="H27" s="128"/>
      <c r="I27" s="128"/>
      <c r="J27" s="128"/>
      <c r="K27" s="128"/>
      <c r="L27" s="128"/>
      <c r="M27" s="125"/>
      <c r="N27" s="125"/>
      <c r="O27" s="125"/>
      <c r="P27" s="125"/>
      <c r="Q27" s="125"/>
      <c r="R27" s="125"/>
      <c r="S27" s="125"/>
      <c r="T27" s="125"/>
    </row>
    <row r="28" spans="2:20" s="127" customFormat="1" x14ac:dyDescent="0.35">
      <c r="B28" s="114" t="s">
        <v>63</v>
      </c>
      <c r="C28" s="122">
        <v>153657</v>
      </c>
      <c r="D28" s="122">
        <v>343938</v>
      </c>
      <c r="E28" s="122">
        <v>294950</v>
      </c>
      <c r="F28" s="122">
        <v>389758</v>
      </c>
      <c r="G28" s="125"/>
      <c r="H28" s="122">
        <v>201042</v>
      </c>
      <c r="I28" s="122">
        <v>371801</v>
      </c>
      <c r="J28" s="122">
        <v>395462</v>
      </c>
      <c r="K28" s="122">
        <v>351820</v>
      </c>
      <c r="L28" s="122">
        <v>452841</v>
      </c>
      <c r="M28" s="123">
        <v>811676</v>
      </c>
      <c r="N28" s="123">
        <v>482739</v>
      </c>
      <c r="O28" s="123">
        <v>-59123</v>
      </c>
      <c r="P28" s="123">
        <v>336205</v>
      </c>
      <c r="Q28" s="123">
        <v>345789</v>
      </c>
      <c r="R28" s="123">
        <v>789341</v>
      </c>
      <c r="S28" s="123">
        <v>2531987</v>
      </c>
      <c r="T28" s="123"/>
    </row>
    <row r="29" spans="2:20" s="136" customFormat="1" x14ac:dyDescent="0.35">
      <c r="B29" s="130" t="s">
        <v>62</v>
      </c>
      <c r="C29" s="130"/>
      <c r="D29" s="130">
        <f>D28/C28-1</f>
        <v>1.2383490501571681</v>
      </c>
      <c r="E29" s="130">
        <f>E28/D28-1</f>
        <v>-0.1424326477446517</v>
      </c>
      <c r="F29" s="130">
        <f>F28/E28-1</f>
        <v>0.32143753178504841</v>
      </c>
      <c r="G29" s="135"/>
      <c r="H29" s="130"/>
      <c r="I29" s="131">
        <f t="shared" ref="I29:O29" si="14">(I28-H28)/ABS(H28)</f>
        <v>0.84936978342833835</v>
      </c>
      <c r="J29" s="131">
        <f t="shared" si="14"/>
        <v>6.3638882090150381E-2</v>
      </c>
      <c r="K29" s="131">
        <f t="shared" si="14"/>
        <v>-0.11035700016689341</v>
      </c>
      <c r="L29" s="131">
        <f t="shared" si="14"/>
        <v>0.28713830936274232</v>
      </c>
      <c r="M29" s="131">
        <f t="shared" si="14"/>
        <v>0.79240837291676325</v>
      </c>
      <c r="N29" s="131">
        <f t="shared" si="14"/>
        <v>-0.40525653093106118</v>
      </c>
      <c r="O29" s="131">
        <f t="shared" si="14"/>
        <v>-1.1224740491238536</v>
      </c>
      <c r="P29" s="131">
        <f>(P28-O28)/ABS(O28)</f>
        <v>6.6865348510731861</v>
      </c>
      <c r="Q29" s="131">
        <f>(Q28-P28)/ABS(P28)</f>
        <v>2.8506417215686856E-2</v>
      </c>
      <c r="R29" s="131">
        <f>(R28-Q28)/ABS(Q28)</f>
        <v>1.2827244359999885</v>
      </c>
      <c r="S29" s="131">
        <f>(S28-R28)/ABS(R28)</f>
        <v>2.2077226445858003</v>
      </c>
      <c r="T29" s="131"/>
    </row>
    <row r="30" spans="2:20" s="136" customFormat="1" x14ac:dyDescent="0.35">
      <c r="B30" s="130" t="s">
        <v>61</v>
      </c>
      <c r="C30" s="130"/>
      <c r="D30" s="130">
        <f>D16/D28</f>
        <v>0.52511268984526283</v>
      </c>
      <c r="E30" s="130">
        <f>E16/E28</f>
        <v>0.66503276658416677</v>
      </c>
      <c r="F30" s="130">
        <f>F16/F28</f>
        <v>0.54537787323416065</v>
      </c>
      <c r="G30" s="135"/>
      <c r="H30" s="130">
        <f t="shared" ref="H30:L30" si="15">H16/H28</f>
        <v>1.0573183171476608</v>
      </c>
      <c r="I30" s="131">
        <f t="shared" si="15"/>
        <v>0.63177859273912651</v>
      </c>
      <c r="J30" s="131">
        <f t="shared" si="15"/>
        <v>0.59397846710682689</v>
      </c>
      <c r="K30" s="131">
        <f t="shared" si="15"/>
        <v>0.75533064010005124</v>
      </c>
      <c r="L30" s="131">
        <f t="shared" si="15"/>
        <v>0.62090339664473848</v>
      </c>
      <c r="M30" s="137">
        <f t="shared" ref="M30:R30" si="16">+ABS(M16)/ABS(M28)</f>
        <v>0.36964196674535155</v>
      </c>
      <c r="N30" s="137">
        <f t="shared" si="16"/>
        <v>0.66768464880608358</v>
      </c>
      <c r="O30" s="137">
        <f t="shared" si="16"/>
        <v>5.538636110481538</v>
      </c>
      <c r="P30" s="137">
        <f t="shared" si="16"/>
        <v>1.2930448431760384</v>
      </c>
      <c r="Q30" s="137">
        <f t="shared" si="16"/>
        <v>1.4457873538487345</v>
      </c>
      <c r="R30" s="137">
        <f t="shared" si="16"/>
        <v>0.69497261396025289</v>
      </c>
      <c r="S30" s="137">
        <f t="shared" ref="S30" si="17">+ABS(S16)/ABS(S28)</f>
        <v>0.22806489565704718</v>
      </c>
      <c r="T30" s="137"/>
    </row>
    <row r="32" spans="2:20" x14ac:dyDescent="0.35">
      <c r="B32" s="129" t="s">
        <v>60</v>
      </c>
    </row>
    <row r="33" spans="2:2" ht="17.5" x14ac:dyDescent="0.35">
      <c r="B33" s="129" t="s">
        <v>103</v>
      </c>
    </row>
    <row r="34" spans="2:2" ht="17.5" x14ac:dyDescent="0.35">
      <c r="B34" s="129" t="s">
        <v>59</v>
      </c>
    </row>
    <row r="35" spans="2:2" ht="17.5" x14ac:dyDescent="0.35">
      <c r="B35" s="129" t="s">
        <v>58</v>
      </c>
    </row>
    <row r="36" spans="2:2" ht="17.5" x14ac:dyDescent="0.35">
      <c r="B36" s="129" t="s">
        <v>57</v>
      </c>
    </row>
    <row r="37" spans="2:2" x14ac:dyDescent="0.35">
      <c r="B37" s="129"/>
    </row>
  </sheetData>
  <mergeCells count="2">
    <mergeCell ref="C8:F8"/>
    <mergeCell ref="H8:S8"/>
  </mergeCells>
  <phoneticPr fontId="27" type="noConversion"/>
  <pageMargins left="0.7" right="0.7" top="0.75" bottom="0.75" header="0.3" footer="0.3"/>
  <pageSetup orientation="portrait" verticalDpi="597" r:id="rId1"/>
  <ignoredErrors>
    <ignoredError sqref="K9:L9 M9:O9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3E96-A134-434D-AAAB-DA9F039D346E}">
  <dimension ref="A5:Q51"/>
  <sheetViews>
    <sheetView showGridLines="0" zoomScaleNormal="100" workbookViewId="0">
      <pane xSplit="2" ySplit="8" topLeftCell="N11" activePane="bottomRight" state="frozen"/>
      <selection pane="topRight" activeCell="C1" sqref="C1"/>
      <selection pane="bottomLeft" activeCell="A9" sqref="A9"/>
      <selection pane="bottomRight" activeCell="P3" sqref="P3"/>
    </sheetView>
  </sheetViews>
  <sheetFormatPr baseColWidth="10" defaultRowHeight="15" x14ac:dyDescent="0.4"/>
  <cols>
    <col min="1" max="1" width="3" style="1" customWidth="1"/>
    <col min="2" max="2" width="40.7265625" style="1" customWidth="1"/>
    <col min="3" max="3" width="17.1796875" style="1" bestFit="1" customWidth="1"/>
    <col min="4" max="4" width="19.26953125" style="1" bestFit="1" customWidth="1"/>
    <col min="5" max="5" width="3.81640625" style="1" customWidth="1"/>
    <col min="6" max="9" width="15.7265625" style="1" customWidth="1"/>
    <col min="10" max="10" width="16.54296875" style="1" customWidth="1"/>
    <col min="11" max="11" width="16.7265625" style="1" customWidth="1"/>
    <col min="12" max="14" width="16.453125" style="1" customWidth="1"/>
    <col min="15" max="15" width="16" style="1" customWidth="1"/>
    <col min="16" max="17" width="21.7265625" style="1" bestFit="1" customWidth="1"/>
    <col min="18" max="253" width="10.90625" style="1"/>
    <col min="254" max="254" width="3" style="1" customWidth="1"/>
    <col min="255" max="255" width="47" style="1" customWidth="1"/>
    <col min="256" max="257" width="0" style="1" hidden="1" customWidth="1"/>
    <col min="258" max="258" width="17.1796875" style="1" bestFit="1" customWidth="1"/>
    <col min="259" max="260" width="0" style="1" hidden="1" customWidth="1"/>
    <col min="261" max="261" width="19.26953125" style="1" bestFit="1" customWidth="1"/>
    <col min="262" max="263" width="0" style="1" hidden="1" customWidth="1"/>
    <col min="264" max="264" width="15.54296875" style="1" bestFit="1" customWidth="1"/>
    <col min="265" max="509" width="10.90625" style="1"/>
    <col min="510" max="510" width="3" style="1" customWidth="1"/>
    <col min="511" max="511" width="47" style="1" customWidth="1"/>
    <col min="512" max="513" width="0" style="1" hidden="1" customWidth="1"/>
    <col min="514" max="514" width="17.1796875" style="1" bestFit="1" customWidth="1"/>
    <col min="515" max="516" width="0" style="1" hidden="1" customWidth="1"/>
    <col min="517" max="517" width="19.26953125" style="1" bestFit="1" customWidth="1"/>
    <col min="518" max="519" width="0" style="1" hidden="1" customWidth="1"/>
    <col min="520" max="520" width="15.54296875" style="1" bestFit="1" customWidth="1"/>
    <col min="521" max="765" width="10.90625" style="1"/>
    <col min="766" max="766" width="3" style="1" customWidth="1"/>
    <col min="767" max="767" width="47" style="1" customWidth="1"/>
    <col min="768" max="769" width="0" style="1" hidden="1" customWidth="1"/>
    <col min="770" max="770" width="17.1796875" style="1" bestFit="1" customWidth="1"/>
    <col min="771" max="772" width="0" style="1" hidden="1" customWidth="1"/>
    <col min="773" max="773" width="19.26953125" style="1" bestFit="1" customWidth="1"/>
    <col min="774" max="775" width="0" style="1" hidden="1" customWidth="1"/>
    <col min="776" max="776" width="15.54296875" style="1" bestFit="1" customWidth="1"/>
    <col min="777" max="1021" width="10.90625" style="1"/>
    <col min="1022" max="1022" width="3" style="1" customWidth="1"/>
    <col min="1023" max="1023" width="47" style="1" customWidth="1"/>
    <col min="1024" max="1025" width="0" style="1" hidden="1" customWidth="1"/>
    <col min="1026" max="1026" width="17.1796875" style="1" bestFit="1" customWidth="1"/>
    <col min="1027" max="1028" width="0" style="1" hidden="1" customWidth="1"/>
    <col min="1029" max="1029" width="19.26953125" style="1" bestFit="1" customWidth="1"/>
    <col min="1030" max="1031" width="0" style="1" hidden="1" customWidth="1"/>
    <col min="1032" max="1032" width="15.54296875" style="1" bestFit="1" customWidth="1"/>
    <col min="1033" max="1277" width="10.90625" style="1"/>
    <col min="1278" max="1278" width="3" style="1" customWidth="1"/>
    <col min="1279" max="1279" width="47" style="1" customWidth="1"/>
    <col min="1280" max="1281" width="0" style="1" hidden="1" customWidth="1"/>
    <col min="1282" max="1282" width="17.1796875" style="1" bestFit="1" customWidth="1"/>
    <col min="1283" max="1284" width="0" style="1" hidden="1" customWidth="1"/>
    <col min="1285" max="1285" width="19.26953125" style="1" bestFit="1" customWidth="1"/>
    <col min="1286" max="1287" width="0" style="1" hidden="1" customWidth="1"/>
    <col min="1288" max="1288" width="15.54296875" style="1" bestFit="1" customWidth="1"/>
    <col min="1289" max="1533" width="10.90625" style="1"/>
    <col min="1534" max="1534" width="3" style="1" customWidth="1"/>
    <col min="1535" max="1535" width="47" style="1" customWidth="1"/>
    <col min="1536" max="1537" width="0" style="1" hidden="1" customWidth="1"/>
    <col min="1538" max="1538" width="17.1796875" style="1" bestFit="1" customWidth="1"/>
    <col min="1539" max="1540" width="0" style="1" hidden="1" customWidth="1"/>
    <col min="1541" max="1541" width="19.26953125" style="1" bestFit="1" customWidth="1"/>
    <col min="1542" max="1543" width="0" style="1" hidden="1" customWidth="1"/>
    <col min="1544" max="1544" width="15.54296875" style="1" bestFit="1" customWidth="1"/>
    <col min="1545" max="1789" width="10.90625" style="1"/>
    <col min="1790" max="1790" width="3" style="1" customWidth="1"/>
    <col min="1791" max="1791" width="47" style="1" customWidth="1"/>
    <col min="1792" max="1793" width="0" style="1" hidden="1" customWidth="1"/>
    <col min="1794" max="1794" width="17.1796875" style="1" bestFit="1" customWidth="1"/>
    <col min="1795" max="1796" width="0" style="1" hidden="1" customWidth="1"/>
    <col min="1797" max="1797" width="19.26953125" style="1" bestFit="1" customWidth="1"/>
    <col min="1798" max="1799" width="0" style="1" hidden="1" customWidth="1"/>
    <col min="1800" max="1800" width="15.54296875" style="1" bestFit="1" customWidth="1"/>
    <col min="1801" max="2045" width="10.90625" style="1"/>
    <col min="2046" max="2046" width="3" style="1" customWidth="1"/>
    <col min="2047" max="2047" width="47" style="1" customWidth="1"/>
    <col min="2048" max="2049" width="0" style="1" hidden="1" customWidth="1"/>
    <col min="2050" max="2050" width="17.1796875" style="1" bestFit="1" customWidth="1"/>
    <col min="2051" max="2052" width="0" style="1" hidden="1" customWidth="1"/>
    <col min="2053" max="2053" width="19.26953125" style="1" bestFit="1" customWidth="1"/>
    <col min="2054" max="2055" width="0" style="1" hidden="1" customWidth="1"/>
    <col min="2056" max="2056" width="15.54296875" style="1" bestFit="1" customWidth="1"/>
    <col min="2057" max="2301" width="10.90625" style="1"/>
    <col min="2302" max="2302" width="3" style="1" customWidth="1"/>
    <col min="2303" max="2303" width="47" style="1" customWidth="1"/>
    <col min="2304" max="2305" width="0" style="1" hidden="1" customWidth="1"/>
    <col min="2306" max="2306" width="17.1796875" style="1" bestFit="1" customWidth="1"/>
    <col min="2307" max="2308" width="0" style="1" hidden="1" customWidth="1"/>
    <col min="2309" max="2309" width="19.26953125" style="1" bestFit="1" customWidth="1"/>
    <col min="2310" max="2311" width="0" style="1" hidden="1" customWidth="1"/>
    <col min="2312" max="2312" width="15.54296875" style="1" bestFit="1" customWidth="1"/>
    <col min="2313" max="2557" width="10.90625" style="1"/>
    <col min="2558" max="2558" width="3" style="1" customWidth="1"/>
    <col min="2559" max="2559" width="47" style="1" customWidth="1"/>
    <col min="2560" max="2561" width="0" style="1" hidden="1" customWidth="1"/>
    <col min="2562" max="2562" width="17.1796875" style="1" bestFit="1" customWidth="1"/>
    <col min="2563" max="2564" width="0" style="1" hidden="1" customWidth="1"/>
    <col min="2565" max="2565" width="19.26953125" style="1" bestFit="1" customWidth="1"/>
    <col min="2566" max="2567" width="0" style="1" hidden="1" customWidth="1"/>
    <col min="2568" max="2568" width="15.54296875" style="1" bestFit="1" customWidth="1"/>
    <col min="2569" max="2813" width="10.90625" style="1"/>
    <col min="2814" max="2814" width="3" style="1" customWidth="1"/>
    <col min="2815" max="2815" width="47" style="1" customWidth="1"/>
    <col min="2816" max="2817" width="0" style="1" hidden="1" customWidth="1"/>
    <col min="2818" max="2818" width="17.1796875" style="1" bestFit="1" customWidth="1"/>
    <col min="2819" max="2820" width="0" style="1" hidden="1" customWidth="1"/>
    <col min="2821" max="2821" width="19.26953125" style="1" bestFit="1" customWidth="1"/>
    <col min="2822" max="2823" width="0" style="1" hidden="1" customWidth="1"/>
    <col min="2824" max="2824" width="15.54296875" style="1" bestFit="1" customWidth="1"/>
    <col min="2825" max="3069" width="10.90625" style="1"/>
    <col min="3070" max="3070" width="3" style="1" customWidth="1"/>
    <col min="3071" max="3071" width="47" style="1" customWidth="1"/>
    <col min="3072" max="3073" width="0" style="1" hidden="1" customWidth="1"/>
    <col min="3074" max="3074" width="17.1796875" style="1" bestFit="1" customWidth="1"/>
    <col min="3075" max="3076" width="0" style="1" hidden="1" customWidth="1"/>
    <col min="3077" max="3077" width="19.26953125" style="1" bestFit="1" customWidth="1"/>
    <col min="3078" max="3079" width="0" style="1" hidden="1" customWidth="1"/>
    <col min="3080" max="3080" width="15.54296875" style="1" bestFit="1" customWidth="1"/>
    <col min="3081" max="3325" width="10.90625" style="1"/>
    <col min="3326" max="3326" width="3" style="1" customWidth="1"/>
    <col min="3327" max="3327" width="47" style="1" customWidth="1"/>
    <col min="3328" max="3329" width="0" style="1" hidden="1" customWidth="1"/>
    <col min="3330" max="3330" width="17.1796875" style="1" bestFit="1" customWidth="1"/>
    <col min="3331" max="3332" width="0" style="1" hidden="1" customWidth="1"/>
    <col min="3333" max="3333" width="19.26953125" style="1" bestFit="1" customWidth="1"/>
    <col min="3334" max="3335" width="0" style="1" hidden="1" customWidth="1"/>
    <col min="3336" max="3336" width="15.54296875" style="1" bestFit="1" customWidth="1"/>
    <col min="3337" max="3581" width="10.90625" style="1"/>
    <col min="3582" max="3582" width="3" style="1" customWidth="1"/>
    <col min="3583" max="3583" width="47" style="1" customWidth="1"/>
    <col min="3584" max="3585" width="0" style="1" hidden="1" customWidth="1"/>
    <col min="3586" max="3586" width="17.1796875" style="1" bestFit="1" customWidth="1"/>
    <col min="3587" max="3588" width="0" style="1" hidden="1" customWidth="1"/>
    <col min="3589" max="3589" width="19.26953125" style="1" bestFit="1" customWidth="1"/>
    <col min="3590" max="3591" width="0" style="1" hidden="1" customWidth="1"/>
    <col min="3592" max="3592" width="15.54296875" style="1" bestFit="1" customWidth="1"/>
    <col min="3593" max="3837" width="10.90625" style="1"/>
    <col min="3838" max="3838" width="3" style="1" customWidth="1"/>
    <col min="3839" max="3839" width="47" style="1" customWidth="1"/>
    <col min="3840" max="3841" width="0" style="1" hidden="1" customWidth="1"/>
    <col min="3842" max="3842" width="17.1796875" style="1" bestFit="1" customWidth="1"/>
    <col min="3843" max="3844" width="0" style="1" hidden="1" customWidth="1"/>
    <col min="3845" max="3845" width="19.26953125" style="1" bestFit="1" customWidth="1"/>
    <col min="3846" max="3847" width="0" style="1" hidden="1" customWidth="1"/>
    <col min="3848" max="3848" width="15.54296875" style="1" bestFit="1" customWidth="1"/>
    <col min="3849" max="4093" width="10.90625" style="1"/>
    <col min="4094" max="4094" width="3" style="1" customWidth="1"/>
    <col min="4095" max="4095" width="47" style="1" customWidth="1"/>
    <col min="4096" max="4097" width="0" style="1" hidden="1" customWidth="1"/>
    <col min="4098" max="4098" width="17.1796875" style="1" bestFit="1" customWidth="1"/>
    <col min="4099" max="4100" width="0" style="1" hidden="1" customWidth="1"/>
    <col min="4101" max="4101" width="19.26953125" style="1" bestFit="1" customWidth="1"/>
    <col min="4102" max="4103" width="0" style="1" hidden="1" customWidth="1"/>
    <col min="4104" max="4104" width="15.54296875" style="1" bestFit="1" customWidth="1"/>
    <col min="4105" max="4349" width="10.90625" style="1"/>
    <col min="4350" max="4350" width="3" style="1" customWidth="1"/>
    <col min="4351" max="4351" width="47" style="1" customWidth="1"/>
    <col min="4352" max="4353" width="0" style="1" hidden="1" customWidth="1"/>
    <col min="4354" max="4354" width="17.1796875" style="1" bestFit="1" customWidth="1"/>
    <col min="4355" max="4356" width="0" style="1" hidden="1" customWidth="1"/>
    <col min="4357" max="4357" width="19.26953125" style="1" bestFit="1" customWidth="1"/>
    <col min="4358" max="4359" width="0" style="1" hidden="1" customWidth="1"/>
    <col min="4360" max="4360" width="15.54296875" style="1" bestFit="1" customWidth="1"/>
    <col min="4361" max="4605" width="10.90625" style="1"/>
    <col min="4606" max="4606" width="3" style="1" customWidth="1"/>
    <col min="4607" max="4607" width="47" style="1" customWidth="1"/>
    <col min="4608" max="4609" width="0" style="1" hidden="1" customWidth="1"/>
    <col min="4610" max="4610" width="17.1796875" style="1" bestFit="1" customWidth="1"/>
    <col min="4611" max="4612" width="0" style="1" hidden="1" customWidth="1"/>
    <col min="4613" max="4613" width="19.26953125" style="1" bestFit="1" customWidth="1"/>
    <col min="4614" max="4615" width="0" style="1" hidden="1" customWidth="1"/>
    <col min="4616" max="4616" width="15.54296875" style="1" bestFit="1" customWidth="1"/>
    <col min="4617" max="4861" width="10.90625" style="1"/>
    <col min="4862" max="4862" width="3" style="1" customWidth="1"/>
    <col min="4863" max="4863" width="47" style="1" customWidth="1"/>
    <col min="4864" max="4865" width="0" style="1" hidden="1" customWidth="1"/>
    <col min="4866" max="4866" width="17.1796875" style="1" bestFit="1" customWidth="1"/>
    <col min="4867" max="4868" width="0" style="1" hidden="1" customWidth="1"/>
    <col min="4869" max="4869" width="19.26953125" style="1" bestFit="1" customWidth="1"/>
    <col min="4870" max="4871" width="0" style="1" hidden="1" customWidth="1"/>
    <col min="4872" max="4872" width="15.54296875" style="1" bestFit="1" customWidth="1"/>
    <col min="4873" max="5117" width="10.90625" style="1"/>
    <col min="5118" max="5118" width="3" style="1" customWidth="1"/>
    <col min="5119" max="5119" width="47" style="1" customWidth="1"/>
    <col min="5120" max="5121" width="0" style="1" hidden="1" customWidth="1"/>
    <col min="5122" max="5122" width="17.1796875" style="1" bestFit="1" customWidth="1"/>
    <col min="5123" max="5124" width="0" style="1" hidden="1" customWidth="1"/>
    <col min="5125" max="5125" width="19.26953125" style="1" bestFit="1" customWidth="1"/>
    <col min="5126" max="5127" width="0" style="1" hidden="1" customWidth="1"/>
    <col min="5128" max="5128" width="15.54296875" style="1" bestFit="1" customWidth="1"/>
    <col min="5129" max="5373" width="10.90625" style="1"/>
    <col min="5374" max="5374" width="3" style="1" customWidth="1"/>
    <col min="5375" max="5375" width="47" style="1" customWidth="1"/>
    <col min="5376" max="5377" width="0" style="1" hidden="1" customWidth="1"/>
    <col min="5378" max="5378" width="17.1796875" style="1" bestFit="1" customWidth="1"/>
    <col min="5379" max="5380" width="0" style="1" hidden="1" customWidth="1"/>
    <col min="5381" max="5381" width="19.26953125" style="1" bestFit="1" customWidth="1"/>
    <col min="5382" max="5383" width="0" style="1" hidden="1" customWidth="1"/>
    <col min="5384" max="5384" width="15.54296875" style="1" bestFit="1" customWidth="1"/>
    <col min="5385" max="5629" width="10.90625" style="1"/>
    <col min="5630" max="5630" width="3" style="1" customWidth="1"/>
    <col min="5631" max="5631" width="47" style="1" customWidth="1"/>
    <col min="5632" max="5633" width="0" style="1" hidden="1" customWidth="1"/>
    <col min="5634" max="5634" width="17.1796875" style="1" bestFit="1" customWidth="1"/>
    <col min="5635" max="5636" width="0" style="1" hidden="1" customWidth="1"/>
    <col min="5637" max="5637" width="19.26953125" style="1" bestFit="1" customWidth="1"/>
    <col min="5638" max="5639" width="0" style="1" hidden="1" customWidth="1"/>
    <col min="5640" max="5640" width="15.54296875" style="1" bestFit="1" customWidth="1"/>
    <col min="5641" max="5885" width="10.90625" style="1"/>
    <col min="5886" max="5886" width="3" style="1" customWidth="1"/>
    <col min="5887" max="5887" width="47" style="1" customWidth="1"/>
    <col min="5888" max="5889" width="0" style="1" hidden="1" customWidth="1"/>
    <col min="5890" max="5890" width="17.1796875" style="1" bestFit="1" customWidth="1"/>
    <col min="5891" max="5892" width="0" style="1" hidden="1" customWidth="1"/>
    <col min="5893" max="5893" width="19.26953125" style="1" bestFit="1" customWidth="1"/>
    <col min="5894" max="5895" width="0" style="1" hidden="1" customWidth="1"/>
    <col min="5896" max="5896" width="15.54296875" style="1" bestFit="1" customWidth="1"/>
    <col min="5897" max="6141" width="10.90625" style="1"/>
    <col min="6142" max="6142" width="3" style="1" customWidth="1"/>
    <col min="6143" max="6143" width="47" style="1" customWidth="1"/>
    <col min="6144" max="6145" width="0" style="1" hidden="1" customWidth="1"/>
    <col min="6146" max="6146" width="17.1796875" style="1" bestFit="1" customWidth="1"/>
    <col min="6147" max="6148" width="0" style="1" hidden="1" customWidth="1"/>
    <col min="6149" max="6149" width="19.26953125" style="1" bestFit="1" customWidth="1"/>
    <col min="6150" max="6151" width="0" style="1" hidden="1" customWidth="1"/>
    <col min="6152" max="6152" width="15.54296875" style="1" bestFit="1" customWidth="1"/>
    <col min="6153" max="6397" width="10.90625" style="1"/>
    <col min="6398" max="6398" width="3" style="1" customWidth="1"/>
    <col min="6399" max="6399" width="47" style="1" customWidth="1"/>
    <col min="6400" max="6401" width="0" style="1" hidden="1" customWidth="1"/>
    <col min="6402" max="6402" width="17.1796875" style="1" bestFit="1" customWidth="1"/>
    <col min="6403" max="6404" width="0" style="1" hidden="1" customWidth="1"/>
    <col min="6405" max="6405" width="19.26953125" style="1" bestFit="1" customWidth="1"/>
    <col min="6406" max="6407" width="0" style="1" hidden="1" customWidth="1"/>
    <col min="6408" max="6408" width="15.54296875" style="1" bestFit="1" customWidth="1"/>
    <col min="6409" max="6653" width="10.90625" style="1"/>
    <col min="6654" max="6654" width="3" style="1" customWidth="1"/>
    <col min="6655" max="6655" width="47" style="1" customWidth="1"/>
    <col min="6656" max="6657" width="0" style="1" hidden="1" customWidth="1"/>
    <col min="6658" max="6658" width="17.1796875" style="1" bestFit="1" customWidth="1"/>
    <col min="6659" max="6660" width="0" style="1" hidden="1" customWidth="1"/>
    <col min="6661" max="6661" width="19.26953125" style="1" bestFit="1" customWidth="1"/>
    <col min="6662" max="6663" width="0" style="1" hidden="1" customWidth="1"/>
    <col min="6664" max="6664" width="15.54296875" style="1" bestFit="1" customWidth="1"/>
    <col min="6665" max="6909" width="10.90625" style="1"/>
    <col min="6910" max="6910" width="3" style="1" customWidth="1"/>
    <col min="6911" max="6911" width="47" style="1" customWidth="1"/>
    <col min="6912" max="6913" width="0" style="1" hidden="1" customWidth="1"/>
    <col min="6914" max="6914" width="17.1796875" style="1" bestFit="1" customWidth="1"/>
    <col min="6915" max="6916" width="0" style="1" hidden="1" customWidth="1"/>
    <col min="6917" max="6917" width="19.26953125" style="1" bestFit="1" customWidth="1"/>
    <col min="6918" max="6919" width="0" style="1" hidden="1" customWidth="1"/>
    <col min="6920" max="6920" width="15.54296875" style="1" bestFit="1" customWidth="1"/>
    <col min="6921" max="7165" width="10.90625" style="1"/>
    <col min="7166" max="7166" width="3" style="1" customWidth="1"/>
    <col min="7167" max="7167" width="47" style="1" customWidth="1"/>
    <col min="7168" max="7169" width="0" style="1" hidden="1" customWidth="1"/>
    <col min="7170" max="7170" width="17.1796875" style="1" bestFit="1" customWidth="1"/>
    <col min="7171" max="7172" width="0" style="1" hidden="1" customWidth="1"/>
    <col min="7173" max="7173" width="19.26953125" style="1" bestFit="1" customWidth="1"/>
    <col min="7174" max="7175" width="0" style="1" hidden="1" customWidth="1"/>
    <col min="7176" max="7176" width="15.54296875" style="1" bestFit="1" customWidth="1"/>
    <col min="7177" max="7421" width="10.90625" style="1"/>
    <col min="7422" max="7422" width="3" style="1" customWidth="1"/>
    <col min="7423" max="7423" width="47" style="1" customWidth="1"/>
    <col min="7424" max="7425" width="0" style="1" hidden="1" customWidth="1"/>
    <col min="7426" max="7426" width="17.1796875" style="1" bestFit="1" customWidth="1"/>
    <col min="7427" max="7428" width="0" style="1" hidden="1" customWidth="1"/>
    <col min="7429" max="7429" width="19.26953125" style="1" bestFit="1" customWidth="1"/>
    <col min="7430" max="7431" width="0" style="1" hidden="1" customWidth="1"/>
    <col min="7432" max="7432" width="15.54296875" style="1" bestFit="1" customWidth="1"/>
    <col min="7433" max="7677" width="10.90625" style="1"/>
    <col min="7678" max="7678" width="3" style="1" customWidth="1"/>
    <col min="7679" max="7679" width="47" style="1" customWidth="1"/>
    <col min="7680" max="7681" width="0" style="1" hidden="1" customWidth="1"/>
    <col min="7682" max="7682" width="17.1796875" style="1" bestFit="1" customWidth="1"/>
    <col min="7683" max="7684" width="0" style="1" hidden="1" customWidth="1"/>
    <col min="7685" max="7685" width="19.26953125" style="1" bestFit="1" customWidth="1"/>
    <col min="7686" max="7687" width="0" style="1" hidden="1" customWidth="1"/>
    <col min="7688" max="7688" width="15.54296875" style="1" bestFit="1" customWidth="1"/>
    <col min="7689" max="7933" width="10.90625" style="1"/>
    <col min="7934" max="7934" width="3" style="1" customWidth="1"/>
    <col min="7935" max="7935" width="47" style="1" customWidth="1"/>
    <col min="7936" max="7937" width="0" style="1" hidden="1" customWidth="1"/>
    <col min="7938" max="7938" width="17.1796875" style="1" bestFit="1" customWidth="1"/>
    <col min="7939" max="7940" width="0" style="1" hidden="1" customWidth="1"/>
    <col min="7941" max="7941" width="19.26953125" style="1" bestFit="1" customWidth="1"/>
    <col min="7942" max="7943" width="0" style="1" hidden="1" customWidth="1"/>
    <col min="7944" max="7944" width="15.54296875" style="1" bestFit="1" customWidth="1"/>
    <col min="7945" max="8189" width="10.90625" style="1"/>
    <col min="8190" max="8190" width="3" style="1" customWidth="1"/>
    <col min="8191" max="8191" width="47" style="1" customWidth="1"/>
    <col min="8192" max="8193" width="0" style="1" hidden="1" customWidth="1"/>
    <col min="8194" max="8194" width="17.1796875" style="1" bestFit="1" customWidth="1"/>
    <col min="8195" max="8196" width="0" style="1" hidden="1" customWidth="1"/>
    <col min="8197" max="8197" width="19.26953125" style="1" bestFit="1" customWidth="1"/>
    <col min="8198" max="8199" width="0" style="1" hidden="1" customWidth="1"/>
    <col min="8200" max="8200" width="15.54296875" style="1" bestFit="1" customWidth="1"/>
    <col min="8201" max="8445" width="10.90625" style="1"/>
    <col min="8446" max="8446" width="3" style="1" customWidth="1"/>
    <col min="8447" max="8447" width="47" style="1" customWidth="1"/>
    <col min="8448" max="8449" width="0" style="1" hidden="1" customWidth="1"/>
    <col min="8450" max="8450" width="17.1796875" style="1" bestFit="1" customWidth="1"/>
    <col min="8451" max="8452" width="0" style="1" hidden="1" customWidth="1"/>
    <col min="8453" max="8453" width="19.26953125" style="1" bestFit="1" customWidth="1"/>
    <col min="8454" max="8455" width="0" style="1" hidden="1" customWidth="1"/>
    <col min="8456" max="8456" width="15.54296875" style="1" bestFit="1" customWidth="1"/>
    <col min="8457" max="8701" width="10.90625" style="1"/>
    <col min="8702" max="8702" width="3" style="1" customWidth="1"/>
    <col min="8703" max="8703" width="47" style="1" customWidth="1"/>
    <col min="8704" max="8705" width="0" style="1" hidden="1" customWidth="1"/>
    <col min="8706" max="8706" width="17.1796875" style="1" bestFit="1" customWidth="1"/>
    <col min="8707" max="8708" width="0" style="1" hidden="1" customWidth="1"/>
    <col min="8709" max="8709" width="19.26953125" style="1" bestFit="1" customWidth="1"/>
    <col min="8710" max="8711" width="0" style="1" hidden="1" customWidth="1"/>
    <col min="8712" max="8712" width="15.54296875" style="1" bestFit="1" customWidth="1"/>
    <col min="8713" max="8957" width="10.90625" style="1"/>
    <col min="8958" max="8958" width="3" style="1" customWidth="1"/>
    <col min="8959" max="8959" width="47" style="1" customWidth="1"/>
    <col min="8960" max="8961" width="0" style="1" hidden="1" customWidth="1"/>
    <col min="8962" max="8962" width="17.1796875" style="1" bestFit="1" customWidth="1"/>
    <col min="8963" max="8964" width="0" style="1" hidden="1" customWidth="1"/>
    <col min="8965" max="8965" width="19.26953125" style="1" bestFit="1" customWidth="1"/>
    <col min="8966" max="8967" width="0" style="1" hidden="1" customWidth="1"/>
    <col min="8968" max="8968" width="15.54296875" style="1" bestFit="1" customWidth="1"/>
    <col min="8969" max="9213" width="10.90625" style="1"/>
    <col min="9214" max="9214" width="3" style="1" customWidth="1"/>
    <col min="9215" max="9215" width="47" style="1" customWidth="1"/>
    <col min="9216" max="9217" width="0" style="1" hidden="1" customWidth="1"/>
    <col min="9218" max="9218" width="17.1796875" style="1" bestFit="1" customWidth="1"/>
    <col min="9219" max="9220" width="0" style="1" hidden="1" customWidth="1"/>
    <col min="9221" max="9221" width="19.26953125" style="1" bestFit="1" customWidth="1"/>
    <col min="9222" max="9223" width="0" style="1" hidden="1" customWidth="1"/>
    <col min="9224" max="9224" width="15.54296875" style="1" bestFit="1" customWidth="1"/>
    <col min="9225" max="9469" width="10.90625" style="1"/>
    <col min="9470" max="9470" width="3" style="1" customWidth="1"/>
    <col min="9471" max="9471" width="47" style="1" customWidth="1"/>
    <col min="9472" max="9473" width="0" style="1" hidden="1" customWidth="1"/>
    <col min="9474" max="9474" width="17.1796875" style="1" bestFit="1" customWidth="1"/>
    <col min="9475" max="9476" width="0" style="1" hidden="1" customWidth="1"/>
    <col min="9477" max="9477" width="19.26953125" style="1" bestFit="1" customWidth="1"/>
    <col min="9478" max="9479" width="0" style="1" hidden="1" customWidth="1"/>
    <col min="9480" max="9480" width="15.54296875" style="1" bestFit="1" customWidth="1"/>
    <col min="9481" max="9725" width="10.90625" style="1"/>
    <col min="9726" max="9726" width="3" style="1" customWidth="1"/>
    <col min="9727" max="9727" width="47" style="1" customWidth="1"/>
    <col min="9728" max="9729" width="0" style="1" hidden="1" customWidth="1"/>
    <col min="9730" max="9730" width="17.1796875" style="1" bestFit="1" customWidth="1"/>
    <col min="9731" max="9732" width="0" style="1" hidden="1" customWidth="1"/>
    <col min="9733" max="9733" width="19.26953125" style="1" bestFit="1" customWidth="1"/>
    <col min="9734" max="9735" width="0" style="1" hidden="1" customWidth="1"/>
    <col min="9736" max="9736" width="15.54296875" style="1" bestFit="1" customWidth="1"/>
    <col min="9737" max="9981" width="10.90625" style="1"/>
    <col min="9982" max="9982" width="3" style="1" customWidth="1"/>
    <col min="9983" max="9983" width="47" style="1" customWidth="1"/>
    <col min="9984" max="9985" width="0" style="1" hidden="1" customWidth="1"/>
    <col min="9986" max="9986" width="17.1796875" style="1" bestFit="1" customWidth="1"/>
    <col min="9987" max="9988" width="0" style="1" hidden="1" customWidth="1"/>
    <col min="9989" max="9989" width="19.26953125" style="1" bestFit="1" customWidth="1"/>
    <col min="9990" max="9991" width="0" style="1" hidden="1" customWidth="1"/>
    <col min="9992" max="9992" width="15.54296875" style="1" bestFit="1" customWidth="1"/>
    <col min="9993" max="10237" width="10.90625" style="1"/>
    <col min="10238" max="10238" width="3" style="1" customWidth="1"/>
    <col min="10239" max="10239" width="47" style="1" customWidth="1"/>
    <col min="10240" max="10241" width="0" style="1" hidden="1" customWidth="1"/>
    <col min="10242" max="10242" width="17.1796875" style="1" bestFit="1" customWidth="1"/>
    <col min="10243" max="10244" width="0" style="1" hidden="1" customWidth="1"/>
    <col min="10245" max="10245" width="19.26953125" style="1" bestFit="1" customWidth="1"/>
    <col min="10246" max="10247" width="0" style="1" hidden="1" customWidth="1"/>
    <col min="10248" max="10248" width="15.54296875" style="1" bestFit="1" customWidth="1"/>
    <col min="10249" max="10493" width="10.90625" style="1"/>
    <col min="10494" max="10494" width="3" style="1" customWidth="1"/>
    <col min="10495" max="10495" width="47" style="1" customWidth="1"/>
    <col min="10496" max="10497" width="0" style="1" hidden="1" customWidth="1"/>
    <col min="10498" max="10498" width="17.1796875" style="1" bestFit="1" customWidth="1"/>
    <col min="10499" max="10500" width="0" style="1" hidden="1" customWidth="1"/>
    <col min="10501" max="10501" width="19.26953125" style="1" bestFit="1" customWidth="1"/>
    <col min="10502" max="10503" width="0" style="1" hidden="1" customWidth="1"/>
    <col min="10504" max="10504" width="15.54296875" style="1" bestFit="1" customWidth="1"/>
    <col min="10505" max="10749" width="10.90625" style="1"/>
    <col min="10750" max="10750" width="3" style="1" customWidth="1"/>
    <col min="10751" max="10751" width="47" style="1" customWidth="1"/>
    <col min="10752" max="10753" width="0" style="1" hidden="1" customWidth="1"/>
    <col min="10754" max="10754" width="17.1796875" style="1" bestFit="1" customWidth="1"/>
    <col min="10755" max="10756" width="0" style="1" hidden="1" customWidth="1"/>
    <col min="10757" max="10757" width="19.26953125" style="1" bestFit="1" customWidth="1"/>
    <col min="10758" max="10759" width="0" style="1" hidden="1" customWidth="1"/>
    <col min="10760" max="10760" width="15.54296875" style="1" bestFit="1" customWidth="1"/>
    <col min="10761" max="11005" width="10.90625" style="1"/>
    <col min="11006" max="11006" width="3" style="1" customWidth="1"/>
    <col min="11007" max="11007" width="47" style="1" customWidth="1"/>
    <col min="11008" max="11009" width="0" style="1" hidden="1" customWidth="1"/>
    <col min="11010" max="11010" width="17.1796875" style="1" bestFit="1" customWidth="1"/>
    <col min="11011" max="11012" width="0" style="1" hidden="1" customWidth="1"/>
    <col min="11013" max="11013" width="19.26953125" style="1" bestFit="1" customWidth="1"/>
    <col min="11014" max="11015" width="0" style="1" hidden="1" customWidth="1"/>
    <col min="11016" max="11016" width="15.54296875" style="1" bestFit="1" customWidth="1"/>
    <col min="11017" max="11261" width="10.90625" style="1"/>
    <col min="11262" max="11262" width="3" style="1" customWidth="1"/>
    <col min="11263" max="11263" width="47" style="1" customWidth="1"/>
    <col min="11264" max="11265" width="0" style="1" hidden="1" customWidth="1"/>
    <col min="11266" max="11266" width="17.1796875" style="1" bestFit="1" customWidth="1"/>
    <col min="11267" max="11268" width="0" style="1" hidden="1" customWidth="1"/>
    <col min="11269" max="11269" width="19.26953125" style="1" bestFit="1" customWidth="1"/>
    <col min="11270" max="11271" width="0" style="1" hidden="1" customWidth="1"/>
    <col min="11272" max="11272" width="15.54296875" style="1" bestFit="1" customWidth="1"/>
    <col min="11273" max="11517" width="10.90625" style="1"/>
    <col min="11518" max="11518" width="3" style="1" customWidth="1"/>
    <col min="11519" max="11519" width="47" style="1" customWidth="1"/>
    <col min="11520" max="11521" width="0" style="1" hidden="1" customWidth="1"/>
    <col min="11522" max="11522" width="17.1796875" style="1" bestFit="1" customWidth="1"/>
    <col min="11523" max="11524" width="0" style="1" hidden="1" customWidth="1"/>
    <col min="11525" max="11525" width="19.26953125" style="1" bestFit="1" customWidth="1"/>
    <col min="11526" max="11527" width="0" style="1" hidden="1" customWidth="1"/>
    <col min="11528" max="11528" width="15.54296875" style="1" bestFit="1" customWidth="1"/>
    <col min="11529" max="11773" width="10.90625" style="1"/>
    <col min="11774" max="11774" width="3" style="1" customWidth="1"/>
    <col min="11775" max="11775" width="47" style="1" customWidth="1"/>
    <col min="11776" max="11777" width="0" style="1" hidden="1" customWidth="1"/>
    <col min="11778" max="11778" width="17.1796875" style="1" bestFit="1" customWidth="1"/>
    <col min="11779" max="11780" width="0" style="1" hidden="1" customWidth="1"/>
    <col min="11781" max="11781" width="19.26953125" style="1" bestFit="1" customWidth="1"/>
    <col min="11782" max="11783" width="0" style="1" hidden="1" customWidth="1"/>
    <col min="11784" max="11784" width="15.54296875" style="1" bestFit="1" customWidth="1"/>
    <col min="11785" max="12029" width="10.90625" style="1"/>
    <col min="12030" max="12030" width="3" style="1" customWidth="1"/>
    <col min="12031" max="12031" width="47" style="1" customWidth="1"/>
    <col min="12032" max="12033" width="0" style="1" hidden="1" customWidth="1"/>
    <col min="12034" max="12034" width="17.1796875" style="1" bestFit="1" customWidth="1"/>
    <col min="12035" max="12036" width="0" style="1" hidden="1" customWidth="1"/>
    <col min="12037" max="12037" width="19.26953125" style="1" bestFit="1" customWidth="1"/>
    <col min="12038" max="12039" width="0" style="1" hidden="1" customWidth="1"/>
    <col min="12040" max="12040" width="15.54296875" style="1" bestFit="1" customWidth="1"/>
    <col min="12041" max="12285" width="10.90625" style="1"/>
    <col min="12286" max="12286" width="3" style="1" customWidth="1"/>
    <col min="12287" max="12287" width="47" style="1" customWidth="1"/>
    <col min="12288" max="12289" width="0" style="1" hidden="1" customWidth="1"/>
    <col min="12290" max="12290" width="17.1796875" style="1" bestFit="1" customWidth="1"/>
    <col min="12291" max="12292" width="0" style="1" hidden="1" customWidth="1"/>
    <col min="12293" max="12293" width="19.26953125" style="1" bestFit="1" customWidth="1"/>
    <col min="12294" max="12295" width="0" style="1" hidden="1" customWidth="1"/>
    <col min="12296" max="12296" width="15.54296875" style="1" bestFit="1" customWidth="1"/>
    <col min="12297" max="12541" width="10.90625" style="1"/>
    <col min="12542" max="12542" width="3" style="1" customWidth="1"/>
    <col min="12543" max="12543" width="47" style="1" customWidth="1"/>
    <col min="12544" max="12545" width="0" style="1" hidden="1" customWidth="1"/>
    <col min="12546" max="12546" width="17.1796875" style="1" bestFit="1" customWidth="1"/>
    <col min="12547" max="12548" width="0" style="1" hidden="1" customWidth="1"/>
    <col min="12549" max="12549" width="19.26953125" style="1" bestFit="1" customWidth="1"/>
    <col min="12550" max="12551" width="0" style="1" hidden="1" customWidth="1"/>
    <col min="12552" max="12552" width="15.54296875" style="1" bestFit="1" customWidth="1"/>
    <col min="12553" max="12797" width="10.90625" style="1"/>
    <col min="12798" max="12798" width="3" style="1" customWidth="1"/>
    <col min="12799" max="12799" width="47" style="1" customWidth="1"/>
    <col min="12800" max="12801" width="0" style="1" hidden="1" customWidth="1"/>
    <col min="12802" max="12802" width="17.1796875" style="1" bestFit="1" customWidth="1"/>
    <col min="12803" max="12804" width="0" style="1" hidden="1" customWidth="1"/>
    <col min="12805" max="12805" width="19.26953125" style="1" bestFit="1" customWidth="1"/>
    <col min="12806" max="12807" width="0" style="1" hidden="1" customWidth="1"/>
    <col min="12808" max="12808" width="15.54296875" style="1" bestFit="1" customWidth="1"/>
    <col min="12809" max="13053" width="10.90625" style="1"/>
    <col min="13054" max="13054" width="3" style="1" customWidth="1"/>
    <col min="13055" max="13055" width="47" style="1" customWidth="1"/>
    <col min="13056" max="13057" width="0" style="1" hidden="1" customWidth="1"/>
    <col min="13058" max="13058" width="17.1796875" style="1" bestFit="1" customWidth="1"/>
    <col min="13059" max="13060" width="0" style="1" hidden="1" customWidth="1"/>
    <col min="13061" max="13061" width="19.26953125" style="1" bestFit="1" customWidth="1"/>
    <col min="13062" max="13063" width="0" style="1" hidden="1" customWidth="1"/>
    <col min="13064" max="13064" width="15.54296875" style="1" bestFit="1" customWidth="1"/>
    <col min="13065" max="13309" width="10.90625" style="1"/>
    <col min="13310" max="13310" width="3" style="1" customWidth="1"/>
    <col min="13311" max="13311" width="47" style="1" customWidth="1"/>
    <col min="13312" max="13313" width="0" style="1" hidden="1" customWidth="1"/>
    <col min="13314" max="13314" width="17.1796875" style="1" bestFit="1" customWidth="1"/>
    <col min="13315" max="13316" width="0" style="1" hidden="1" customWidth="1"/>
    <col min="13317" max="13317" width="19.26953125" style="1" bestFit="1" customWidth="1"/>
    <col min="13318" max="13319" width="0" style="1" hidden="1" customWidth="1"/>
    <col min="13320" max="13320" width="15.54296875" style="1" bestFit="1" customWidth="1"/>
    <col min="13321" max="13565" width="10.90625" style="1"/>
    <col min="13566" max="13566" width="3" style="1" customWidth="1"/>
    <col min="13567" max="13567" width="47" style="1" customWidth="1"/>
    <col min="13568" max="13569" width="0" style="1" hidden="1" customWidth="1"/>
    <col min="13570" max="13570" width="17.1796875" style="1" bestFit="1" customWidth="1"/>
    <col min="13571" max="13572" width="0" style="1" hidden="1" customWidth="1"/>
    <col min="13573" max="13573" width="19.26953125" style="1" bestFit="1" customWidth="1"/>
    <col min="13574" max="13575" width="0" style="1" hidden="1" customWidth="1"/>
    <col min="13576" max="13576" width="15.54296875" style="1" bestFit="1" customWidth="1"/>
    <col min="13577" max="13821" width="10.90625" style="1"/>
    <col min="13822" max="13822" width="3" style="1" customWidth="1"/>
    <col min="13823" max="13823" width="47" style="1" customWidth="1"/>
    <col min="13824" max="13825" width="0" style="1" hidden="1" customWidth="1"/>
    <col min="13826" max="13826" width="17.1796875" style="1" bestFit="1" customWidth="1"/>
    <col min="13827" max="13828" width="0" style="1" hidden="1" customWidth="1"/>
    <col min="13829" max="13829" width="19.26953125" style="1" bestFit="1" customWidth="1"/>
    <col min="13830" max="13831" width="0" style="1" hidden="1" customWidth="1"/>
    <col min="13832" max="13832" width="15.54296875" style="1" bestFit="1" customWidth="1"/>
    <col min="13833" max="14077" width="10.90625" style="1"/>
    <col min="14078" max="14078" width="3" style="1" customWidth="1"/>
    <col min="14079" max="14079" width="47" style="1" customWidth="1"/>
    <col min="14080" max="14081" width="0" style="1" hidden="1" customWidth="1"/>
    <col min="14082" max="14082" width="17.1796875" style="1" bestFit="1" customWidth="1"/>
    <col min="14083" max="14084" width="0" style="1" hidden="1" customWidth="1"/>
    <col min="14085" max="14085" width="19.26953125" style="1" bestFit="1" customWidth="1"/>
    <col min="14086" max="14087" width="0" style="1" hidden="1" customWidth="1"/>
    <col min="14088" max="14088" width="15.54296875" style="1" bestFit="1" customWidth="1"/>
    <col min="14089" max="14333" width="10.90625" style="1"/>
    <col min="14334" max="14334" width="3" style="1" customWidth="1"/>
    <col min="14335" max="14335" width="47" style="1" customWidth="1"/>
    <col min="14336" max="14337" width="0" style="1" hidden="1" customWidth="1"/>
    <col min="14338" max="14338" width="17.1796875" style="1" bestFit="1" customWidth="1"/>
    <col min="14339" max="14340" width="0" style="1" hidden="1" customWidth="1"/>
    <col min="14341" max="14341" width="19.26953125" style="1" bestFit="1" customWidth="1"/>
    <col min="14342" max="14343" width="0" style="1" hidden="1" customWidth="1"/>
    <col min="14344" max="14344" width="15.54296875" style="1" bestFit="1" customWidth="1"/>
    <col min="14345" max="14589" width="10.90625" style="1"/>
    <col min="14590" max="14590" width="3" style="1" customWidth="1"/>
    <col min="14591" max="14591" width="47" style="1" customWidth="1"/>
    <col min="14592" max="14593" width="0" style="1" hidden="1" customWidth="1"/>
    <col min="14594" max="14594" width="17.1796875" style="1" bestFit="1" customWidth="1"/>
    <col min="14595" max="14596" width="0" style="1" hidden="1" customWidth="1"/>
    <col min="14597" max="14597" width="19.26953125" style="1" bestFit="1" customWidth="1"/>
    <col min="14598" max="14599" width="0" style="1" hidden="1" customWidth="1"/>
    <col min="14600" max="14600" width="15.54296875" style="1" bestFit="1" customWidth="1"/>
    <col min="14601" max="14845" width="10.90625" style="1"/>
    <col min="14846" max="14846" width="3" style="1" customWidth="1"/>
    <col min="14847" max="14847" width="47" style="1" customWidth="1"/>
    <col min="14848" max="14849" width="0" style="1" hidden="1" customWidth="1"/>
    <col min="14850" max="14850" width="17.1796875" style="1" bestFit="1" customWidth="1"/>
    <col min="14851" max="14852" width="0" style="1" hidden="1" customWidth="1"/>
    <col min="14853" max="14853" width="19.26953125" style="1" bestFit="1" customWidth="1"/>
    <col min="14854" max="14855" width="0" style="1" hidden="1" customWidth="1"/>
    <col min="14856" max="14856" width="15.54296875" style="1" bestFit="1" customWidth="1"/>
    <col min="14857" max="15101" width="10.90625" style="1"/>
    <col min="15102" max="15102" width="3" style="1" customWidth="1"/>
    <col min="15103" max="15103" width="47" style="1" customWidth="1"/>
    <col min="15104" max="15105" width="0" style="1" hidden="1" customWidth="1"/>
    <col min="15106" max="15106" width="17.1796875" style="1" bestFit="1" customWidth="1"/>
    <col min="15107" max="15108" width="0" style="1" hidden="1" customWidth="1"/>
    <col min="15109" max="15109" width="19.26953125" style="1" bestFit="1" customWidth="1"/>
    <col min="15110" max="15111" width="0" style="1" hidden="1" customWidth="1"/>
    <col min="15112" max="15112" width="15.54296875" style="1" bestFit="1" customWidth="1"/>
    <col min="15113" max="15357" width="10.90625" style="1"/>
    <col min="15358" max="15358" width="3" style="1" customWidth="1"/>
    <col min="15359" max="15359" width="47" style="1" customWidth="1"/>
    <col min="15360" max="15361" width="0" style="1" hidden="1" customWidth="1"/>
    <col min="15362" max="15362" width="17.1796875" style="1" bestFit="1" customWidth="1"/>
    <col min="15363" max="15364" width="0" style="1" hidden="1" customWidth="1"/>
    <col min="15365" max="15365" width="19.26953125" style="1" bestFit="1" customWidth="1"/>
    <col min="15366" max="15367" width="0" style="1" hidden="1" customWidth="1"/>
    <col min="15368" max="15368" width="15.54296875" style="1" bestFit="1" customWidth="1"/>
    <col min="15369" max="15613" width="10.90625" style="1"/>
    <col min="15614" max="15614" width="3" style="1" customWidth="1"/>
    <col min="15615" max="15615" width="47" style="1" customWidth="1"/>
    <col min="15616" max="15617" width="0" style="1" hidden="1" customWidth="1"/>
    <col min="15618" max="15618" width="17.1796875" style="1" bestFit="1" customWidth="1"/>
    <col min="15619" max="15620" width="0" style="1" hidden="1" customWidth="1"/>
    <col min="15621" max="15621" width="19.26953125" style="1" bestFit="1" customWidth="1"/>
    <col min="15622" max="15623" width="0" style="1" hidden="1" customWidth="1"/>
    <col min="15624" max="15624" width="15.54296875" style="1" bestFit="1" customWidth="1"/>
    <col min="15625" max="15869" width="10.90625" style="1"/>
    <col min="15870" max="15870" width="3" style="1" customWidth="1"/>
    <col min="15871" max="15871" width="47" style="1" customWidth="1"/>
    <col min="15872" max="15873" width="0" style="1" hidden="1" customWidth="1"/>
    <col min="15874" max="15874" width="17.1796875" style="1" bestFit="1" customWidth="1"/>
    <col min="15875" max="15876" width="0" style="1" hidden="1" customWidth="1"/>
    <col min="15877" max="15877" width="19.26953125" style="1" bestFit="1" customWidth="1"/>
    <col min="15878" max="15879" width="0" style="1" hidden="1" customWidth="1"/>
    <col min="15880" max="15880" width="15.54296875" style="1" bestFit="1" customWidth="1"/>
    <col min="15881" max="16125" width="10.90625" style="1"/>
    <col min="16126" max="16126" width="3" style="1" customWidth="1"/>
    <col min="16127" max="16127" width="47" style="1" customWidth="1"/>
    <col min="16128" max="16129" width="0" style="1" hidden="1" customWidth="1"/>
    <col min="16130" max="16130" width="17.1796875" style="1" bestFit="1" customWidth="1"/>
    <col min="16131" max="16132" width="0" style="1" hidden="1" customWidth="1"/>
    <col min="16133" max="16133" width="19.26953125" style="1" bestFit="1" customWidth="1"/>
    <col min="16134" max="16135" width="0" style="1" hidden="1" customWidth="1"/>
    <col min="16136" max="16136" width="15.54296875" style="1" bestFit="1" customWidth="1"/>
    <col min="16137" max="16384" width="10.90625" style="1"/>
  </cols>
  <sheetData>
    <row r="5" spans="1:17" x14ac:dyDescent="0.4">
      <c r="A5" s="2" t="s">
        <v>15</v>
      </c>
    </row>
    <row r="6" spans="1:17" x14ac:dyDescent="0.4">
      <c r="A6" s="68"/>
    </row>
    <row r="7" spans="1:17" x14ac:dyDescent="0.4">
      <c r="C7" s="168" t="s">
        <v>56</v>
      </c>
      <c r="D7" s="168"/>
      <c r="F7" s="144" t="s">
        <v>55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17" s="66" customFormat="1" ht="30" x14ac:dyDescent="0.4">
      <c r="B8" s="67" t="s">
        <v>54</v>
      </c>
      <c r="C8" s="142">
        <v>2013</v>
      </c>
      <c r="D8" s="142">
        <v>2014</v>
      </c>
      <c r="E8" s="143"/>
      <c r="F8" s="142">
        <v>2014</v>
      </c>
      <c r="G8" s="142">
        <v>2015</v>
      </c>
      <c r="H8" s="142" t="s">
        <v>53</v>
      </c>
      <c r="I8" s="142">
        <v>2016</v>
      </c>
      <c r="J8" s="142">
        <v>2017</v>
      </c>
      <c r="K8" s="142">
        <v>2018</v>
      </c>
      <c r="L8" s="142">
        <v>2019</v>
      </c>
      <c r="M8" s="142">
        <v>2020</v>
      </c>
      <c r="N8" s="142">
        <v>2021</v>
      </c>
      <c r="O8" s="142">
        <v>2022</v>
      </c>
      <c r="P8" s="142">
        <f>+O8+1</f>
        <v>2023</v>
      </c>
      <c r="Q8" s="142">
        <f>+P8+1</f>
        <v>2024</v>
      </c>
    </row>
    <row r="9" spans="1:17" ht="18.5" x14ac:dyDescent="0.5">
      <c r="B9" s="59" t="s">
        <v>52</v>
      </c>
      <c r="C9" s="57">
        <v>645400000</v>
      </c>
      <c r="D9" s="57">
        <v>645400000</v>
      </c>
      <c r="E9" s="56"/>
      <c r="F9" s="56">
        <v>645400000</v>
      </c>
      <c r="G9" s="56">
        <v>645400000</v>
      </c>
      <c r="H9" s="56">
        <v>645400000</v>
      </c>
      <c r="I9" s="56">
        <v>645400000</v>
      </c>
      <c r="J9" s="56">
        <v>645400000</v>
      </c>
      <c r="K9" s="83">
        <v>645400000</v>
      </c>
      <c r="L9" s="83">
        <v>645400000</v>
      </c>
      <c r="M9" s="83">
        <v>645400000</v>
      </c>
      <c r="N9" s="83">
        <v>657629103</v>
      </c>
      <c r="O9" s="83">
        <v>657629103</v>
      </c>
      <c r="P9" s="83">
        <v>651720961</v>
      </c>
      <c r="Q9" s="83">
        <v>629859998</v>
      </c>
    </row>
    <row r="10" spans="1:17" ht="18.5" x14ac:dyDescent="0.5">
      <c r="B10" s="59" t="s">
        <v>51</v>
      </c>
      <c r="C10" s="57">
        <v>645400000</v>
      </c>
      <c r="D10" s="57">
        <v>645400000</v>
      </c>
      <c r="E10" s="56"/>
      <c r="F10" s="57">
        <v>645400000</v>
      </c>
      <c r="G10" s="57">
        <v>645400000</v>
      </c>
      <c r="H10" s="56">
        <v>645400000</v>
      </c>
      <c r="I10" s="56">
        <v>645400000</v>
      </c>
      <c r="J10" s="56">
        <f>+J9</f>
        <v>645400000</v>
      </c>
      <c r="K10" s="56">
        <f>+K9</f>
        <v>645400000</v>
      </c>
      <c r="L10" s="83">
        <f>+L9</f>
        <v>645400000</v>
      </c>
      <c r="M10" s="83">
        <f>+M9</f>
        <v>645400000</v>
      </c>
      <c r="N10" s="83">
        <f>AVERAGE(M9:N9)</f>
        <v>651514551.5</v>
      </c>
      <c r="O10" s="83">
        <f>AVERAGE(N9:O9)</f>
        <v>657629103</v>
      </c>
      <c r="P10" s="83">
        <f>AVERAGE(O9:P9)</f>
        <v>654675032</v>
      </c>
      <c r="Q10" s="83">
        <f>AVERAGE(P9:Q9)</f>
        <v>640790479.5</v>
      </c>
    </row>
    <row r="11" spans="1:17" ht="17" x14ac:dyDescent="0.5">
      <c r="B11" s="49" t="s">
        <v>50</v>
      </c>
      <c r="C11" s="56">
        <v>19440</v>
      </c>
      <c r="D11" s="56">
        <v>20500</v>
      </c>
      <c r="E11" s="56"/>
      <c r="F11" s="56">
        <v>20500</v>
      </c>
      <c r="G11" s="56">
        <v>16200</v>
      </c>
      <c r="H11" s="56">
        <v>16200</v>
      </c>
      <c r="I11" s="56">
        <v>19280</v>
      </c>
      <c r="J11" s="56">
        <v>20880</v>
      </c>
      <c r="K11" s="83">
        <v>16900</v>
      </c>
      <c r="L11" s="91">
        <v>17800</v>
      </c>
      <c r="M11" s="91">
        <v>13900</v>
      </c>
      <c r="N11" s="83">
        <v>13550</v>
      </c>
      <c r="O11" s="83">
        <f>+'Dividendos pagados '!Q19</f>
        <v>9490</v>
      </c>
      <c r="P11" s="83">
        <f>+'Dividendos pagados '!R19</f>
        <v>12420</v>
      </c>
      <c r="Q11" s="83">
        <f>+'Dividendos pagados '!S19</f>
        <v>20600</v>
      </c>
    </row>
    <row r="12" spans="1:17" ht="17" x14ac:dyDescent="0.5">
      <c r="B12" s="49" t="s">
        <v>49</v>
      </c>
      <c r="C12" s="56">
        <v>21382.527472527472</v>
      </c>
      <c r="D12" s="56">
        <v>21147.178082191782</v>
      </c>
      <c r="E12" s="56"/>
      <c r="F12" s="56">
        <v>21147.178082191782</v>
      </c>
      <c r="G12" s="56">
        <v>17316.273972602739</v>
      </c>
      <c r="H12" s="56">
        <v>17316.273972602739</v>
      </c>
      <c r="I12" s="56">
        <v>18486.338797814209</v>
      </c>
      <c r="J12" s="83">
        <f t="shared" ref="J12:M12" si="0">+AVERAGE(I11:J11)</f>
        <v>20080</v>
      </c>
      <c r="K12" s="83">
        <f t="shared" si="0"/>
        <v>18890</v>
      </c>
      <c r="L12" s="83">
        <f t="shared" si="0"/>
        <v>17350</v>
      </c>
      <c r="M12" s="83">
        <f t="shared" si="0"/>
        <v>15850</v>
      </c>
      <c r="N12" s="83">
        <f>+AVERAGE(M11:N11)</f>
        <v>13725</v>
      </c>
      <c r="O12" s="83">
        <f>+AVERAGE(N11:O11)</f>
        <v>11520</v>
      </c>
      <c r="P12" s="83">
        <f>+AVERAGE(O11:P11)</f>
        <v>10955</v>
      </c>
      <c r="Q12" s="83">
        <f>+AVERAGE(P11:Q11)</f>
        <v>16510</v>
      </c>
    </row>
    <row r="13" spans="1:17" ht="18.5" x14ac:dyDescent="0.5">
      <c r="B13" s="49" t="s">
        <v>48</v>
      </c>
      <c r="C13" s="56">
        <v>140413601</v>
      </c>
      <c r="D13" s="56">
        <v>147715568</v>
      </c>
      <c r="E13" s="56"/>
      <c r="F13" s="56">
        <v>147715568</v>
      </c>
      <c r="G13" s="56">
        <v>173052657</v>
      </c>
      <c r="H13" s="56">
        <v>173052657</v>
      </c>
      <c r="I13" s="56">
        <v>211827180</v>
      </c>
      <c r="J13" s="56">
        <v>211827180</v>
      </c>
      <c r="K13" s="83">
        <v>211827180</v>
      </c>
      <c r="L13" s="83">
        <v>211827180</v>
      </c>
      <c r="M13" s="83">
        <v>211827180</v>
      </c>
      <c r="N13" s="83">
        <v>211827181</v>
      </c>
      <c r="O13" s="83">
        <v>211827181</v>
      </c>
      <c r="P13" s="83">
        <v>210811080</v>
      </c>
      <c r="Q13" s="83">
        <v>209467547</v>
      </c>
    </row>
    <row r="14" spans="1:17" ht="18.5" x14ac:dyDescent="0.5">
      <c r="B14" s="49" t="s">
        <v>47</v>
      </c>
      <c r="C14" s="65">
        <v>140118374.41666666</v>
      </c>
      <c r="D14" s="56">
        <v>146190660.83333334</v>
      </c>
      <c r="E14" s="56"/>
      <c r="F14" s="56">
        <v>146190660.83333334</v>
      </c>
      <c r="G14" s="56">
        <v>152122456.41666666</v>
      </c>
      <c r="H14" s="56">
        <v>152122456.41666666</v>
      </c>
      <c r="I14" s="56">
        <v>176283867.25</v>
      </c>
      <c r="J14" s="56">
        <f>+J13</f>
        <v>211827180</v>
      </c>
      <c r="K14" s="83">
        <f>+K13</f>
        <v>211827180</v>
      </c>
      <c r="L14" s="83">
        <f>+L13</f>
        <v>211827180</v>
      </c>
      <c r="M14" s="83">
        <f>+M13</f>
        <v>211827180</v>
      </c>
      <c r="N14" s="83">
        <f>AVERAGE(M13:N13)</f>
        <v>211827180.5</v>
      </c>
      <c r="O14" s="83">
        <f>AVERAGE(N13:O13)</f>
        <v>211827181</v>
      </c>
      <c r="P14" s="83">
        <f>AVERAGE(O13:P13)</f>
        <v>211319130.5</v>
      </c>
      <c r="Q14" s="83">
        <f>AVERAGE(P13:Q13)</f>
        <v>210139313.5</v>
      </c>
    </row>
    <row r="15" spans="1:17" ht="17" x14ac:dyDescent="0.5">
      <c r="B15" s="49" t="s">
        <v>46</v>
      </c>
      <c r="C15" s="56">
        <v>19500</v>
      </c>
      <c r="D15" s="56">
        <v>20000</v>
      </c>
      <c r="E15" s="56"/>
      <c r="F15" s="56">
        <v>20000</v>
      </c>
      <c r="G15" s="56">
        <v>15280</v>
      </c>
      <c r="H15" s="56">
        <v>15280</v>
      </c>
      <c r="I15" s="56">
        <v>18140</v>
      </c>
      <c r="J15" s="56">
        <v>19180</v>
      </c>
      <c r="K15" s="83">
        <v>14500</v>
      </c>
      <c r="L15" s="91">
        <v>13500</v>
      </c>
      <c r="M15" s="91">
        <v>10500</v>
      </c>
      <c r="N15" s="83">
        <v>9300</v>
      </c>
      <c r="O15" s="83">
        <f>+'Dividendos pagados '!Q21</f>
        <v>6350</v>
      </c>
      <c r="P15" s="83">
        <f>+'Dividendos pagados '!R21</f>
        <v>8460</v>
      </c>
      <c r="Q15" s="83">
        <f>+'Dividendos pagados '!S21</f>
        <v>15440</v>
      </c>
    </row>
    <row r="16" spans="1:17" ht="17" x14ac:dyDescent="0.5">
      <c r="B16" s="49" t="s">
        <v>45</v>
      </c>
      <c r="C16" s="56">
        <v>21274.23076923077</v>
      </c>
      <c r="D16" s="56">
        <v>21026.410958904111</v>
      </c>
      <c r="E16" s="56"/>
      <c r="F16" s="56">
        <v>21026.410958904111</v>
      </c>
      <c r="G16" s="56">
        <v>16913.31506849315</v>
      </c>
      <c r="H16" s="56">
        <v>16913.31506849315</v>
      </c>
      <c r="I16" s="56">
        <v>17576.885245901638</v>
      </c>
      <c r="J16" s="83">
        <f t="shared" ref="J16:O16" si="1">+AVERAGE(I15:J15)</f>
        <v>18660</v>
      </c>
      <c r="K16" s="83">
        <f t="shared" si="1"/>
        <v>16840</v>
      </c>
      <c r="L16" s="83">
        <f t="shared" si="1"/>
        <v>14000</v>
      </c>
      <c r="M16" s="83">
        <f t="shared" si="1"/>
        <v>12000</v>
      </c>
      <c r="N16" s="83">
        <f t="shared" si="1"/>
        <v>9900</v>
      </c>
      <c r="O16" s="83">
        <f t="shared" si="1"/>
        <v>7825</v>
      </c>
      <c r="P16" s="83">
        <f>+AVERAGE(O15:P15)</f>
        <v>7405</v>
      </c>
      <c r="Q16" s="83">
        <f>+AVERAGE(P15:Q15)</f>
        <v>11950</v>
      </c>
    </row>
    <row r="17" spans="2:17" ht="17" x14ac:dyDescent="0.5">
      <c r="B17" s="59" t="s">
        <v>44</v>
      </c>
      <c r="C17" s="57">
        <f>(C9*C11/1000000)+(C13*C15/1000000)</f>
        <v>15284641.2195</v>
      </c>
      <c r="D17" s="57">
        <f>(D9*D11/1000000)+(D13*D15/1000000)</f>
        <v>16185011.359999999</v>
      </c>
      <c r="E17" s="56"/>
      <c r="F17" s="57">
        <f t="shared" ref="F17:N17" si="2">(F9*F11/1000000)+(F13*F15/1000000)</f>
        <v>16185011.359999999</v>
      </c>
      <c r="G17" s="57">
        <f t="shared" si="2"/>
        <v>13099724.598960001</v>
      </c>
      <c r="H17" s="56">
        <f t="shared" si="2"/>
        <v>13099724.598960001</v>
      </c>
      <c r="I17" s="56">
        <f t="shared" si="2"/>
        <v>16285857.0452</v>
      </c>
      <c r="J17" s="56">
        <f t="shared" si="2"/>
        <v>17538797.312399998</v>
      </c>
      <c r="K17" s="56">
        <f t="shared" si="2"/>
        <v>13978754.109999999</v>
      </c>
      <c r="L17" s="83">
        <f t="shared" si="2"/>
        <v>14347786.93</v>
      </c>
      <c r="M17" s="83">
        <f t="shared" si="2"/>
        <v>11195245.390000001</v>
      </c>
      <c r="N17" s="83">
        <f t="shared" si="2"/>
        <v>10880867.12895</v>
      </c>
      <c r="O17" s="83">
        <f t="shared" ref="O17:Q18" si="3">(O9*O11/1000000)+(O13*O15/1000000)</f>
        <v>7586002.78682</v>
      </c>
      <c r="P17" s="83">
        <f t="shared" si="3"/>
        <v>9877836.072420001</v>
      </c>
      <c r="Q17" s="83">
        <f t="shared" si="3"/>
        <v>16209294.88448</v>
      </c>
    </row>
    <row r="18" spans="2:17" ht="17" x14ac:dyDescent="0.5">
      <c r="B18" s="59" t="s">
        <v>43</v>
      </c>
      <c r="C18" s="57">
        <f>(C10*C12/1000000)+(C14*C16/1000000)</f>
        <v>16781193.863118879</v>
      </c>
      <c r="D18" s="57">
        <f>(D10*D12/1000000)+(D14*D16/1000000)</f>
        <v>16722253.64728201</v>
      </c>
      <c r="E18" s="56"/>
      <c r="F18" s="57">
        <f t="shared" ref="F18:N18" si="4">(F10*F12/1000000)+(F14*F16/1000000)</f>
        <v>16722253.64728201</v>
      </c>
      <c r="G18" s="57">
        <f t="shared" si="4"/>
        <v>13748818.256286008</v>
      </c>
      <c r="H18" s="56">
        <f t="shared" si="4"/>
        <v>13748818.256286008</v>
      </c>
      <c r="I18" s="56">
        <f t="shared" si="4"/>
        <v>15029604.365466299</v>
      </c>
      <c r="J18" s="56">
        <f t="shared" si="4"/>
        <v>16912327.178800002</v>
      </c>
      <c r="K18" s="56">
        <f t="shared" si="4"/>
        <v>15758775.711199999</v>
      </c>
      <c r="L18" s="83">
        <f t="shared" si="4"/>
        <v>14163270.52</v>
      </c>
      <c r="M18" s="83">
        <f t="shared" si="4"/>
        <v>12771516.16</v>
      </c>
      <c r="N18" s="83">
        <f t="shared" si="4"/>
        <v>11039126.306287501</v>
      </c>
      <c r="O18" s="83">
        <f t="shared" si="3"/>
        <v>9233434.9578850009</v>
      </c>
      <c r="P18" s="83">
        <f t="shared" si="3"/>
        <v>8736783.1369125005</v>
      </c>
      <c r="Q18" s="83">
        <f t="shared" si="3"/>
        <v>13090615.61287</v>
      </c>
    </row>
    <row r="19" spans="2:17" ht="5.15" customHeight="1" x14ac:dyDescent="0.4">
      <c r="B19" s="59"/>
      <c r="C19" s="57"/>
      <c r="D19" s="57"/>
      <c r="E19" s="56"/>
      <c r="F19" s="57"/>
      <c r="G19" s="57"/>
      <c r="H19" s="56"/>
      <c r="I19" s="56"/>
      <c r="L19" s="91"/>
      <c r="M19" s="91"/>
      <c r="N19" s="91"/>
      <c r="O19" s="91"/>
      <c r="P19" s="91"/>
      <c r="Q19" s="83"/>
    </row>
    <row r="20" spans="2:17" ht="5.15" customHeight="1" x14ac:dyDescent="0.4">
      <c r="B20" s="59"/>
      <c r="C20" s="57"/>
      <c r="D20" s="57"/>
      <c r="E20" s="56"/>
      <c r="F20" s="57"/>
      <c r="G20" s="57"/>
      <c r="H20" s="56"/>
      <c r="I20" s="56"/>
      <c r="L20" s="91"/>
      <c r="M20" s="91"/>
      <c r="N20" s="91"/>
      <c r="O20" s="91"/>
      <c r="P20" s="91"/>
      <c r="Q20" s="83"/>
    </row>
    <row r="21" spans="2:17" s="2" customFormat="1" ht="17.5" x14ac:dyDescent="0.4">
      <c r="B21" s="64" t="s">
        <v>42</v>
      </c>
      <c r="C21" s="63">
        <f>SUM(C22:C30)</f>
        <v>19454966.365779996</v>
      </c>
      <c r="D21" s="63">
        <f>SUM(D22:D30)</f>
        <v>20714715.147679999</v>
      </c>
      <c r="E21" s="62"/>
      <c r="F21" s="63">
        <f t="shared" ref="F21:N21" si="5">SUM(F22:F30)</f>
        <v>20714715.147679999</v>
      </c>
      <c r="G21" s="63">
        <f t="shared" si="5"/>
        <v>17934471.138155978</v>
      </c>
      <c r="H21" s="62">
        <f t="shared" si="5"/>
        <v>17934471.138155978</v>
      </c>
      <c r="I21" s="62">
        <f t="shared" si="5"/>
        <v>20742766.818274997</v>
      </c>
      <c r="J21" s="62">
        <f t="shared" si="5"/>
        <v>21875233.800416399</v>
      </c>
      <c r="K21" s="62">
        <f t="shared" si="5"/>
        <v>18192785.933796398</v>
      </c>
      <c r="L21" s="62">
        <f t="shared" si="5"/>
        <v>19039923.126065001</v>
      </c>
      <c r="M21" s="62">
        <f t="shared" si="5"/>
        <v>14118751.312997999</v>
      </c>
      <c r="N21" s="62">
        <f t="shared" si="5"/>
        <v>14677938.420317998</v>
      </c>
      <c r="O21" s="62">
        <f t="shared" ref="O21:P21" si="6">SUM(O22:O30)</f>
        <v>14513148.821535351</v>
      </c>
      <c r="P21" s="62">
        <f t="shared" si="6"/>
        <v>14798405.928355066</v>
      </c>
      <c r="Q21" s="62">
        <f>SUM(Q22:Q30)</f>
        <v>18988145.740438484</v>
      </c>
    </row>
    <row r="22" spans="2:17" x14ac:dyDescent="0.4">
      <c r="B22" s="60" t="s">
        <v>41</v>
      </c>
      <c r="C22" s="57">
        <v>302560.63955999998</v>
      </c>
      <c r="D22" s="57">
        <v>351082.11911999999</v>
      </c>
      <c r="E22" s="56"/>
      <c r="F22" s="57">
        <v>351082.11911999999</v>
      </c>
      <c r="G22" s="57">
        <v>161587.07884</v>
      </c>
      <c r="H22" s="56">
        <v>161587.07884</v>
      </c>
      <c r="I22" s="56">
        <v>0</v>
      </c>
      <c r="J22" s="56">
        <v>0</v>
      </c>
      <c r="L22" s="91"/>
      <c r="M22" s="91"/>
      <c r="N22" s="91"/>
      <c r="O22" s="91"/>
      <c r="P22" s="91"/>
      <c r="Q22" s="83"/>
    </row>
    <row r="23" spans="2:17" x14ac:dyDescent="0.4">
      <c r="B23" s="60" t="s">
        <v>40</v>
      </c>
      <c r="C23" s="57">
        <v>2050773.4572000001</v>
      </c>
      <c r="D23" s="57">
        <v>2211400.04006</v>
      </c>
      <c r="E23" s="56"/>
      <c r="F23" s="57">
        <v>2211400.04006</v>
      </c>
      <c r="G23" s="57">
        <v>1058243.3428</v>
      </c>
      <c r="H23" s="56">
        <v>1058243.3428</v>
      </c>
      <c r="I23" s="56">
        <v>1576525.3106750001</v>
      </c>
      <c r="J23" s="56">
        <v>1843986.2568599503</v>
      </c>
      <c r="K23" s="83">
        <v>2265441.2280000001</v>
      </c>
      <c r="L23" s="83">
        <v>2497648.9538699999</v>
      </c>
      <c r="M23" s="83">
        <v>2683415.1345660002</v>
      </c>
      <c r="N23" s="83">
        <v>2369651.5244880002</v>
      </c>
      <c r="O23" s="83">
        <v>1574481.6534599999</v>
      </c>
      <c r="P23" s="83">
        <v>1676426.50872</v>
      </c>
      <c r="Q23" s="83">
        <v>2084205.92976</v>
      </c>
    </row>
    <row r="24" spans="2:17" x14ac:dyDescent="0.4">
      <c r="B24" s="60" t="s">
        <v>39</v>
      </c>
      <c r="C24" s="57">
        <v>6848305.1896000002</v>
      </c>
      <c r="D24" s="57">
        <v>7127827.8503999999</v>
      </c>
      <c r="E24" s="56"/>
      <c r="F24" s="57">
        <v>7127827.8503999999</v>
      </c>
      <c r="G24" s="57">
        <v>6194786.0723999999</v>
      </c>
      <c r="H24" s="56">
        <v>6194786.0723999999</v>
      </c>
      <c r="I24" s="56">
        <v>7558658.7262000004</v>
      </c>
      <c r="J24" s="56">
        <v>7341968.6783999996</v>
      </c>
      <c r="K24" s="83">
        <v>4647517.1015999997</v>
      </c>
      <c r="L24" s="91">
        <v>4874550.983</v>
      </c>
      <c r="M24" s="91">
        <v>4133100.7924799998</v>
      </c>
      <c r="N24" s="91">
        <v>4184111.2524899999</v>
      </c>
      <c r="O24" s="91">
        <v>2476388.2464000001</v>
      </c>
      <c r="P24" s="91">
        <v>4312521.2426399998</v>
      </c>
      <c r="Q24" s="83">
        <v>7200491.4468</v>
      </c>
    </row>
    <row r="25" spans="2:17" x14ac:dyDescent="0.4">
      <c r="B25" s="60" t="s">
        <v>38</v>
      </c>
      <c r="C25" s="57">
        <v>370209.64500000002</v>
      </c>
      <c r="D25" s="57">
        <v>370209.64500000002</v>
      </c>
      <c r="E25" s="56"/>
      <c r="F25" s="57">
        <v>370209.64500000002</v>
      </c>
      <c r="G25" s="57">
        <v>370209.64500000002</v>
      </c>
      <c r="H25" s="56">
        <v>370209.64500000002</v>
      </c>
      <c r="I25" s="56">
        <v>370209.64500000002</v>
      </c>
      <c r="J25" s="56">
        <v>777440.25450000004</v>
      </c>
      <c r="K25" s="83">
        <v>124967.7442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</row>
    <row r="26" spans="2:17" x14ac:dyDescent="0.4">
      <c r="B26" s="60" t="s">
        <v>37</v>
      </c>
      <c r="C26" s="57">
        <v>4616864.3454</v>
      </c>
      <c r="D26" s="57">
        <v>5499957.6799999997</v>
      </c>
      <c r="E26" s="56"/>
      <c r="F26" s="57">
        <v>5499957.6799999997</v>
      </c>
      <c r="G26" s="57">
        <v>4812204.5621999996</v>
      </c>
      <c r="H26" s="56">
        <v>4812204.5621999996</v>
      </c>
      <c r="I26" s="56">
        <v>4955366.7626</v>
      </c>
      <c r="J26" s="56">
        <v>5227782.2128999997</v>
      </c>
      <c r="K26" s="83">
        <v>4166659.1731599998</v>
      </c>
      <c r="L26" s="91">
        <v>4410535.8619999997</v>
      </c>
      <c r="M26" s="91">
        <v>3279363.1350400001</v>
      </c>
      <c r="N26" s="91">
        <v>3900379.29</v>
      </c>
      <c r="O26" s="91">
        <v>5460531.0060000001</v>
      </c>
      <c r="P26" s="91">
        <v>3770366.6469999999</v>
      </c>
      <c r="Q26" s="83">
        <v>6759529</v>
      </c>
    </row>
    <row r="27" spans="2:17" x14ac:dyDescent="0.4">
      <c r="B27" s="60" t="s">
        <v>36</v>
      </c>
      <c r="C27" s="57">
        <v>309250.51938000001</v>
      </c>
      <c r="D27" s="57">
        <v>99508.676500000001</v>
      </c>
      <c r="E27" s="56"/>
      <c r="F27" s="57">
        <v>99508.676500000001</v>
      </c>
      <c r="G27" s="57">
        <v>77228.403600000005</v>
      </c>
      <c r="H27" s="56">
        <v>77228.403600000005</v>
      </c>
      <c r="I27" s="56">
        <v>0</v>
      </c>
      <c r="J27" s="56">
        <v>0</v>
      </c>
      <c r="K27" s="83"/>
      <c r="L27" s="91"/>
      <c r="M27" s="91"/>
      <c r="N27" s="91"/>
      <c r="O27" s="91"/>
      <c r="P27" s="91"/>
      <c r="Q27" s="83"/>
    </row>
    <row r="28" spans="2:17" x14ac:dyDescent="0.4">
      <c r="B28" s="60" t="s">
        <v>35</v>
      </c>
      <c r="C28" s="57">
        <v>1196245.5696399999</v>
      </c>
      <c r="D28" s="57">
        <v>1293972.1366000001</v>
      </c>
      <c r="E28" s="56"/>
      <c r="F28" s="57">
        <v>1293972.1366000001</v>
      </c>
      <c r="G28" s="57">
        <v>1023414.32622</v>
      </c>
      <c r="H28" s="56">
        <v>1023414.32622</v>
      </c>
      <c r="I28" s="56">
        <v>1126570.1469000001</v>
      </c>
      <c r="J28" s="56">
        <v>1258681.9874199999</v>
      </c>
      <c r="K28" s="83">
        <v>1063228.8535</v>
      </c>
      <c r="L28" s="91">
        <v>1149192.0374</v>
      </c>
      <c r="M28" s="91">
        <v>1085850.7439999999</v>
      </c>
      <c r="N28" s="91">
        <v>1295781.88784</v>
      </c>
      <c r="O28" s="91">
        <v>2013348.2545</v>
      </c>
      <c r="P28" s="91">
        <v>2035970.145</v>
      </c>
      <c r="Q28" s="83">
        <v>0</v>
      </c>
    </row>
    <row r="29" spans="2:17" x14ac:dyDescent="0.4">
      <c r="B29" s="60" t="s">
        <v>34</v>
      </c>
      <c r="C29" s="57">
        <v>0</v>
      </c>
      <c r="D29" s="57">
        <v>0</v>
      </c>
      <c r="E29" s="56"/>
      <c r="F29" s="57">
        <v>0</v>
      </c>
      <c r="G29" s="57">
        <v>912352.89749999996</v>
      </c>
      <c r="H29" s="56">
        <v>912352.89749999996</v>
      </c>
      <c r="I29" s="56">
        <v>1800677.27312</v>
      </c>
      <c r="J29" s="56">
        <v>1690481.0012999999</v>
      </c>
      <c r="K29" s="83">
        <v>2055209.9084999999</v>
      </c>
      <c r="L29" s="91">
        <v>2057228.4284999999</v>
      </c>
      <c r="M29" s="91">
        <v>2057229.8984999999</v>
      </c>
      <c r="N29" s="91">
        <v>2057229.8984999999</v>
      </c>
      <c r="O29" s="91">
        <v>2057229.8984999999</v>
      </c>
      <c r="P29" s="91">
        <v>2057319.9990000001</v>
      </c>
      <c r="Q29" s="83">
        <v>2057321.469</v>
      </c>
    </row>
    <row r="30" spans="2:17" x14ac:dyDescent="0.4">
      <c r="B30" s="60" t="s">
        <v>33</v>
      </c>
      <c r="C30" s="57">
        <v>3760757</v>
      </c>
      <c r="D30" s="57">
        <v>3760757</v>
      </c>
      <c r="E30" s="56"/>
      <c r="F30" s="57">
        <v>3760757</v>
      </c>
      <c r="G30" s="57">
        <v>3324444.8095959798</v>
      </c>
      <c r="H30" s="56">
        <v>3324444.8095959798</v>
      </c>
      <c r="I30" s="61">
        <v>3354758.9537799992</v>
      </c>
      <c r="J30" s="61">
        <v>3734893.4090364501</v>
      </c>
      <c r="K30" s="83">
        <v>3869761.9248364009</v>
      </c>
      <c r="L30" s="83">
        <v>4050766.8612950016</v>
      </c>
      <c r="M30" s="83">
        <v>879791.608412</v>
      </c>
      <c r="N30" s="83">
        <v>870784.56700000004</v>
      </c>
      <c r="O30" s="83">
        <v>931169.76267535298</v>
      </c>
      <c r="P30" s="83">
        <v>945801.38599506684</v>
      </c>
      <c r="Q30" s="83">
        <v>886597.89487848594</v>
      </c>
    </row>
    <row r="31" spans="2:17" ht="5.15" customHeight="1" x14ac:dyDescent="0.4">
      <c r="B31" s="60"/>
      <c r="C31" s="57"/>
      <c r="D31" s="57"/>
      <c r="E31" s="56"/>
      <c r="F31" s="57"/>
      <c r="G31" s="57"/>
      <c r="H31" s="56"/>
      <c r="I31" s="56"/>
      <c r="J31" s="56"/>
      <c r="L31" s="91"/>
      <c r="M31" s="91"/>
      <c r="N31" s="91"/>
      <c r="O31" s="91"/>
      <c r="P31" s="91"/>
      <c r="Q31" s="83"/>
    </row>
    <row r="32" spans="2:17" ht="5.15" customHeight="1" x14ac:dyDescent="0.4">
      <c r="B32" s="141"/>
      <c r="C32" s="56"/>
      <c r="D32" s="56"/>
      <c r="E32" s="56"/>
      <c r="F32" s="56"/>
      <c r="G32" s="56"/>
      <c r="H32" s="56"/>
      <c r="I32" s="56"/>
      <c r="J32" s="56"/>
      <c r="L32" s="91"/>
      <c r="M32" s="91"/>
      <c r="N32" s="91"/>
      <c r="O32" s="91"/>
      <c r="P32" s="91"/>
      <c r="Q32" s="83"/>
    </row>
    <row r="33" spans="2:17" x14ac:dyDescent="0.4">
      <c r="B33" s="59" t="s">
        <v>32</v>
      </c>
      <c r="C33" s="57">
        <f>20173+72129</f>
        <v>92302</v>
      </c>
      <c r="D33" s="57">
        <f>165911+15118</f>
        <v>181029</v>
      </c>
      <c r="E33" s="56"/>
      <c r="F33" s="57">
        <f>165978+15165</f>
        <v>181143</v>
      </c>
      <c r="G33" s="57">
        <v>311453.85462763242</v>
      </c>
      <c r="H33" s="56">
        <v>311453.85462763242</v>
      </c>
      <c r="I33" s="56">
        <v>179358</v>
      </c>
      <c r="J33" s="56">
        <v>312773.91238799971</v>
      </c>
      <c r="K33" s="83">
        <v>4850</v>
      </c>
      <c r="L33" s="91">
        <v>1729.4678619492697</v>
      </c>
      <c r="M33" s="91">
        <v>24147.991382994322</v>
      </c>
      <c r="N33" s="91">
        <v>16248.712096409732</v>
      </c>
      <c r="O33" s="83">
        <v>252319.35210787482</v>
      </c>
      <c r="P33" s="83">
        <v>910688</v>
      </c>
      <c r="Q33" s="83">
        <v>405184.29242201336</v>
      </c>
    </row>
    <row r="34" spans="2:17" x14ac:dyDescent="0.4">
      <c r="B34" s="59" t="s">
        <v>31</v>
      </c>
      <c r="C34" s="58">
        <v>770000</v>
      </c>
      <c r="D34" s="57">
        <v>1000000</v>
      </c>
      <c r="E34" s="56"/>
      <c r="F34" s="57">
        <v>1000000</v>
      </c>
      <c r="G34" s="57">
        <v>1650000</v>
      </c>
      <c r="H34" s="56">
        <v>1650000</v>
      </c>
      <c r="I34" s="56">
        <v>1441635</v>
      </c>
      <c r="J34" s="56">
        <v>1567385</v>
      </c>
      <c r="K34" s="83">
        <v>1611128</v>
      </c>
      <c r="L34" s="91">
        <v>1592121.9999992598</v>
      </c>
      <c r="M34" s="91">
        <v>1593623.3416653397</v>
      </c>
      <c r="N34" s="91">
        <v>1474622.0000009995</v>
      </c>
      <c r="O34" s="83">
        <v>1380122</v>
      </c>
      <c r="P34" s="83">
        <v>1612575</v>
      </c>
      <c r="Q34" s="83">
        <v>1716435</v>
      </c>
    </row>
    <row r="35" spans="2:17" ht="5.15" customHeight="1" x14ac:dyDescent="0.4">
      <c r="B35" s="59"/>
      <c r="C35" s="58"/>
      <c r="D35" s="57"/>
      <c r="E35" s="56"/>
      <c r="F35" s="57"/>
      <c r="G35" s="57"/>
      <c r="H35" s="56"/>
      <c r="I35" s="56"/>
      <c r="L35" s="91"/>
      <c r="M35" s="91"/>
      <c r="N35" s="91"/>
      <c r="O35" s="83"/>
      <c r="P35" s="83"/>
      <c r="Q35" s="83"/>
    </row>
    <row r="36" spans="2:17" ht="5.15" customHeight="1" x14ac:dyDescent="0.4">
      <c r="C36" s="45"/>
      <c r="D36" s="45"/>
      <c r="E36" s="45"/>
      <c r="F36" s="45"/>
      <c r="G36" s="45"/>
      <c r="H36" s="45"/>
      <c r="I36" s="45"/>
      <c r="L36" s="91"/>
      <c r="M36" s="91"/>
      <c r="N36" s="91"/>
      <c r="O36" s="83"/>
      <c r="P36" s="83"/>
      <c r="Q36" s="83"/>
    </row>
    <row r="37" spans="2:17" x14ac:dyDescent="0.4">
      <c r="B37" s="49" t="s">
        <v>30</v>
      </c>
      <c r="C37" s="48">
        <f>+C17+C34-C33</f>
        <v>15962339.2195</v>
      </c>
      <c r="D37" s="48">
        <f>+D17+D34-D33</f>
        <v>17003982.359999999</v>
      </c>
      <c r="E37" s="48"/>
      <c r="F37" s="48">
        <f t="shared" ref="F37:N37" si="7">+F17+F34-F33</f>
        <v>17003868.359999999</v>
      </c>
      <c r="G37" s="48">
        <f t="shared" si="7"/>
        <v>14438270.744332369</v>
      </c>
      <c r="H37" s="48">
        <f t="shared" si="7"/>
        <v>14438270.744332369</v>
      </c>
      <c r="I37" s="48">
        <f t="shared" si="7"/>
        <v>17548134.045199998</v>
      </c>
      <c r="J37" s="48">
        <f t="shared" si="7"/>
        <v>18793408.400011998</v>
      </c>
      <c r="K37" s="48">
        <f t="shared" si="7"/>
        <v>15585032.109999999</v>
      </c>
      <c r="L37" s="48">
        <f t="shared" si="7"/>
        <v>15938179.462137312</v>
      </c>
      <c r="M37" s="48">
        <f t="shared" si="7"/>
        <v>12764720.740282346</v>
      </c>
      <c r="N37" s="48">
        <f t="shared" si="7"/>
        <v>12339240.41685459</v>
      </c>
      <c r="O37" s="48">
        <f>+O17+O34-O33</f>
        <v>8713805.434712125</v>
      </c>
      <c r="P37" s="48">
        <f>+P17+P34-P33</f>
        <v>10579723.072420001</v>
      </c>
      <c r="Q37" s="48">
        <f>+Q17+Q34-Q33</f>
        <v>17520545.592057988</v>
      </c>
    </row>
    <row r="38" spans="2:17" x14ac:dyDescent="0.4">
      <c r="B38" s="49" t="s">
        <v>29</v>
      </c>
      <c r="C38" s="48">
        <v>359703</v>
      </c>
      <c r="D38" s="48">
        <v>347568</v>
      </c>
      <c r="E38" s="48"/>
      <c r="F38" s="48">
        <v>224558</v>
      </c>
      <c r="G38" s="48">
        <v>517870</v>
      </c>
      <c r="H38" s="48">
        <v>543542</v>
      </c>
      <c r="I38" s="48">
        <v>518335</v>
      </c>
      <c r="J38" s="48">
        <v>629574</v>
      </c>
      <c r="K38" s="140">
        <v>979828</v>
      </c>
      <c r="L38" s="140">
        <v>615043</v>
      </c>
      <c r="M38" s="140"/>
      <c r="N38" s="140"/>
      <c r="O38" s="140"/>
      <c r="P38" s="140"/>
      <c r="Q38" s="140"/>
    </row>
    <row r="39" spans="2:17" s="55" customFormat="1" ht="17.5" x14ac:dyDescent="0.4">
      <c r="B39" s="54" t="s">
        <v>28</v>
      </c>
      <c r="C39" s="53">
        <v>209551.571528</v>
      </c>
      <c r="D39" s="53">
        <v>183288.153192</v>
      </c>
      <c r="E39" s="53"/>
      <c r="F39" s="53">
        <v>183288.153192</v>
      </c>
      <c r="G39" s="53">
        <v>671902.62474180607</v>
      </c>
      <c r="H39" s="53">
        <v>694745.81635680597</v>
      </c>
      <c r="I39" s="53">
        <v>558413.16907070996</v>
      </c>
      <c r="J39" s="53">
        <v>679304.33658663265</v>
      </c>
      <c r="K39" s="138">
        <v>943860</v>
      </c>
      <c r="L39" s="138">
        <v>627522.61343352427</v>
      </c>
      <c r="M39" s="138">
        <v>426530.32127655001</v>
      </c>
      <c r="N39" s="138">
        <v>419947.78663541866</v>
      </c>
      <c r="O39" s="138">
        <v>742603.5949422901</v>
      </c>
      <c r="P39" s="138">
        <v>1137825.5734979198</v>
      </c>
      <c r="Q39" s="138">
        <v>760666.28022226994</v>
      </c>
    </row>
    <row r="40" spans="2:17" x14ac:dyDescent="0.4">
      <c r="B40" s="54" t="s">
        <v>27</v>
      </c>
      <c r="C40" s="53">
        <v>74618</v>
      </c>
      <c r="D40" s="53">
        <v>79315</v>
      </c>
      <c r="E40" s="51"/>
      <c r="F40" s="53">
        <v>51738</v>
      </c>
      <c r="G40" s="53">
        <f>108619+2861</f>
        <v>111480</v>
      </c>
      <c r="H40" s="53">
        <v>111493</v>
      </c>
      <c r="I40" s="53">
        <v>157410</v>
      </c>
      <c r="J40" s="48">
        <v>134204</v>
      </c>
      <c r="K40" s="140">
        <v>116488</v>
      </c>
      <c r="L40" s="140">
        <v>110691</v>
      </c>
      <c r="M40" s="140">
        <v>107672</v>
      </c>
      <c r="N40" s="140">
        <v>91158</v>
      </c>
      <c r="O40" s="140">
        <v>108673</v>
      </c>
      <c r="P40" s="140">
        <v>83364</v>
      </c>
      <c r="Q40" s="165">
        <v>133634</v>
      </c>
    </row>
    <row r="41" spans="2:17" x14ac:dyDescent="0.4">
      <c r="B41" s="49" t="s">
        <v>26</v>
      </c>
      <c r="C41" s="52">
        <f>+C34/C39</f>
        <v>3.6745131252671785</v>
      </c>
      <c r="D41" s="52">
        <f>+D34/D39</f>
        <v>5.4558899884406014</v>
      </c>
      <c r="E41" s="48"/>
      <c r="F41" s="52">
        <f t="shared" ref="F41:M41" si="8">+F34/F39</f>
        <v>5.4558899884406014</v>
      </c>
      <c r="G41" s="52">
        <f t="shared" si="8"/>
        <v>2.4557129846516825</v>
      </c>
      <c r="H41" s="52">
        <f t="shared" si="8"/>
        <v>2.3749693213734977</v>
      </c>
      <c r="I41" s="52">
        <f t="shared" si="8"/>
        <v>2.5816636853301906</v>
      </c>
      <c r="J41" s="52">
        <f t="shared" si="8"/>
        <v>2.3073384278330882</v>
      </c>
      <c r="K41" s="52">
        <f t="shared" si="8"/>
        <v>1.706956540164855</v>
      </c>
      <c r="L41" s="52">
        <f t="shared" si="8"/>
        <v>2.5371547828179088</v>
      </c>
      <c r="M41" s="52">
        <f t="shared" si="8"/>
        <v>3.7362486608122758</v>
      </c>
      <c r="N41" s="52">
        <f>+N34/N39</f>
        <v>3.51144129563232</v>
      </c>
      <c r="O41" s="52">
        <f>+O34/O39</f>
        <v>1.8584908683444405</v>
      </c>
      <c r="P41" s="52">
        <f>+P34/P39</f>
        <v>1.4172427106226824</v>
      </c>
      <c r="Q41" s="52">
        <f>+Q34/Q39</f>
        <v>2.2564888764340263</v>
      </c>
    </row>
    <row r="42" spans="2:17" x14ac:dyDescent="0.4">
      <c r="B42" s="49" t="s">
        <v>108</v>
      </c>
      <c r="C42" s="50">
        <f>+C39/C40</f>
        <v>2.808324687448069</v>
      </c>
      <c r="D42" s="50">
        <f>+D39/D40</f>
        <v>2.310888901115804</v>
      </c>
      <c r="E42" s="51"/>
      <c r="F42" s="50">
        <f t="shared" ref="F42:M42" si="9">+F39/F40</f>
        <v>3.5426215391395104</v>
      </c>
      <c r="G42" s="50">
        <f t="shared" si="9"/>
        <v>6.0271136055059751</v>
      </c>
      <c r="H42" s="50">
        <f t="shared" si="9"/>
        <v>6.2312953849731008</v>
      </c>
      <c r="I42" s="50">
        <f t="shared" si="9"/>
        <v>3.5475075857360392</v>
      </c>
      <c r="J42" s="50">
        <f t="shared" si="9"/>
        <v>5.0617294312139176</v>
      </c>
      <c r="K42" s="50">
        <f t="shared" si="9"/>
        <v>8.1026371815122591</v>
      </c>
      <c r="L42" s="50">
        <f t="shared" si="9"/>
        <v>5.6691385336976294</v>
      </c>
      <c r="M42" s="50">
        <f t="shared" si="9"/>
        <v>3.9613857017288616</v>
      </c>
      <c r="N42" s="50">
        <f>+N39/N40</f>
        <v>4.606812201182767</v>
      </c>
      <c r="O42" s="50">
        <f>+O39/O40</f>
        <v>6.8333771492669761</v>
      </c>
      <c r="P42" s="50">
        <f>+P39/P40</f>
        <v>13.648884092628951</v>
      </c>
      <c r="Q42" s="50">
        <f>+Q39/Q40</f>
        <v>5.6921612779851678</v>
      </c>
    </row>
    <row r="43" spans="2:17" x14ac:dyDescent="0.4">
      <c r="B43" s="49" t="s">
        <v>25</v>
      </c>
      <c r="C43" s="48">
        <v>294949.85160200001</v>
      </c>
      <c r="D43" s="48">
        <v>389758.31430199998</v>
      </c>
      <c r="E43" s="48"/>
      <c r="F43" s="48">
        <v>201042</v>
      </c>
      <c r="G43" s="48">
        <v>371801.29650200001</v>
      </c>
      <c r="H43" s="48">
        <v>395462</v>
      </c>
      <c r="I43" s="48">
        <v>351820</v>
      </c>
      <c r="J43" s="48">
        <v>452841</v>
      </c>
      <c r="K43" s="140">
        <v>811676</v>
      </c>
      <c r="L43" s="83">
        <v>482739</v>
      </c>
      <c r="M43" s="139">
        <v>-59123</v>
      </c>
      <c r="N43" s="83">
        <v>336205</v>
      </c>
      <c r="O43" s="83">
        <f>+'Dividendos pagados '!Q28</f>
        <v>345789</v>
      </c>
      <c r="P43" s="83">
        <f>+'Dividendos pagados '!R28</f>
        <v>789341</v>
      </c>
      <c r="Q43" s="83">
        <f>+'Dividendos pagados '!S28</f>
        <v>2531987</v>
      </c>
    </row>
    <row r="44" spans="2:17" x14ac:dyDescent="0.4">
      <c r="B44" s="49" t="s">
        <v>24</v>
      </c>
      <c r="C44" s="138">
        <f>+C43/((C9+C13)/1000000)</f>
        <v>375.34327635288668</v>
      </c>
      <c r="D44" s="138">
        <f>(D43/((D9+D13)/1000000))</f>
        <v>491.4268866072743</v>
      </c>
      <c r="E44" s="45"/>
      <c r="F44" s="138">
        <f t="shared" ref="F44:M44" si="10">+F43/((F10+F14)/1000000)</f>
        <v>253.97217267363479</v>
      </c>
      <c r="G44" s="138">
        <f t="shared" si="10"/>
        <v>466.19539488898346</v>
      </c>
      <c r="H44" s="138">
        <f t="shared" si="10"/>
        <v>495.86315321682974</v>
      </c>
      <c r="I44" s="138">
        <f t="shared" si="10"/>
        <v>428.16953578201094</v>
      </c>
      <c r="J44" s="138">
        <f t="shared" si="10"/>
        <v>528.26253129304655</v>
      </c>
      <c r="K44" s="138">
        <f t="shared" si="10"/>
        <v>946.86218418786029</v>
      </c>
      <c r="L44" s="138">
        <f t="shared" si="10"/>
        <v>563.14010015408053</v>
      </c>
      <c r="M44" s="138">
        <f t="shared" si="10"/>
        <v>-68.97004828988274</v>
      </c>
      <c r="N44" s="138">
        <f>+N43/((N10+N14)/1000000)</f>
        <v>389.42285254896029</v>
      </c>
      <c r="O44" s="138">
        <f>+O43/((O10+O14)/1000000)</f>
        <v>397.70717212965707</v>
      </c>
      <c r="P44" s="138">
        <f>+P43/((P10+P14)/1000000)</f>
        <v>911.48535888658489</v>
      </c>
      <c r="Q44" s="138">
        <f>+Q43/((Q10+Q14)/1000000)</f>
        <v>2975.553354493959</v>
      </c>
    </row>
    <row r="45" spans="2:17" x14ac:dyDescent="0.4">
      <c r="C45" s="45"/>
      <c r="D45" s="47"/>
      <c r="E45" s="45"/>
      <c r="F45" s="45"/>
      <c r="G45" s="45"/>
      <c r="H45" s="45"/>
    </row>
    <row r="46" spans="2:17" ht="17.5" x14ac:dyDescent="0.4">
      <c r="B46" s="17" t="s">
        <v>23</v>
      </c>
      <c r="E46" s="47"/>
      <c r="G46" s="45"/>
      <c r="H46" s="45"/>
    </row>
    <row r="47" spans="2:17" ht="18.75" customHeight="1" x14ac:dyDescent="0.4">
      <c r="B47" s="17" t="s">
        <v>22</v>
      </c>
    </row>
    <row r="48" spans="2:17" ht="17.5" x14ac:dyDescent="0.4">
      <c r="B48" s="46" t="s">
        <v>21</v>
      </c>
    </row>
    <row r="49" spans="2:9" ht="18.75" customHeight="1" x14ac:dyDescent="0.4">
      <c r="B49" s="17" t="s">
        <v>20</v>
      </c>
    </row>
    <row r="50" spans="2:9" x14ac:dyDescent="0.4">
      <c r="B50" s="17"/>
    </row>
    <row r="51" spans="2:9" x14ac:dyDescent="0.4">
      <c r="I51" s="45"/>
    </row>
  </sheetData>
  <mergeCells count="1">
    <mergeCell ref="C7:D7"/>
  </mergeCells>
  <pageMargins left="0.7" right="0.7" top="0.75" bottom="0.75" header="0.3" footer="0.3"/>
  <pageSetup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Histórico del Portafolio</vt:lpstr>
      <vt:lpstr>Datos</vt:lpstr>
      <vt:lpstr>Dividendos recibidos</vt:lpstr>
      <vt:lpstr>Dividendos pagados </vt:lpstr>
      <vt:lpstr>EV-Ebitda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Gomez</dc:creator>
  <cp:lastModifiedBy>Susana Gomez Estrada</cp:lastModifiedBy>
  <dcterms:created xsi:type="dcterms:W3CDTF">2016-03-11T15:40:51Z</dcterms:created>
  <dcterms:modified xsi:type="dcterms:W3CDTF">2025-05-08T21:45:26Z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{76DA82E3-B490-4104-9779-78FABE716A4E}</vt:lpwstr>
  </property>
</Properties>
</file>