
<file path=[Content_Types].xml><?xml version="1.0" encoding="utf-8"?>
<Types xmlns="http://schemas.openxmlformats.org/package/2006/content-types">
  <Default Extension="bin" ContentType="application/vnd.openxmlformats-officedocument.spreadsheetml.customProperty"/>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rinterSettings/printerSettings1.bin" ContentType="application/vnd.openxmlformats-officedocument.spreadsheetml.printerSettings"/>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2.xml" ContentType="application/vnd.openxmlformats-officedocument.spreadsheetml.comments+xml"/>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rinterSettings/printerSettings2.bin" ContentType="application/vnd.openxmlformats-officedocument.spreadsheetml.printerSettings"/>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omments7.xml" ContentType="application/vnd.openxmlformats-officedocument.spreadsheetml.comments+xml"/>
  <Override PartName="/xl/printerSettings/printerSettings3.bin" ContentType="application/vnd.openxmlformats-officedocument.spreadsheetml.printerSettings"/>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02. Relación con el Inversionista\01. Resultados Trimestrales\2025\04. 3Q2025\07. Kit Inversionistas\"/>
    </mc:Choice>
  </mc:AlternateContent>
  <xr:revisionPtr revIDLastSave="0" documentId="8_{8B2E5C6E-C82B-4219-8EDF-37CBFD6CE192}" xr6:coauthVersionLast="47" xr6:coauthVersionMax="47" xr10:uidLastSave="{00000000-0000-0000-0000-000000000000}"/>
  <bookViews>
    <workbookView xWindow="-110" yWindow="-110" windowWidth="19420" windowHeight="10300" firstSheet="23" activeTab="24" xr2:uid="{6EC9C44F-F2FB-462E-8174-E5AC1CB67AE8}"/>
  </bookViews>
  <sheets>
    <sheet name="Resultados separados" sheetId="72" r:id="rId1"/>
    <sheet name="Resultados consolidados" sheetId="74" r:id="rId2"/>
    <sheet name="Aporte por segmento acumulado" sheetId="75" r:id="rId3"/>
    <sheet name="Aporte por segmento trimestral" sheetId="81" r:id="rId4"/>
    <sheet name="Ingresos oper y FC dividendos -" sheetId="76" r:id="rId5"/>
    <sheet name="ESF GA Consol Q" sheetId="1" r:id="rId6"/>
    <sheet name="ER GA Consol Q" sheetId="2" r:id="rId7"/>
    <sheet name="ESF GA Separado Q" sheetId="3" r:id="rId8"/>
    <sheet name="ER GA separado Q" sheetId="5" r:id="rId9"/>
    <sheet name="ESF GA Cons Acum." sheetId="7" r:id="rId10"/>
    <sheet name="ER GA Cons Acum." sheetId="8" r:id="rId11"/>
    <sheet name="ESFA separado" sheetId="77" state="hidden" r:id="rId12"/>
    <sheet name="ESF GA separado" sheetId="9" r:id="rId13"/>
    <sheet name="ER GA separado Acum." sheetId="10" r:id="rId14"/>
    <sheet name="Segmentos Mar" sheetId="84" state="hidden" r:id="rId15"/>
    <sheet name="Segmentos Jun" sheetId="83" state="hidden" r:id="rId16"/>
    <sheet name="Segmentos Sep" sheetId="11" r:id="rId17"/>
    <sheet name="Ingresos por geografía" sheetId="27" r:id="rId18"/>
    <sheet name="Dividendos GA separado" sheetId="12" r:id="rId19"/>
    <sheet name="MPP GA separado" sheetId="13" r:id="rId20"/>
    <sheet name="Util. Vta. Inv. GA Separado" sheetId="14" r:id="rId21"/>
    <sheet name="Dividendos GA Consolidado " sheetId="43" r:id="rId22"/>
    <sheet name="MPP GA consolidado" sheetId="16" r:id="rId23"/>
    <sheet name="EFE GA separado" sheetId="86" r:id="rId24"/>
    <sheet name="EFE GA Consolidado" sheetId="88" r:id="rId25"/>
  </sheets>
  <externalReferences>
    <externalReference r:id="rId26"/>
    <externalReference r:id="rId27"/>
    <externalReference r:id="rId28"/>
    <externalReference r:id="rId29"/>
    <externalReference r:id="rId30"/>
    <externalReference r:id="rId31"/>
  </externalReferences>
  <definedNames>
    <definedName name="__" localSheetId="15" hidden="1">{#N/A,#N/A,FALSE,"balance";#N/A,#N/A,FALSE,"PYG"}</definedName>
    <definedName name="__" localSheetId="14" hidden="1">{#N/A,#N/A,FALSE,"balance";#N/A,#N/A,FALSE,"PYG"}</definedName>
    <definedName name="__" hidden="1">{#N/A,#N/A,FALSE,"balance";#N/A,#N/A,FALSE,"PYG"}</definedName>
    <definedName name="______________________________________________GGF2" localSheetId="15" hidden="1">{#N/A,#N/A,FALSE,"balance";#N/A,#N/A,FALSE,"PYG"}</definedName>
    <definedName name="______________________________________________GGF2" localSheetId="14" hidden="1">{#N/A,#N/A,FALSE,"balance";#N/A,#N/A,FALSE,"PYG"}</definedName>
    <definedName name="______________________________________________GGF2" hidden="1">{#N/A,#N/A,FALSE,"balance";#N/A,#N/A,FALSE,"PYG"}</definedName>
    <definedName name="______________________________________________OCT2" localSheetId="15" hidden="1">{#N/A,#N/A,FALSE,"BL&amp;GPA";#N/A,#N/A,FALSE,"Summary";#N/A,#N/A,FALSE,"hts"}</definedName>
    <definedName name="______________________________________________OCT2" localSheetId="14" hidden="1">{#N/A,#N/A,FALSE,"BL&amp;GPA";#N/A,#N/A,FALSE,"Summary";#N/A,#N/A,FALSE,"hts"}</definedName>
    <definedName name="______________________________________________OCT2" hidden="1">{#N/A,#N/A,FALSE,"BL&amp;GPA";#N/A,#N/A,FALSE,"Summary";#N/A,#N/A,FALSE,"hts"}</definedName>
    <definedName name="______________________________________________ok1" localSheetId="15" hidden="1">{#N/A,#N/A,FALSE,"balance";#N/A,#N/A,FALSE,"PYG"}</definedName>
    <definedName name="______________________________________________ok1" localSheetId="14" hidden="1">{#N/A,#N/A,FALSE,"balance";#N/A,#N/A,FALSE,"PYG"}</definedName>
    <definedName name="______________________________________________ok1" hidden="1">{#N/A,#N/A,FALSE,"balance";#N/A,#N/A,FALSE,"PYG"}</definedName>
    <definedName name="______________________________________________Ok2" localSheetId="15" hidden="1">{#N/A,#N/A,FALSE,"balance";#N/A,#N/A,FALSE,"PYG"}</definedName>
    <definedName name="______________________________________________Ok2" localSheetId="14" hidden="1">{#N/A,#N/A,FALSE,"balance";#N/A,#N/A,FALSE,"PYG"}</definedName>
    <definedName name="______________________________________________Ok2" hidden="1">{#N/A,#N/A,FALSE,"balance";#N/A,#N/A,FALSE,"PYG"}</definedName>
    <definedName name="______________________________________________PyG2" localSheetId="15" hidden="1">{#N/A,#N/A,FALSE,"balance";#N/A,#N/A,FALSE,"PYG"}</definedName>
    <definedName name="______________________________________________PyG2" localSheetId="14" hidden="1">{#N/A,#N/A,FALSE,"balance";#N/A,#N/A,FALSE,"PYG"}</definedName>
    <definedName name="______________________________________________PyG2" hidden="1">{#N/A,#N/A,FALSE,"balance";#N/A,#N/A,FALSE,"PYG"}</definedName>
    <definedName name="______________________________________________PYG3" localSheetId="15" hidden="1">{#N/A,#N/A,FALSE,"balance";#N/A,#N/A,FALSE,"PYG"}</definedName>
    <definedName name="______________________________________________PYG3" localSheetId="14" hidden="1">{#N/A,#N/A,FALSE,"balance";#N/A,#N/A,FALSE,"PYG"}</definedName>
    <definedName name="______________________________________________PYG3" hidden="1">{#N/A,#N/A,FALSE,"balance";#N/A,#N/A,FALSE,"PYG"}</definedName>
    <definedName name="______________________________________________PyG33" localSheetId="15" hidden="1">{#N/A,#N/A,FALSE,"balance";#N/A,#N/A,FALSE,"PYG"}</definedName>
    <definedName name="______________________________________________PyG33" localSheetId="14" hidden="1">{#N/A,#N/A,FALSE,"balance";#N/A,#N/A,FALSE,"PYG"}</definedName>
    <definedName name="______________________________________________PyG33" hidden="1">{#N/A,#N/A,FALSE,"balance";#N/A,#N/A,FALSE,"PYG"}</definedName>
    <definedName name="_____________________________________________GGF2" localSheetId="15" hidden="1">{#N/A,#N/A,FALSE,"balance";#N/A,#N/A,FALSE,"PYG"}</definedName>
    <definedName name="_____________________________________________GGF2" localSheetId="14" hidden="1">{#N/A,#N/A,FALSE,"balance";#N/A,#N/A,FALSE,"PYG"}</definedName>
    <definedName name="_____________________________________________GGF2" hidden="1">{#N/A,#N/A,FALSE,"balance";#N/A,#N/A,FALSE,"PYG"}</definedName>
    <definedName name="_____________________________________________OCT2" localSheetId="15" hidden="1">{#N/A,#N/A,FALSE,"BL&amp;GPA";#N/A,#N/A,FALSE,"Summary";#N/A,#N/A,FALSE,"hts"}</definedName>
    <definedName name="_____________________________________________OCT2" localSheetId="14" hidden="1">{#N/A,#N/A,FALSE,"BL&amp;GPA";#N/A,#N/A,FALSE,"Summary";#N/A,#N/A,FALSE,"hts"}</definedName>
    <definedName name="_____________________________________________OCT2" hidden="1">{#N/A,#N/A,FALSE,"BL&amp;GPA";#N/A,#N/A,FALSE,"Summary";#N/A,#N/A,FALSE,"hts"}</definedName>
    <definedName name="_____________________________________________ok1" localSheetId="15" hidden="1">{#N/A,#N/A,FALSE,"balance";#N/A,#N/A,FALSE,"PYG"}</definedName>
    <definedName name="_____________________________________________ok1" localSheetId="14" hidden="1">{#N/A,#N/A,FALSE,"balance";#N/A,#N/A,FALSE,"PYG"}</definedName>
    <definedName name="_____________________________________________ok1" hidden="1">{#N/A,#N/A,FALSE,"balance";#N/A,#N/A,FALSE,"PYG"}</definedName>
    <definedName name="_____________________________________________Ok2" localSheetId="15" hidden="1">{#N/A,#N/A,FALSE,"balance";#N/A,#N/A,FALSE,"PYG"}</definedName>
    <definedName name="_____________________________________________Ok2" localSheetId="14" hidden="1">{#N/A,#N/A,FALSE,"balance";#N/A,#N/A,FALSE,"PYG"}</definedName>
    <definedName name="_____________________________________________Ok2" hidden="1">{#N/A,#N/A,FALSE,"balance";#N/A,#N/A,FALSE,"PYG"}</definedName>
    <definedName name="_____________________________________________PyG2" localSheetId="15" hidden="1">{#N/A,#N/A,FALSE,"balance";#N/A,#N/A,FALSE,"PYG"}</definedName>
    <definedName name="_____________________________________________PyG2" localSheetId="14" hidden="1">{#N/A,#N/A,FALSE,"balance";#N/A,#N/A,FALSE,"PYG"}</definedName>
    <definedName name="_____________________________________________PyG2" hidden="1">{#N/A,#N/A,FALSE,"balance";#N/A,#N/A,FALSE,"PYG"}</definedName>
    <definedName name="_____________________________________________PYG3" localSheetId="15" hidden="1">{#N/A,#N/A,FALSE,"balance";#N/A,#N/A,FALSE,"PYG"}</definedName>
    <definedName name="_____________________________________________PYG3" localSheetId="14" hidden="1">{#N/A,#N/A,FALSE,"balance";#N/A,#N/A,FALSE,"PYG"}</definedName>
    <definedName name="_____________________________________________PYG3" hidden="1">{#N/A,#N/A,FALSE,"balance";#N/A,#N/A,FALSE,"PYG"}</definedName>
    <definedName name="_____________________________________________PyG33" localSheetId="15" hidden="1">{#N/A,#N/A,FALSE,"balance";#N/A,#N/A,FALSE,"PYG"}</definedName>
    <definedName name="_____________________________________________PyG33" localSheetId="14" hidden="1">{#N/A,#N/A,FALSE,"balance";#N/A,#N/A,FALSE,"PYG"}</definedName>
    <definedName name="_____________________________________________PyG33" hidden="1">{#N/A,#N/A,FALSE,"balance";#N/A,#N/A,FALSE,"PYG"}</definedName>
    <definedName name="____________________________________________GGF2" localSheetId="15" hidden="1">{#N/A,#N/A,FALSE,"balance";#N/A,#N/A,FALSE,"PYG"}</definedName>
    <definedName name="____________________________________________GGF2" localSheetId="14" hidden="1">{#N/A,#N/A,FALSE,"balance";#N/A,#N/A,FALSE,"PYG"}</definedName>
    <definedName name="____________________________________________GGF2" hidden="1">{#N/A,#N/A,FALSE,"balance";#N/A,#N/A,FALSE,"PYG"}</definedName>
    <definedName name="____________________________________________OCT2" localSheetId="15" hidden="1">{#N/A,#N/A,FALSE,"BL&amp;GPA";#N/A,#N/A,FALSE,"Summary";#N/A,#N/A,FALSE,"hts"}</definedName>
    <definedName name="____________________________________________OCT2" localSheetId="14" hidden="1">{#N/A,#N/A,FALSE,"BL&amp;GPA";#N/A,#N/A,FALSE,"Summary";#N/A,#N/A,FALSE,"hts"}</definedName>
    <definedName name="____________________________________________OCT2" hidden="1">{#N/A,#N/A,FALSE,"BL&amp;GPA";#N/A,#N/A,FALSE,"Summary";#N/A,#N/A,FALSE,"hts"}</definedName>
    <definedName name="____________________________________________ok1" localSheetId="15" hidden="1">{#N/A,#N/A,FALSE,"balance";#N/A,#N/A,FALSE,"PYG"}</definedName>
    <definedName name="____________________________________________ok1" localSheetId="14" hidden="1">{#N/A,#N/A,FALSE,"balance";#N/A,#N/A,FALSE,"PYG"}</definedName>
    <definedName name="____________________________________________ok1" hidden="1">{#N/A,#N/A,FALSE,"balance";#N/A,#N/A,FALSE,"PYG"}</definedName>
    <definedName name="____________________________________________Ok2" localSheetId="15" hidden="1">{#N/A,#N/A,FALSE,"balance";#N/A,#N/A,FALSE,"PYG"}</definedName>
    <definedName name="____________________________________________Ok2" localSheetId="14" hidden="1">{#N/A,#N/A,FALSE,"balance";#N/A,#N/A,FALSE,"PYG"}</definedName>
    <definedName name="____________________________________________Ok2" hidden="1">{#N/A,#N/A,FALSE,"balance";#N/A,#N/A,FALSE,"PYG"}</definedName>
    <definedName name="____________________________________________PyG2" localSheetId="15" hidden="1">{#N/A,#N/A,FALSE,"balance";#N/A,#N/A,FALSE,"PYG"}</definedName>
    <definedName name="____________________________________________PyG2" localSheetId="14" hidden="1">{#N/A,#N/A,FALSE,"balance";#N/A,#N/A,FALSE,"PYG"}</definedName>
    <definedName name="____________________________________________PyG2" hidden="1">{#N/A,#N/A,FALSE,"balance";#N/A,#N/A,FALSE,"PYG"}</definedName>
    <definedName name="____________________________________________PYG3" localSheetId="15" hidden="1">{#N/A,#N/A,FALSE,"balance";#N/A,#N/A,FALSE,"PYG"}</definedName>
    <definedName name="____________________________________________PYG3" localSheetId="14" hidden="1">{#N/A,#N/A,FALSE,"balance";#N/A,#N/A,FALSE,"PYG"}</definedName>
    <definedName name="____________________________________________PYG3" hidden="1">{#N/A,#N/A,FALSE,"balance";#N/A,#N/A,FALSE,"PYG"}</definedName>
    <definedName name="____________________________________________PyG33" localSheetId="15" hidden="1">{#N/A,#N/A,FALSE,"balance";#N/A,#N/A,FALSE,"PYG"}</definedName>
    <definedName name="____________________________________________PyG33" localSheetId="14" hidden="1">{#N/A,#N/A,FALSE,"balance";#N/A,#N/A,FALSE,"PYG"}</definedName>
    <definedName name="____________________________________________PyG33" hidden="1">{#N/A,#N/A,FALSE,"balance";#N/A,#N/A,FALSE,"PYG"}</definedName>
    <definedName name="___________________________________________GGF2" localSheetId="15" hidden="1">{#N/A,#N/A,FALSE,"balance";#N/A,#N/A,FALSE,"PYG"}</definedName>
    <definedName name="___________________________________________GGF2" localSheetId="14" hidden="1">{#N/A,#N/A,FALSE,"balance";#N/A,#N/A,FALSE,"PYG"}</definedName>
    <definedName name="___________________________________________GGF2" hidden="1">{#N/A,#N/A,FALSE,"balance";#N/A,#N/A,FALSE,"PYG"}</definedName>
    <definedName name="___________________________________________OCT2" localSheetId="15" hidden="1">{#N/A,#N/A,FALSE,"BL&amp;GPA";#N/A,#N/A,FALSE,"Summary";#N/A,#N/A,FALSE,"hts"}</definedName>
    <definedName name="___________________________________________OCT2" localSheetId="14" hidden="1">{#N/A,#N/A,FALSE,"BL&amp;GPA";#N/A,#N/A,FALSE,"Summary";#N/A,#N/A,FALSE,"hts"}</definedName>
    <definedName name="___________________________________________OCT2" hidden="1">{#N/A,#N/A,FALSE,"BL&amp;GPA";#N/A,#N/A,FALSE,"Summary";#N/A,#N/A,FALSE,"hts"}</definedName>
    <definedName name="___________________________________________ok1" localSheetId="15" hidden="1">{#N/A,#N/A,FALSE,"balance";#N/A,#N/A,FALSE,"PYG"}</definedName>
    <definedName name="___________________________________________ok1" localSheetId="14" hidden="1">{#N/A,#N/A,FALSE,"balance";#N/A,#N/A,FALSE,"PYG"}</definedName>
    <definedName name="___________________________________________ok1" hidden="1">{#N/A,#N/A,FALSE,"balance";#N/A,#N/A,FALSE,"PYG"}</definedName>
    <definedName name="___________________________________________Ok2" localSheetId="15" hidden="1">{#N/A,#N/A,FALSE,"balance";#N/A,#N/A,FALSE,"PYG"}</definedName>
    <definedName name="___________________________________________Ok2" localSheetId="14" hidden="1">{#N/A,#N/A,FALSE,"balance";#N/A,#N/A,FALSE,"PYG"}</definedName>
    <definedName name="___________________________________________Ok2" hidden="1">{#N/A,#N/A,FALSE,"balance";#N/A,#N/A,FALSE,"PYG"}</definedName>
    <definedName name="___________________________________________PyG2" localSheetId="15" hidden="1">{#N/A,#N/A,FALSE,"balance";#N/A,#N/A,FALSE,"PYG"}</definedName>
    <definedName name="___________________________________________PyG2" localSheetId="14" hidden="1">{#N/A,#N/A,FALSE,"balance";#N/A,#N/A,FALSE,"PYG"}</definedName>
    <definedName name="___________________________________________PyG2" hidden="1">{#N/A,#N/A,FALSE,"balance";#N/A,#N/A,FALSE,"PYG"}</definedName>
    <definedName name="___________________________________________PYG3" localSheetId="15" hidden="1">{#N/A,#N/A,FALSE,"balance";#N/A,#N/A,FALSE,"PYG"}</definedName>
    <definedName name="___________________________________________PYG3" localSheetId="14" hidden="1">{#N/A,#N/A,FALSE,"balance";#N/A,#N/A,FALSE,"PYG"}</definedName>
    <definedName name="___________________________________________PYG3" hidden="1">{#N/A,#N/A,FALSE,"balance";#N/A,#N/A,FALSE,"PYG"}</definedName>
    <definedName name="___________________________________________PyG33" localSheetId="15" hidden="1">{#N/A,#N/A,FALSE,"balance";#N/A,#N/A,FALSE,"PYG"}</definedName>
    <definedName name="___________________________________________PyG33" localSheetId="14" hidden="1">{#N/A,#N/A,FALSE,"balance";#N/A,#N/A,FALSE,"PYG"}</definedName>
    <definedName name="___________________________________________PyG33" hidden="1">{#N/A,#N/A,FALSE,"balance";#N/A,#N/A,FALSE,"PYG"}</definedName>
    <definedName name="__________________________________________GGF2" localSheetId="15" hidden="1">{#N/A,#N/A,FALSE,"balance";#N/A,#N/A,FALSE,"PYG"}</definedName>
    <definedName name="__________________________________________GGF2" localSheetId="14" hidden="1">{#N/A,#N/A,FALSE,"balance";#N/A,#N/A,FALSE,"PYG"}</definedName>
    <definedName name="__________________________________________GGF2" hidden="1">{#N/A,#N/A,FALSE,"balance";#N/A,#N/A,FALSE,"PYG"}</definedName>
    <definedName name="__________________________________________OCT2" localSheetId="15" hidden="1">{#N/A,#N/A,FALSE,"BL&amp;GPA";#N/A,#N/A,FALSE,"Summary";#N/A,#N/A,FALSE,"hts"}</definedName>
    <definedName name="__________________________________________OCT2" localSheetId="14" hidden="1">{#N/A,#N/A,FALSE,"BL&amp;GPA";#N/A,#N/A,FALSE,"Summary";#N/A,#N/A,FALSE,"hts"}</definedName>
    <definedName name="__________________________________________OCT2" hidden="1">{#N/A,#N/A,FALSE,"BL&amp;GPA";#N/A,#N/A,FALSE,"Summary";#N/A,#N/A,FALSE,"hts"}</definedName>
    <definedName name="__________________________________________ok1" localSheetId="15" hidden="1">{#N/A,#N/A,FALSE,"balance";#N/A,#N/A,FALSE,"PYG"}</definedName>
    <definedName name="__________________________________________ok1" localSheetId="14" hidden="1">{#N/A,#N/A,FALSE,"balance";#N/A,#N/A,FALSE,"PYG"}</definedName>
    <definedName name="__________________________________________ok1" hidden="1">{#N/A,#N/A,FALSE,"balance";#N/A,#N/A,FALSE,"PYG"}</definedName>
    <definedName name="__________________________________________Ok2" localSheetId="15" hidden="1">{#N/A,#N/A,FALSE,"balance";#N/A,#N/A,FALSE,"PYG"}</definedName>
    <definedName name="__________________________________________Ok2" localSheetId="14" hidden="1">{#N/A,#N/A,FALSE,"balance";#N/A,#N/A,FALSE,"PYG"}</definedName>
    <definedName name="__________________________________________Ok2" hidden="1">{#N/A,#N/A,FALSE,"balance";#N/A,#N/A,FALSE,"PYG"}</definedName>
    <definedName name="__________________________________________PyG2" localSheetId="15" hidden="1">{#N/A,#N/A,FALSE,"balance";#N/A,#N/A,FALSE,"PYG"}</definedName>
    <definedName name="__________________________________________PyG2" localSheetId="14" hidden="1">{#N/A,#N/A,FALSE,"balance";#N/A,#N/A,FALSE,"PYG"}</definedName>
    <definedName name="__________________________________________PyG2" hidden="1">{#N/A,#N/A,FALSE,"balance";#N/A,#N/A,FALSE,"PYG"}</definedName>
    <definedName name="__________________________________________PYG3" localSheetId="15" hidden="1">{#N/A,#N/A,FALSE,"balance";#N/A,#N/A,FALSE,"PYG"}</definedName>
    <definedName name="__________________________________________PYG3" localSheetId="14" hidden="1">{#N/A,#N/A,FALSE,"balance";#N/A,#N/A,FALSE,"PYG"}</definedName>
    <definedName name="__________________________________________PYG3" hidden="1">{#N/A,#N/A,FALSE,"balance";#N/A,#N/A,FALSE,"PYG"}</definedName>
    <definedName name="__________________________________________PyG33" localSheetId="15" hidden="1">{#N/A,#N/A,FALSE,"balance";#N/A,#N/A,FALSE,"PYG"}</definedName>
    <definedName name="__________________________________________PyG33" localSheetId="14" hidden="1">{#N/A,#N/A,FALSE,"balance";#N/A,#N/A,FALSE,"PYG"}</definedName>
    <definedName name="__________________________________________PyG33" hidden="1">{#N/A,#N/A,FALSE,"balance";#N/A,#N/A,FALSE,"PYG"}</definedName>
    <definedName name="_________________________________________GGF2" localSheetId="15" hidden="1">{#N/A,#N/A,FALSE,"balance";#N/A,#N/A,FALSE,"PYG"}</definedName>
    <definedName name="_________________________________________GGF2" localSheetId="14" hidden="1">{#N/A,#N/A,FALSE,"balance";#N/A,#N/A,FALSE,"PYG"}</definedName>
    <definedName name="_________________________________________GGF2" hidden="1">{#N/A,#N/A,FALSE,"balance";#N/A,#N/A,FALSE,"PYG"}</definedName>
    <definedName name="_________________________________________OCT2" localSheetId="15" hidden="1">{#N/A,#N/A,FALSE,"BL&amp;GPA";#N/A,#N/A,FALSE,"Summary";#N/A,#N/A,FALSE,"hts"}</definedName>
    <definedName name="_________________________________________OCT2" localSheetId="14" hidden="1">{#N/A,#N/A,FALSE,"BL&amp;GPA";#N/A,#N/A,FALSE,"Summary";#N/A,#N/A,FALSE,"hts"}</definedName>
    <definedName name="_________________________________________OCT2" hidden="1">{#N/A,#N/A,FALSE,"BL&amp;GPA";#N/A,#N/A,FALSE,"Summary";#N/A,#N/A,FALSE,"hts"}</definedName>
    <definedName name="_________________________________________ok1" localSheetId="15" hidden="1">{#N/A,#N/A,FALSE,"balance";#N/A,#N/A,FALSE,"PYG"}</definedName>
    <definedName name="_________________________________________ok1" localSheetId="14" hidden="1">{#N/A,#N/A,FALSE,"balance";#N/A,#N/A,FALSE,"PYG"}</definedName>
    <definedName name="_________________________________________ok1" hidden="1">{#N/A,#N/A,FALSE,"balance";#N/A,#N/A,FALSE,"PYG"}</definedName>
    <definedName name="_________________________________________Ok2" localSheetId="15" hidden="1">{#N/A,#N/A,FALSE,"balance";#N/A,#N/A,FALSE,"PYG"}</definedName>
    <definedName name="_________________________________________Ok2" localSheetId="14" hidden="1">{#N/A,#N/A,FALSE,"balance";#N/A,#N/A,FALSE,"PYG"}</definedName>
    <definedName name="_________________________________________Ok2" hidden="1">{#N/A,#N/A,FALSE,"balance";#N/A,#N/A,FALSE,"PYG"}</definedName>
    <definedName name="_________________________________________PyG2" localSheetId="15" hidden="1">{#N/A,#N/A,FALSE,"balance";#N/A,#N/A,FALSE,"PYG"}</definedName>
    <definedName name="_________________________________________PyG2" localSheetId="14" hidden="1">{#N/A,#N/A,FALSE,"balance";#N/A,#N/A,FALSE,"PYG"}</definedName>
    <definedName name="_________________________________________PyG2" hidden="1">{#N/A,#N/A,FALSE,"balance";#N/A,#N/A,FALSE,"PYG"}</definedName>
    <definedName name="_________________________________________PYG3" localSheetId="15" hidden="1">{#N/A,#N/A,FALSE,"balance";#N/A,#N/A,FALSE,"PYG"}</definedName>
    <definedName name="_________________________________________PYG3" localSheetId="14" hidden="1">{#N/A,#N/A,FALSE,"balance";#N/A,#N/A,FALSE,"PYG"}</definedName>
    <definedName name="_________________________________________PYG3" hidden="1">{#N/A,#N/A,FALSE,"balance";#N/A,#N/A,FALSE,"PYG"}</definedName>
    <definedName name="_________________________________________PyG33" localSheetId="15" hidden="1">{#N/A,#N/A,FALSE,"balance";#N/A,#N/A,FALSE,"PYG"}</definedName>
    <definedName name="_________________________________________PyG33" localSheetId="14" hidden="1">{#N/A,#N/A,FALSE,"balance";#N/A,#N/A,FALSE,"PYG"}</definedName>
    <definedName name="_________________________________________PyG33" hidden="1">{#N/A,#N/A,FALSE,"balance";#N/A,#N/A,FALSE,"PYG"}</definedName>
    <definedName name="________________________________________GGF2" localSheetId="15" hidden="1">{#N/A,#N/A,FALSE,"balance";#N/A,#N/A,FALSE,"PYG"}</definedName>
    <definedName name="________________________________________GGF2" localSheetId="14" hidden="1">{#N/A,#N/A,FALSE,"balance";#N/A,#N/A,FALSE,"PYG"}</definedName>
    <definedName name="________________________________________GGF2" hidden="1">{#N/A,#N/A,FALSE,"balance";#N/A,#N/A,FALSE,"PYG"}</definedName>
    <definedName name="________________________________________OCT2" localSheetId="15" hidden="1">{#N/A,#N/A,FALSE,"BL&amp;GPA";#N/A,#N/A,FALSE,"Summary";#N/A,#N/A,FALSE,"hts"}</definedName>
    <definedName name="________________________________________OCT2" localSheetId="14" hidden="1">{#N/A,#N/A,FALSE,"BL&amp;GPA";#N/A,#N/A,FALSE,"Summary";#N/A,#N/A,FALSE,"hts"}</definedName>
    <definedName name="________________________________________OCT2" hidden="1">{#N/A,#N/A,FALSE,"BL&amp;GPA";#N/A,#N/A,FALSE,"Summary";#N/A,#N/A,FALSE,"hts"}</definedName>
    <definedName name="________________________________________ok1" localSheetId="15" hidden="1">{#N/A,#N/A,FALSE,"balance";#N/A,#N/A,FALSE,"PYG"}</definedName>
    <definedName name="________________________________________ok1" localSheetId="14" hidden="1">{#N/A,#N/A,FALSE,"balance";#N/A,#N/A,FALSE,"PYG"}</definedName>
    <definedName name="________________________________________ok1" hidden="1">{#N/A,#N/A,FALSE,"balance";#N/A,#N/A,FALSE,"PYG"}</definedName>
    <definedName name="________________________________________Ok2" localSheetId="15" hidden="1">{#N/A,#N/A,FALSE,"balance";#N/A,#N/A,FALSE,"PYG"}</definedName>
    <definedName name="________________________________________Ok2" localSheetId="14" hidden="1">{#N/A,#N/A,FALSE,"balance";#N/A,#N/A,FALSE,"PYG"}</definedName>
    <definedName name="________________________________________Ok2" hidden="1">{#N/A,#N/A,FALSE,"balance";#N/A,#N/A,FALSE,"PYG"}</definedName>
    <definedName name="________________________________________PyG2" localSheetId="15" hidden="1">{#N/A,#N/A,FALSE,"balance";#N/A,#N/A,FALSE,"PYG"}</definedName>
    <definedName name="________________________________________PyG2" localSheetId="14" hidden="1">{#N/A,#N/A,FALSE,"balance";#N/A,#N/A,FALSE,"PYG"}</definedName>
    <definedName name="________________________________________PyG2" hidden="1">{#N/A,#N/A,FALSE,"balance";#N/A,#N/A,FALSE,"PYG"}</definedName>
    <definedName name="________________________________________PYG3" localSheetId="15" hidden="1">{#N/A,#N/A,FALSE,"balance";#N/A,#N/A,FALSE,"PYG"}</definedName>
    <definedName name="________________________________________PYG3" localSheetId="14" hidden="1">{#N/A,#N/A,FALSE,"balance";#N/A,#N/A,FALSE,"PYG"}</definedName>
    <definedName name="________________________________________PYG3" hidden="1">{#N/A,#N/A,FALSE,"balance";#N/A,#N/A,FALSE,"PYG"}</definedName>
    <definedName name="________________________________________PyG33" localSheetId="15" hidden="1">{#N/A,#N/A,FALSE,"balance";#N/A,#N/A,FALSE,"PYG"}</definedName>
    <definedName name="________________________________________PyG33" localSheetId="14" hidden="1">{#N/A,#N/A,FALSE,"balance";#N/A,#N/A,FALSE,"PYG"}</definedName>
    <definedName name="________________________________________PyG33" hidden="1">{#N/A,#N/A,FALSE,"balance";#N/A,#N/A,FALSE,"PYG"}</definedName>
    <definedName name="_______________________________________GGF2" localSheetId="15" hidden="1">{#N/A,#N/A,FALSE,"balance";#N/A,#N/A,FALSE,"PYG"}</definedName>
    <definedName name="_______________________________________GGF2" localSheetId="14" hidden="1">{#N/A,#N/A,FALSE,"balance";#N/A,#N/A,FALSE,"PYG"}</definedName>
    <definedName name="_______________________________________GGF2" hidden="1">{#N/A,#N/A,FALSE,"balance";#N/A,#N/A,FALSE,"PYG"}</definedName>
    <definedName name="_______________________________________OCT2" localSheetId="15" hidden="1">{#N/A,#N/A,FALSE,"BL&amp;GPA";#N/A,#N/A,FALSE,"Summary";#N/A,#N/A,FALSE,"hts"}</definedName>
    <definedName name="_______________________________________OCT2" localSheetId="14" hidden="1">{#N/A,#N/A,FALSE,"BL&amp;GPA";#N/A,#N/A,FALSE,"Summary";#N/A,#N/A,FALSE,"hts"}</definedName>
    <definedName name="_______________________________________OCT2" hidden="1">{#N/A,#N/A,FALSE,"BL&amp;GPA";#N/A,#N/A,FALSE,"Summary";#N/A,#N/A,FALSE,"hts"}</definedName>
    <definedName name="_______________________________________ok1" localSheetId="15" hidden="1">{#N/A,#N/A,FALSE,"balance";#N/A,#N/A,FALSE,"PYG"}</definedName>
    <definedName name="_______________________________________ok1" localSheetId="14" hidden="1">{#N/A,#N/A,FALSE,"balance";#N/A,#N/A,FALSE,"PYG"}</definedName>
    <definedName name="_______________________________________ok1" hidden="1">{#N/A,#N/A,FALSE,"balance";#N/A,#N/A,FALSE,"PYG"}</definedName>
    <definedName name="_______________________________________Ok2" localSheetId="15" hidden="1">{#N/A,#N/A,FALSE,"balance";#N/A,#N/A,FALSE,"PYG"}</definedName>
    <definedName name="_______________________________________Ok2" localSheetId="14" hidden="1">{#N/A,#N/A,FALSE,"balance";#N/A,#N/A,FALSE,"PYG"}</definedName>
    <definedName name="_______________________________________Ok2" hidden="1">{#N/A,#N/A,FALSE,"balance";#N/A,#N/A,FALSE,"PYG"}</definedName>
    <definedName name="_______________________________________PyG2" localSheetId="15" hidden="1">{#N/A,#N/A,FALSE,"balance";#N/A,#N/A,FALSE,"PYG"}</definedName>
    <definedName name="_______________________________________PyG2" localSheetId="14" hidden="1">{#N/A,#N/A,FALSE,"balance";#N/A,#N/A,FALSE,"PYG"}</definedName>
    <definedName name="_______________________________________PyG2" hidden="1">{#N/A,#N/A,FALSE,"balance";#N/A,#N/A,FALSE,"PYG"}</definedName>
    <definedName name="_______________________________________PYG3" localSheetId="15" hidden="1">{#N/A,#N/A,FALSE,"balance";#N/A,#N/A,FALSE,"PYG"}</definedName>
    <definedName name="_______________________________________PYG3" localSheetId="14" hidden="1">{#N/A,#N/A,FALSE,"balance";#N/A,#N/A,FALSE,"PYG"}</definedName>
    <definedName name="_______________________________________PYG3" hidden="1">{#N/A,#N/A,FALSE,"balance";#N/A,#N/A,FALSE,"PYG"}</definedName>
    <definedName name="_______________________________________PyG33" localSheetId="15" hidden="1">{#N/A,#N/A,FALSE,"balance";#N/A,#N/A,FALSE,"PYG"}</definedName>
    <definedName name="_______________________________________PyG33" localSheetId="14" hidden="1">{#N/A,#N/A,FALSE,"balance";#N/A,#N/A,FALSE,"PYG"}</definedName>
    <definedName name="_______________________________________PyG33" hidden="1">{#N/A,#N/A,FALSE,"balance";#N/A,#N/A,FALSE,"PYG"}</definedName>
    <definedName name="______________________________________GGF2" localSheetId="15" hidden="1">{#N/A,#N/A,FALSE,"balance";#N/A,#N/A,FALSE,"PYG"}</definedName>
    <definedName name="______________________________________GGF2" localSheetId="14" hidden="1">{#N/A,#N/A,FALSE,"balance";#N/A,#N/A,FALSE,"PYG"}</definedName>
    <definedName name="______________________________________GGF2" hidden="1">{#N/A,#N/A,FALSE,"balance";#N/A,#N/A,FALSE,"PYG"}</definedName>
    <definedName name="______________________________________OCT2" localSheetId="15" hidden="1">{#N/A,#N/A,FALSE,"BL&amp;GPA";#N/A,#N/A,FALSE,"Summary";#N/A,#N/A,FALSE,"hts"}</definedName>
    <definedName name="______________________________________OCT2" localSheetId="14" hidden="1">{#N/A,#N/A,FALSE,"BL&amp;GPA";#N/A,#N/A,FALSE,"Summary";#N/A,#N/A,FALSE,"hts"}</definedName>
    <definedName name="______________________________________OCT2" hidden="1">{#N/A,#N/A,FALSE,"BL&amp;GPA";#N/A,#N/A,FALSE,"Summary";#N/A,#N/A,FALSE,"hts"}</definedName>
    <definedName name="______________________________________ok1" localSheetId="15" hidden="1">{#N/A,#N/A,FALSE,"balance";#N/A,#N/A,FALSE,"PYG"}</definedName>
    <definedName name="______________________________________ok1" localSheetId="14" hidden="1">{#N/A,#N/A,FALSE,"balance";#N/A,#N/A,FALSE,"PYG"}</definedName>
    <definedName name="______________________________________ok1" hidden="1">{#N/A,#N/A,FALSE,"balance";#N/A,#N/A,FALSE,"PYG"}</definedName>
    <definedName name="______________________________________Ok2" localSheetId="15" hidden="1">{#N/A,#N/A,FALSE,"balance";#N/A,#N/A,FALSE,"PYG"}</definedName>
    <definedName name="______________________________________Ok2" localSheetId="14" hidden="1">{#N/A,#N/A,FALSE,"balance";#N/A,#N/A,FALSE,"PYG"}</definedName>
    <definedName name="______________________________________Ok2" hidden="1">{#N/A,#N/A,FALSE,"balance";#N/A,#N/A,FALSE,"PYG"}</definedName>
    <definedName name="______________________________________PyG2" localSheetId="15" hidden="1">{#N/A,#N/A,FALSE,"balance";#N/A,#N/A,FALSE,"PYG"}</definedName>
    <definedName name="______________________________________PyG2" localSheetId="14" hidden="1">{#N/A,#N/A,FALSE,"balance";#N/A,#N/A,FALSE,"PYG"}</definedName>
    <definedName name="______________________________________PyG2" hidden="1">{#N/A,#N/A,FALSE,"balance";#N/A,#N/A,FALSE,"PYG"}</definedName>
    <definedName name="______________________________________PYG3" localSheetId="15" hidden="1">{#N/A,#N/A,FALSE,"balance";#N/A,#N/A,FALSE,"PYG"}</definedName>
    <definedName name="______________________________________PYG3" localSheetId="14" hidden="1">{#N/A,#N/A,FALSE,"balance";#N/A,#N/A,FALSE,"PYG"}</definedName>
    <definedName name="______________________________________PYG3" hidden="1">{#N/A,#N/A,FALSE,"balance";#N/A,#N/A,FALSE,"PYG"}</definedName>
    <definedName name="______________________________________PyG33" localSheetId="15" hidden="1">{#N/A,#N/A,FALSE,"balance";#N/A,#N/A,FALSE,"PYG"}</definedName>
    <definedName name="______________________________________PyG33" localSheetId="14" hidden="1">{#N/A,#N/A,FALSE,"balance";#N/A,#N/A,FALSE,"PYG"}</definedName>
    <definedName name="______________________________________PyG33" hidden="1">{#N/A,#N/A,FALSE,"balance";#N/A,#N/A,FALSE,"PYG"}</definedName>
    <definedName name="_____________________________________GGF2" localSheetId="15" hidden="1">{#N/A,#N/A,FALSE,"balance";#N/A,#N/A,FALSE,"PYG"}</definedName>
    <definedName name="_____________________________________GGF2" localSheetId="14" hidden="1">{#N/A,#N/A,FALSE,"balance";#N/A,#N/A,FALSE,"PYG"}</definedName>
    <definedName name="_____________________________________GGF2" hidden="1">{#N/A,#N/A,FALSE,"balance";#N/A,#N/A,FALSE,"PYG"}</definedName>
    <definedName name="_____________________________________OCT2" localSheetId="15" hidden="1">{#N/A,#N/A,FALSE,"BL&amp;GPA";#N/A,#N/A,FALSE,"Summary";#N/A,#N/A,FALSE,"hts"}</definedName>
    <definedName name="_____________________________________OCT2" localSheetId="14" hidden="1">{#N/A,#N/A,FALSE,"BL&amp;GPA";#N/A,#N/A,FALSE,"Summary";#N/A,#N/A,FALSE,"hts"}</definedName>
    <definedName name="_____________________________________OCT2" hidden="1">{#N/A,#N/A,FALSE,"BL&amp;GPA";#N/A,#N/A,FALSE,"Summary";#N/A,#N/A,FALSE,"hts"}</definedName>
    <definedName name="_____________________________________ok1" localSheetId="15" hidden="1">{#N/A,#N/A,FALSE,"balance";#N/A,#N/A,FALSE,"PYG"}</definedName>
    <definedName name="_____________________________________ok1" localSheetId="14" hidden="1">{#N/A,#N/A,FALSE,"balance";#N/A,#N/A,FALSE,"PYG"}</definedName>
    <definedName name="_____________________________________ok1" hidden="1">{#N/A,#N/A,FALSE,"balance";#N/A,#N/A,FALSE,"PYG"}</definedName>
    <definedName name="_____________________________________Ok2" localSheetId="15" hidden="1">{#N/A,#N/A,FALSE,"balance";#N/A,#N/A,FALSE,"PYG"}</definedName>
    <definedName name="_____________________________________Ok2" localSheetId="14" hidden="1">{#N/A,#N/A,FALSE,"balance";#N/A,#N/A,FALSE,"PYG"}</definedName>
    <definedName name="_____________________________________Ok2" hidden="1">{#N/A,#N/A,FALSE,"balance";#N/A,#N/A,FALSE,"PYG"}</definedName>
    <definedName name="_____________________________________PyG2" localSheetId="15" hidden="1">{#N/A,#N/A,FALSE,"balance";#N/A,#N/A,FALSE,"PYG"}</definedName>
    <definedName name="_____________________________________PyG2" localSheetId="14" hidden="1">{#N/A,#N/A,FALSE,"balance";#N/A,#N/A,FALSE,"PYG"}</definedName>
    <definedName name="_____________________________________PyG2" hidden="1">{#N/A,#N/A,FALSE,"balance";#N/A,#N/A,FALSE,"PYG"}</definedName>
    <definedName name="_____________________________________PYG3" localSheetId="15" hidden="1">{#N/A,#N/A,FALSE,"balance";#N/A,#N/A,FALSE,"PYG"}</definedName>
    <definedName name="_____________________________________PYG3" localSheetId="14" hidden="1">{#N/A,#N/A,FALSE,"balance";#N/A,#N/A,FALSE,"PYG"}</definedName>
    <definedName name="_____________________________________PYG3" hidden="1">{#N/A,#N/A,FALSE,"balance";#N/A,#N/A,FALSE,"PYG"}</definedName>
    <definedName name="_____________________________________PyG33" localSheetId="15" hidden="1">{#N/A,#N/A,FALSE,"balance";#N/A,#N/A,FALSE,"PYG"}</definedName>
    <definedName name="_____________________________________PyG33" localSheetId="14" hidden="1">{#N/A,#N/A,FALSE,"balance";#N/A,#N/A,FALSE,"PYG"}</definedName>
    <definedName name="_____________________________________PyG33" hidden="1">{#N/A,#N/A,FALSE,"balance";#N/A,#N/A,FALSE,"PYG"}</definedName>
    <definedName name="____________________________________GGF2" localSheetId="15" hidden="1">{#N/A,#N/A,FALSE,"balance";#N/A,#N/A,FALSE,"PYG"}</definedName>
    <definedName name="____________________________________GGF2" localSheetId="14" hidden="1">{#N/A,#N/A,FALSE,"balance";#N/A,#N/A,FALSE,"PYG"}</definedName>
    <definedName name="____________________________________GGF2" hidden="1">{#N/A,#N/A,FALSE,"balance";#N/A,#N/A,FALSE,"PYG"}</definedName>
    <definedName name="____________________________________OCT2" localSheetId="15" hidden="1">{#N/A,#N/A,FALSE,"BL&amp;GPA";#N/A,#N/A,FALSE,"Summary";#N/A,#N/A,FALSE,"hts"}</definedName>
    <definedName name="____________________________________OCT2" localSheetId="14" hidden="1">{#N/A,#N/A,FALSE,"BL&amp;GPA";#N/A,#N/A,FALSE,"Summary";#N/A,#N/A,FALSE,"hts"}</definedName>
    <definedName name="____________________________________OCT2" hidden="1">{#N/A,#N/A,FALSE,"BL&amp;GPA";#N/A,#N/A,FALSE,"Summary";#N/A,#N/A,FALSE,"hts"}</definedName>
    <definedName name="____________________________________ok1" localSheetId="15" hidden="1">{#N/A,#N/A,FALSE,"balance";#N/A,#N/A,FALSE,"PYG"}</definedName>
    <definedName name="____________________________________ok1" localSheetId="14" hidden="1">{#N/A,#N/A,FALSE,"balance";#N/A,#N/A,FALSE,"PYG"}</definedName>
    <definedName name="____________________________________ok1" hidden="1">{#N/A,#N/A,FALSE,"balance";#N/A,#N/A,FALSE,"PYG"}</definedName>
    <definedName name="____________________________________Ok2" localSheetId="15" hidden="1">{#N/A,#N/A,FALSE,"balance";#N/A,#N/A,FALSE,"PYG"}</definedName>
    <definedName name="____________________________________Ok2" localSheetId="14" hidden="1">{#N/A,#N/A,FALSE,"balance";#N/A,#N/A,FALSE,"PYG"}</definedName>
    <definedName name="____________________________________Ok2" hidden="1">{#N/A,#N/A,FALSE,"balance";#N/A,#N/A,FALSE,"PYG"}</definedName>
    <definedName name="____________________________________PyG2" localSheetId="15" hidden="1">{#N/A,#N/A,FALSE,"balance";#N/A,#N/A,FALSE,"PYG"}</definedName>
    <definedName name="____________________________________PyG2" localSheetId="14" hidden="1">{#N/A,#N/A,FALSE,"balance";#N/A,#N/A,FALSE,"PYG"}</definedName>
    <definedName name="____________________________________PyG2" hidden="1">{#N/A,#N/A,FALSE,"balance";#N/A,#N/A,FALSE,"PYG"}</definedName>
    <definedName name="____________________________________PYG3" localSheetId="15" hidden="1">{#N/A,#N/A,FALSE,"balance";#N/A,#N/A,FALSE,"PYG"}</definedName>
    <definedName name="____________________________________PYG3" localSheetId="14" hidden="1">{#N/A,#N/A,FALSE,"balance";#N/A,#N/A,FALSE,"PYG"}</definedName>
    <definedName name="____________________________________PYG3" hidden="1">{#N/A,#N/A,FALSE,"balance";#N/A,#N/A,FALSE,"PYG"}</definedName>
    <definedName name="____________________________________PyG33" localSheetId="15" hidden="1">{#N/A,#N/A,FALSE,"balance";#N/A,#N/A,FALSE,"PYG"}</definedName>
    <definedName name="____________________________________PyG33" localSheetId="14" hidden="1">{#N/A,#N/A,FALSE,"balance";#N/A,#N/A,FALSE,"PYG"}</definedName>
    <definedName name="____________________________________PyG33" hidden="1">{#N/A,#N/A,FALSE,"balance";#N/A,#N/A,FALSE,"PYG"}</definedName>
    <definedName name="___________________________________GGF2" localSheetId="15" hidden="1">{#N/A,#N/A,FALSE,"balance";#N/A,#N/A,FALSE,"PYG"}</definedName>
    <definedName name="___________________________________GGF2" localSheetId="14" hidden="1">{#N/A,#N/A,FALSE,"balance";#N/A,#N/A,FALSE,"PYG"}</definedName>
    <definedName name="___________________________________GGF2" hidden="1">{#N/A,#N/A,FALSE,"balance";#N/A,#N/A,FALSE,"PYG"}</definedName>
    <definedName name="___________________________________OCT2" localSheetId="15" hidden="1">{#N/A,#N/A,FALSE,"BL&amp;GPA";#N/A,#N/A,FALSE,"Summary";#N/A,#N/A,FALSE,"hts"}</definedName>
    <definedName name="___________________________________OCT2" localSheetId="14" hidden="1">{#N/A,#N/A,FALSE,"BL&amp;GPA";#N/A,#N/A,FALSE,"Summary";#N/A,#N/A,FALSE,"hts"}</definedName>
    <definedName name="___________________________________OCT2" hidden="1">{#N/A,#N/A,FALSE,"BL&amp;GPA";#N/A,#N/A,FALSE,"Summary";#N/A,#N/A,FALSE,"hts"}</definedName>
    <definedName name="___________________________________ok1" localSheetId="15" hidden="1">{#N/A,#N/A,FALSE,"balance";#N/A,#N/A,FALSE,"PYG"}</definedName>
    <definedName name="___________________________________ok1" localSheetId="14" hidden="1">{#N/A,#N/A,FALSE,"balance";#N/A,#N/A,FALSE,"PYG"}</definedName>
    <definedName name="___________________________________ok1" hidden="1">{#N/A,#N/A,FALSE,"balance";#N/A,#N/A,FALSE,"PYG"}</definedName>
    <definedName name="___________________________________Ok2" localSheetId="15" hidden="1">{#N/A,#N/A,FALSE,"balance";#N/A,#N/A,FALSE,"PYG"}</definedName>
    <definedName name="___________________________________Ok2" localSheetId="14" hidden="1">{#N/A,#N/A,FALSE,"balance";#N/A,#N/A,FALSE,"PYG"}</definedName>
    <definedName name="___________________________________Ok2" hidden="1">{#N/A,#N/A,FALSE,"balance";#N/A,#N/A,FALSE,"PYG"}</definedName>
    <definedName name="___________________________________PyG2" localSheetId="15" hidden="1">{#N/A,#N/A,FALSE,"balance";#N/A,#N/A,FALSE,"PYG"}</definedName>
    <definedName name="___________________________________PyG2" localSheetId="14" hidden="1">{#N/A,#N/A,FALSE,"balance";#N/A,#N/A,FALSE,"PYG"}</definedName>
    <definedName name="___________________________________PyG2" hidden="1">{#N/A,#N/A,FALSE,"balance";#N/A,#N/A,FALSE,"PYG"}</definedName>
    <definedName name="___________________________________PYG3" localSheetId="15" hidden="1">{#N/A,#N/A,FALSE,"balance";#N/A,#N/A,FALSE,"PYG"}</definedName>
    <definedName name="___________________________________PYG3" localSheetId="14" hidden="1">{#N/A,#N/A,FALSE,"balance";#N/A,#N/A,FALSE,"PYG"}</definedName>
    <definedName name="___________________________________PYG3" hidden="1">{#N/A,#N/A,FALSE,"balance";#N/A,#N/A,FALSE,"PYG"}</definedName>
    <definedName name="___________________________________PyG33" localSheetId="15" hidden="1">{#N/A,#N/A,FALSE,"balance";#N/A,#N/A,FALSE,"PYG"}</definedName>
    <definedName name="___________________________________PyG33" localSheetId="14" hidden="1">{#N/A,#N/A,FALSE,"balance";#N/A,#N/A,FALSE,"PYG"}</definedName>
    <definedName name="___________________________________PyG33" hidden="1">{#N/A,#N/A,FALSE,"balance";#N/A,#N/A,FALSE,"PYG"}</definedName>
    <definedName name="__________________________________GGF2" localSheetId="15" hidden="1">{#N/A,#N/A,FALSE,"balance";#N/A,#N/A,FALSE,"PYG"}</definedName>
    <definedName name="__________________________________GGF2" localSheetId="14" hidden="1">{#N/A,#N/A,FALSE,"balance";#N/A,#N/A,FALSE,"PYG"}</definedName>
    <definedName name="__________________________________GGF2" hidden="1">{#N/A,#N/A,FALSE,"balance";#N/A,#N/A,FALSE,"PYG"}</definedName>
    <definedName name="__________________________________OCT2" localSheetId="15" hidden="1">{#N/A,#N/A,FALSE,"BL&amp;GPA";#N/A,#N/A,FALSE,"Summary";#N/A,#N/A,FALSE,"hts"}</definedName>
    <definedName name="__________________________________OCT2" localSheetId="14" hidden="1">{#N/A,#N/A,FALSE,"BL&amp;GPA";#N/A,#N/A,FALSE,"Summary";#N/A,#N/A,FALSE,"hts"}</definedName>
    <definedName name="__________________________________OCT2" hidden="1">{#N/A,#N/A,FALSE,"BL&amp;GPA";#N/A,#N/A,FALSE,"Summary";#N/A,#N/A,FALSE,"hts"}</definedName>
    <definedName name="__________________________________ok1" localSheetId="15" hidden="1">{#N/A,#N/A,FALSE,"balance";#N/A,#N/A,FALSE,"PYG"}</definedName>
    <definedName name="__________________________________ok1" localSheetId="14" hidden="1">{#N/A,#N/A,FALSE,"balance";#N/A,#N/A,FALSE,"PYG"}</definedName>
    <definedName name="__________________________________ok1" hidden="1">{#N/A,#N/A,FALSE,"balance";#N/A,#N/A,FALSE,"PYG"}</definedName>
    <definedName name="__________________________________Ok2" localSheetId="15" hidden="1">{#N/A,#N/A,FALSE,"balance";#N/A,#N/A,FALSE,"PYG"}</definedName>
    <definedName name="__________________________________Ok2" localSheetId="14" hidden="1">{#N/A,#N/A,FALSE,"balance";#N/A,#N/A,FALSE,"PYG"}</definedName>
    <definedName name="__________________________________Ok2" hidden="1">{#N/A,#N/A,FALSE,"balance";#N/A,#N/A,FALSE,"PYG"}</definedName>
    <definedName name="__________________________________PyG2" localSheetId="15" hidden="1">{#N/A,#N/A,FALSE,"balance";#N/A,#N/A,FALSE,"PYG"}</definedName>
    <definedName name="__________________________________PyG2" localSheetId="14" hidden="1">{#N/A,#N/A,FALSE,"balance";#N/A,#N/A,FALSE,"PYG"}</definedName>
    <definedName name="__________________________________PyG2" hidden="1">{#N/A,#N/A,FALSE,"balance";#N/A,#N/A,FALSE,"PYG"}</definedName>
    <definedName name="__________________________________PYG3" localSheetId="15" hidden="1">{#N/A,#N/A,FALSE,"balance";#N/A,#N/A,FALSE,"PYG"}</definedName>
    <definedName name="__________________________________PYG3" localSheetId="14" hidden="1">{#N/A,#N/A,FALSE,"balance";#N/A,#N/A,FALSE,"PYG"}</definedName>
    <definedName name="__________________________________PYG3" hidden="1">{#N/A,#N/A,FALSE,"balance";#N/A,#N/A,FALSE,"PYG"}</definedName>
    <definedName name="__________________________________PyG33" localSheetId="15" hidden="1">{#N/A,#N/A,FALSE,"balance";#N/A,#N/A,FALSE,"PYG"}</definedName>
    <definedName name="__________________________________PyG33" localSheetId="14" hidden="1">{#N/A,#N/A,FALSE,"balance";#N/A,#N/A,FALSE,"PYG"}</definedName>
    <definedName name="__________________________________PyG33" hidden="1">{#N/A,#N/A,FALSE,"balance";#N/A,#N/A,FALSE,"PYG"}</definedName>
    <definedName name="_________________________________GGF2" localSheetId="15" hidden="1">{#N/A,#N/A,FALSE,"balance";#N/A,#N/A,FALSE,"PYG"}</definedName>
    <definedName name="_________________________________GGF2" localSheetId="14" hidden="1">{#N/A,#N/A,FALSE,"balance";#N/A,#N/A,FALSE,"PYG"}</definedName>
    <definedName name="_________________________________GGF2" hidden="1">{#N/A,#N/A,FALSE,"balance";#N/A,#N/A,FALSE,"PYG"}</definedName>
    <definedName name="_________________________________OCT2" localSheetId="15" hidden="1">{#N/A,#N/A,FALSE,"BL&amp;GPA";#N/A,#N/A,FALSE,"Summary";#N/A,#N/A,FALSE,"hts"}</definedName>
    <definedName name="_________________________________OCT2" localSheetId="14" hidden="1">{#N/A,#N/A,FALSE,"BL&amp;GPA";#N/A,#N/A,FALSE,"Summary";#N/A,#N/A,FALSE,"hts"}</definedName>
    <definedName name="_________________________________OCT2" hidden="1">{#N/A,#N/A,FALSE,"BL&amp;GPA";#N/A,#N/A,FALSE,"Summary";#N/A,#N/A,FALSE,"hts"}</definedName>
    <definedName name="_________________________________ok1" localSheetId="15" hidden="1">{#N/A,#N/A,FALSE,"balance";#N/A,#N/A,FALSE,"PYG"}</definedName>
    <definedName name="_________________________________ok1" localSheetId="14" hidden="1">{#N/A,#N/A,FALSE,"balance";#N/A,#N/A,FALSE,"PYG"}</definedName>
    <definedName name="_________________________________ok1" hidden="1">{#N/A,#N/A,FALSE,"balance";#N/A,#N/A,FALSE,"PYG"}</definedName>
    <definedName name="_________________________________Ok2" localSheetId="15" hidden="1">{#N/A,#N/A,FALSE,"balance";#N/A,#N/A,FALSE,"PYG"}</definedName>
    <definedName name="_________________________________Ok2" localSheetId="14" hidden="1">{#N/A,#N/A,FALSE,"balance";#N/A,#N/A,FALSE,"PYG"}</definedName>
    <definedName name="_________________________________Ok2" hidden="1">{#N/A,#N/A,FALSE,"balance";#N/A,#N/A,FALSE,"PYG"}</definedName>
    <definedName name="_________________________________PyG2" localSheetId="15" hidden="1">{#N/A,#N/A,FALSE,"balance";#N/A,#N/A,FALSE,"PYG"}</definedName>
    <definedName name="_________________________________PyG2" localSheetId="14" hidden="1">{#N/A,#N/A,FALSE,"balance";#N/A,#N/A,FALSE,"PYG"}</definedName>
    <definedName name="_________________________________PyG2" hidden="1">{#N/A,#N/A,FALSE,"balance";#N/A,#N/A,FALSE,"PYG"}</definedName>
    <definedName name="_________________________________PYG3" localSheetId="15" hidden="1">{#N/A,#N/A,FALSE,"balance";#N/A,#N/A,FALSE,"PYG"}</definedName>
    <definedName name="_________________________________PYG3" localSheetId="14" hidden="1">{#N/A,#N/A,FALSE,"balance";#N/A,#N/A,FALSE,"PYG"}</definedName>
    <definedName name="_________________________________PYG3" hidden="1">{#N/A,#N/A,FALSE,"balance";#N/A,#N/A,FALSE,"PYG"}</definedName>
    <definedName name="_________________________________PyG33" localSheetId="15" hidden="1">{#N/A,#N/A,FALSE,"balance";#N/A,#N/A,FALSE,"PYG"}</definedName>
    <definedName name="_________________________________PyG33" localSheetId="14" hidden="1">{#N/A,#N/A,FALSE,"balance";#N/A,#N/A,FALSE,"PYG"}</definedName>
    <definedName name="_________________________________PyG33" hidden="1">{#N/A,#N/A,FALSE,"balance";#N/A,#N/A,FALSE,"PYG"}</definedName>
    <definedName name="________________________________GGF2" localSheetId="15" hidden="1">{#N/A,#N/A,FALSE,"balance";#N/A,#N/A,FALSE,"PYG"}</definedName>
    <definedName name="________________________________GGF2" localSheetId="14" hidden="1">{#N/A,#N/A,FALSE,"balance";#N/A,#N/A,FALSE,"PYG"}</definedName>
    <definedName name="________________________________GGF2" hidden="1">{#N/A,#N/A,FALSE,"balance";#N/A,#N/A,FALSE,"PYG"}</definedName>
    <definedName name="________________________________OCT2" localSheetId="15" hidden="1">{#N/A,#N/A,FALSE,"BL&amp;GPA";#N/A,#N/A,FALSE,"Summary";#N/A,#N/A,FALSE,"hts"}</definedName>
    <definedName name="________________________________OCT2" localSheetId="14" hidden="1">{#N/A,#N/A,FALSE,"BL&amp;GPA";#N/A,#N/A,FALSE,"Summary";#N/A,#N/A,FALSE,"hts"}</definedName>
    <definedName name="________________________________OCT2" hidden="1">{#N/A,#N/A,FALSE,"BL&amp;GPA";#N/A,#N/A,FALSE,"Summary";#N/A,#N/A,FALSE,"hts"}</definedName>
    <definedName name="________________________________ok1" localSheetId="15" hidden="1">{#N/A,#N/A,FALSE,"balance";#N/A,#N/A,FALSE,"PYG"}</definedName>
    <definedName name="________________________________ok1" localSheetId="14" hidden="1">{#N/A,#N/A,FALSE,"balance";#N/A,#N/A,FALSE,"PYG"}</definedName>
    <definedName name="________________________________ok1" hidden="1">{#N/A,#N/A,FALSE,"balance";#N/A,#N/A,FALSE,"PYG"}</definedName>
    <definedName name="________________________________Ok2" localSheetId="15" hidden="1">{#N/A,#N/A,FALSE,"balance";#N/A,#N/A,FALSE,"PYG"}</definedName>
    <definedName name="________________________________Ok2" localSheetId="14" hidden="1">{#N/A,#N/A,FALSE,"balance";#N/A,#N/A,FALSE,"PYG"}</definedName>
    <definedName name="________________________________Ok2" hidden="1">{#N/A,#N/A,FALSE,"balance";#N/A,#N/A,FALSE,"PYG"}</definedName>
    <definedName name="________________________________PyG2" localSheetId="15" hidden="1">{#N/A,#N/A,FALSE,"balance";#N/A,#N/A,FALSE,"PYG"}</definedName>
    <definedName name="________________________________PyG2" localSheetId="14" hidden="1">{#N/A,#N/A,FALSE,"balance";#N/A,#N/A,FALSE,"PYG"}</definedName>
    <definedName name="________________________________PyG2" hidden="1">{#N/A,#N/A,FALSE,"balance";#N/A,#N/A,FALSE,"PYG"}</definedName>
    <definedName name="________________________________PYG3" localSheetId="15" hidden="1">{#N/A,#N/A,FALSE,"balance";#N/A,#N/A,FALSE,"PYG"}</definedName>
    <definedName name="________________________________PYG3" localSheetId="14" hidden="1">{#N/A,#N/A,FALSE,"balance";#N/A,#N/A,FALSE,"PYG"}</definedName>
    <definedName name="________________________________PYG3" hidden="1">{#N/A,#N/A,FALSE,"balance";#N/A,#N/A,FALSE,"PYG"}</definedName>
    <definedName name="________________________________PyG33" localSheetId="15" hidden="1">{#N/A,#N/A,FALSE,"balance";#N/A,#N/A,FALSE,"PYG"}</definedName>
    <definedName name="________________________________PyG33" localSheetId="14" hidden="1">{#N/A,#N/A,FALSE,"balance";#N/A,#N/A,FALSE,"PYG"}</definedName>
    <definedName name="________________________________PyG33" hidden="1">{#N/A,#N/A,FALSE,"balance";#N/A,#N/A,FALSE,"PYG"}</definedName>
    <definedName name="_______________________________GGF2" localSheetId="15" hidden="1">{#N/A,#N/A,FALSE,"balance";#N/A,#N/A,FALSE,"PYG"}</definedName>
    <definedName name="_______________________________GGF2" localSheetId="14" hidden="1">{#N/A,#N/A,FALSE,"balance";#N/A,#N/A,FALSE,"PYG"}</definedName>
    <definedName name="_______________________________GGF2" hidden="1">{#N/A,#N/A,FALSE,"balance";#N/A,#N/A,FALSE,"PYG"}</definedName>
    <definedName name="_______________________________OCT2" localSheetId="15" hidden="1">{#N/A,#N/A,FALSE,"BL&amp;GPA";#N/A,#N/A,FALSE,"Summary";#N/A,#N/A,FALSE,"hts"}</definedName>
    <definedName name="_______________________________OCT2" localSheetId="14" hidden="1">{#N/A,#N/A,FALSE,"BL&amp;GPA";#N/A,#N/A,FALSE,"Summary";#N/A,#N/A,FALSE,"hts"}</definedName>
    <definedName name="_______________________________OCT2" hidden="1">{#N/A,#N/A,FALSE,"BL&amp;GPA";#N/A,#N/A,FALSE,"Summary";#N/A,#N/A,FALSE,"hts"}</definedName>
    <definedName name="_______________________________ok1" localSheetId="15" hidden="1">{#N/A,#N/A,FALSE,"balance";#N/A,#N/A,FALSE,"PYG"}</definedName>
    <definedName name="_______________________________ok1" localSheetId="14" hidden="1">{#N/A,#N/A,FALSE,"balance";#N/A,#N/A,FALSE,"PYG"}</definedName>
    <definedName name="_______________________________ok1" hidden="1">{#N/A,#N/A,FALSE,"balance";#N/A,#N/A,FALSE,"PYG"}</definedName>
    <definedName name="_______________________________Ok2" localSheetId="15" hidden="1">{#N/A,#N/A,FALSE,"balance";#N/A,#N/A,FALSE,"PYG"}</definedName>
    <definedName name="_______________________________Ok2" localSheetId="14" hidden="1">{#N/A,#N/A,FALSE,"balance";#N/A,#N/A,FALSE,"PYG"}</definedName>
    <definedName name="_______________________________Ok2" hidden="1">{#N/A,#N/A,FALSE,"balance";#N/A,#N/A,FALSE,"PYG"}</definedName>
    <definedName name="_______________________________PyG2" localSheetId="15" hidden="1">{#N/A,#N/A,FALSE,"balance";#N/A,#N/A,FALSE,"PYG"}</definedName>
    <definedName name="_______________________________PyG2" localSheetId="14" hidden="1">{#N/A,#N/A,FALSE,"balance";#N/A,#N/A,FALSE,"PYG"}</definedName>
    <definedName name="_______________________________PyG2" hidden="1">{#N/A,#N/A,FALSE,"balance";#N/A,#N/A,FALSE,"PYG"}</definedName>
    <definedName name="_______________________________PYG3" localSheetId="15" hidden="1">{#N/A,#N/A,FALSE,"balance";#N/A,#N/A,FALSE,"PYG"}</definedName>
    <definedName name="_______________________________PYG3" localSheetId="14" hidden="1">{#N/A,#N/A,FALSE,"balance";#N/A,#N/A,FALSE,"PYG"}</definedName>
    <definedName name="_______________________________PYG3" hidden="1">{#N/A,#N/A,FALSE,"balance";#N/A,#N/A,FALSE,"PYG"}</definedName>
    <definedName name="_______________________________PyG33" localSheetId="15" hidden="1">{#N/A,#N/A,FALSE,"balance";#N/A,#N/A,FALSE,"PYG"}</definedName>
    <definedName name="_______________________________PyG33" localSheetId="14" hidden="1">{#N/A,#N/A,FALSE,"balance";#N/A,#N/A,FALSE,"PYG"}</definedName>
    <definedName name="_______________________________PyG33" hidden="1">{#N/A,#N/A,FALSE,"balance";#N/A,#N/A,FALSE,"PYG"}</definedName>
    <definedName name="______________________________GGF2" localSheetId="15" hidden="1">{#N/A,#N/A,FALSE,"balance";#N/A,#N/A,FALSE,"PYG"}</definedName>
    <definedName name="______________________________GGF2" localSheetId="14" hidden="1">{#N/A,#N/A,FALSE,"balance";#N/A,#N/A,FALSE,"PYG"}</definedName>
    <definedName name="______________________________GGF2" hidden="1">{#N/A,#N/A,FALSE,"balance";#N/A,#N/A,FALSE,"PYG"}</definedName>
    <definedName name="______________________________OCT2" localSheetId="15" hidden="1">{#N/A,#N/A,FALSE,"BL&amp;GPA";#N/A,#N/A,FALSE,"Summary";#N/A,#N/A,FALSE,"hts"}</definedName>
    <definedName name="______________________________OCT2" localSheetId="14" hidden="1">{#N/A,#N/A,FALSE,"BL&amp;GPA";#N/A,#N/A,FALSE,"Summary";#N/A,#N/A,FALSE,"hts"}</definedName>
    <definedName name="______________________________OCT2" hidden="1">{#N/A,#N/A,FALSE,"BL&amp;GPA";#N/A,#N/A,FALSE,"Summary";#N/A,#N/A,FALSE,"hts"}</definedName>
    <definedName name="______________________________ok1" localSheetId="15" hidden="1">{#N/A,#N/A,FALSE,"balance";#N/A,#N/A,FALSE,"PYG"}</definedName>
    <definedName name="______________________________ok1" localSheetId="14" hidden="1">{#N/A,#N/A,FALSE,"balance";#N/A,#N/A,FALSE,"PYG"}</definedName>
    <definedName name="______________________________ok1" hidden="1">{#N/A,#N/A,FALSE,"balance";#N/A,#N/A,FALSE,"PYG"}</definedName>
    <definedName name="______________________________Ok2" localSheetId="15" hidden="1">{#N/A,#N/A,FALSE,"balance";#N/A,#N/A,FALSE,"PYG"}</definedName>
    <definedName name="______________________________Ok2" localSheetId="14" hidden="1">{#N/A,#N/A,FALSE,"balance";#N/A,#N/A,FALSE,"PYG"}</definedName>
    <definedName name="______________________________Ok2" hidden="1">{#N/A,#N/A,FALSE,"balance";#N/A,#N/A,FALSE,"PYG"}</definedName>
    <definedName name="______________________________PyG2" localSheetId="15" hidden="1">{#N/A,#N/A,FALSE,"balance";#N/A,#N/A,FALSE,"PYG"}</definedName>
    <definedName name="______________________________PyG2" localSheetId="14" hidden="1">{#N/A,#N/A,FALSE,"balance";#N/A,#N/A,FALSE,"PYG"}</definedName>
    <definedName name="______________________________PyG2" hidden="1">{#N/A,#N/A,FALSE,"balance";#N/A,#N/A,FALSE,"PYG"}</definedName>
    <definedName name="______________________________PYG3" localSheetId="15" hidden="1">{#N/A,#N/A,FALSE,"balance";#N/A,#N/A,FALSE,"PYG"}</definedName>
    <definedName name="______________________________PYG3" localSheetId="14" hidden="1">{#N/A,#N/A,FALSE,"balance";#N/A,#N/A,FALSE,"PYG"}</definedName>
    <definedName name="______________________________PYG3" hidden="1">{#N/A,#N/A,FALSE,"balance";#N/A,#N/A,FALSE,"PYG"}</definedName>
    <definedName name="______________________________PyG33" localSheetId="15" hidden="1">{#N/A,#N/A,FALSE,"balance";#N/A,#N/A,FALSE,"PYG"}</definedName>
    <definedName name="______________________________PyG33" localSheetId="14" hidden="1">{#N/A,#N/A,FALSE,"balance";#N/A,#N/A,FALSE,"PYG"}</definedName>
    <definedName name="______________________________PyG33" hidden="1">{#N/A,#N/A,FALSE,"balance";#N/A,#N/A,FALSE,"PYG"}</definedName>
    <definedName name="_____________________________GGF2" localSheetId="15" hidden="1">{#N/A,#N/A,FALSE,"balance";#N/A,#N/A,FALSE,"PYG"}</definedName>
    <definedName name="_____________________________GGF2" localSheetId="14" hidden="1">{#N/A,#N/A,FALSE,"balance";#N/A,#N/A,FALSE,"PYG"}</definedName>
    <definedName name="_____________________________GGF2" hidden="1">{#N/A,#N/A,FALSE,"balance";#N/A,#N/A,FALSE,"PYG"}</definedName>
    <definedName name="_____________________________OCT2" localSheetId="15" hidden="1">{#N/A,#N/A,FALSE,"BL&amp;GPA";#N/A,#N/A,FALSE,"Summary";#N/A,#N/A,FALSE,"hts"}</definedName>
    <definedName name="_____________________________OCT2" localSheetId="14" hidden="1">{#N/A,#N/A,FALSE,"BL&amp;GPA";#N/A,#N/A,FALSE,"Summary";#N/A,#N/A,FALSE,"hts"}</definedName>
    <definedName name="_____________________________OCT2" hidden="1">{#N/A,#N/A,FALSE,"BL&amp;GPA";#N/A,#N/A,FALSE,"Summary";#N/A,#N/A,FALSE,"hts"}</definedName>
    <definedName name="_____________________________ok1" localSheetId="15" hidden="1">{#N/A,#N/A,FALSE,"balance";#N/A,#N/A,FALSE,"PYG"}</definedName>
    <definedName name="_____________________________ok1" localSheetId="14" hidden="1">{#N/A,#N/A,FALSE,"balance";#N/A,#N/A,FALSE,"PYG"}</definedName>
    <definedName name="_____________________________ok1" hidden="1">{#N/A,#N/A,FALSE,"balance";#N/A,#N/A,FALSE,"PYG"}</definedName>
    <definedName name="_____________________________Ok2" localSheetId="15" hidden="1">{#N/A,#N/A,FALSE,"balance";#N/A,#N/A,FALSE,"PYG"}</definedName>
    <definedName name="_____________________________Ok2" localSheetId="14" hidden="1">{#N/A,#N/A,FALSE,"balance";#N/A,#N/A,FALSE,"PYG"}</definedName>
    <definedName name="_____________________________Ok2" hidden="1">{#N/A,#N/A,FALSE,"balance";#N/A,#N/A,FALSE,"PYG"}</definedName>
    <definedName name="_____________________________PyG2" localSheetId="15" hidden="1">{#N/A,#N/A,FALSE,"balance";#N/A,#N/A,FALSE,"PYG"}</definedName>
    <definedName name="_____________________________PyG2" localSheetId="14" hidden="1">{#N/A,#N/A,FALSE,"balance";#N/A,#N/A,FALSE,"PYG"}</definedName>
    <definedName name="_____________________________PyG2" hidden="1">{#N/A,#N/A,FALSE,"balance";#N/A,#N/A,FALSE,"PYG"}</definedName>
    <definedName name="_____________________________PYG3" localSheetId="15" hidden="1">{#N/A,#N/A,FALSE,"balance";#N/A,#N/A,FALSE,"PYG"}</definedName>
    <definedName name="_____________________________PYG3" localSheetId="14" hidden="1">{#N/A,#N/A,FALSE,"balance";#N/A,#N/A,FALSE,"PYG"}</definedName>
    <definedName name="_____________________________PYG3" hidden="1">{#N/A,#N/A,FALSE,"balance";#N/A,#N/A,FALSE,"PYG"}</definedName>
    <definedName name="_____________________________PyG33" localSheetId="15" hidden="1">{#N/A,#N/A,FALSE,"balance";#N/A,#N/A,FALSE,"PYG"}</definedName>
    <definedName name="_____________________________PyG33" localSheetId="14" hidden="1">{#N/A,#N/A,FALSE,"balance";#N/A,#N/A,FALSE,"PYG"}</definedName>
    <definedName name="_____________________________PyG33" hidden="1">{#N/A,#N/A,FALSE,"balance";#N/A,#N/A,FALSE,"PYG"}</definedName>
    <definedName name="____________________________GGF2" localSheetId="15" hidden="1">{#N/A,#N/A,FALSE,"balance";#N/A,#N/A,FALSE,"PYG"}</definedName>
    <definedName name="____________________________GGF2" localSheetId="14" hidden="1">{#N/A,#N/A,FALSE,"balance";#N/A,#N/A,FALSE,"PYG"}</definedName>
    <definedName name="____________________________GGF2" hidden="1">{#N/A,#N/A,FALSE,"balance";#N/A,#N/A,FALSE,"PYG"}</definedName>
    <definedName name="____________________________OCT2" localSheetId="15" hidden="1">{#N/A,#N/A,FALSE,"BL&amp;GPA";#N/A,#N/A,FALSE,"Summary";#N/A,#N/A,FALSE,"hts"}</definedName>
    <definedName name="____________________________OCT2" localSheetId="14" hidden="1">{#N/A,#N/A,FALSE,"BL&amp;GPA";#N/A,#N/A,FALSE,"Summary";#N/A,#N/A,FALSE,"hts"}</definedName>
    <definedName name="____________________________OCT2" hidden="1">{#N/A,#N/A,FALSE,"BL&amp;GPA";#N/A,#N/A,FALSE,"Summary";#N/A,#N/A,FALSE,"hts"}</definedName>
    <definedName name="____________________________ok1" localSheetId="15" hidden="1">{#N/A,#N/A,FALSE,"balance";#N/A,#N/A,FALSE,"PYG"}</definedName>
    <definedName name="____________________________ok1" localSheetId="14" hidden="1">{#N/A,#N/A,FALSE,"balance";#N/A,#N/A,FALSE,"PYG"}</definedName>
    <definedName name="____________________________ok1" hidden="1">{#N/A,#N/A,FALSE,"balance";#N/A,#N/A,FALSE,"PYG"}</definedName>
    <definedName name="____________________________Ok2" localSheetId="15" hidden="1">{#N/A,#N/A,FALSE,"balance";#N/A,#N/A,FALSE,"PYG"}</definedName>
    <definedName name="____________________________Ok2" localSheetId="14" hidden="1">{#N/A,#N/A,FALSE,"balance";#N/A,#N/A,FALSE,"PYG"}</definedName>
    <definedName name="____________________________Ok2" hidden="1">{#N/A,#N/A,FALSE,"balance";#N/A,#N/A,FALSE,"PYG"}</definedName>
    <definedName name="____________________________PyG2" localSheetId="15" hidden="1">{#N/A,#N/A,FALSE,"balance";#N/A,#N/A,FALSE,"PYG"}</definedName>
    <definedName name="____________________________PyG2" localSheetId="14" hidden="1">{#N/A,#N/A,FALSE,"balance";#N/A,#N/A,FALSE,"PYG"}</definedName>
    <definedName name="____________________________PyG2" hidden="1">{#N/A,#N/A,FALSE,"balance";#N/A,#N/A,FALSE,"PYG"}</definedName>
    <definedName name="____________________________PYG3" localSheetId="15" hidden="1">{#N/A,#N/A,FALSE,"balance";#N/A,#N/A,FALSE,"PYG"}</definedName>
    <definedName name="____________________________PYG3" localSheetId="14" hidden="1">{#N/A,#N/A,FALSE,"balance";#N/A,#N/A,FALSE,"PYG"}</definedName>
    <definedName name="____________________________PYG3" hidden="1">{#N/A,#N/A,FALSE,"balance";#N/A,#N/A,FALSE,"PYG"}</definedName>
    <definedName name="____________________________PyG33" localSheetId="15" hidden="1">{#N/A,#N/A,FALSE,"balance";#N/A,#N/A,FALSE,"PYG"}</definedName>
    <definedName name="____________________________PyG33" localSheetId="14" hidden="1">{#N/A,#N/A,FALSE,"balance";#N/A,#N/A,FALSE,"PYG"}</definedName>
    <definedName name="____________________________PyG33" hidden="1">{#N/A,#N/A,FALSE,"balance";#N/A,#N/A,FALSE,"PYG"}</definedName>
    <definedName name="___________________________GGF2" localSheetId="15" hidden="1">{#N/A,#N/A,FALSE,"balance";#N/A,#N/A,FALSE,"PYG"}</definedName>
    <definedName name="___________________________GGF2" localSheetId="14" hidden="1">{#N/A,#N/A,FALSE,"balance";#N/A,#N/A,FALSE,"PYG"}</definedName>
    <definedName name="___________________________GGF2" hidden="1">{#N/A,#N/A,FALSE,"balance";#N/A,#N/A,FALSE,"PYG"}</definedName>
    <definedName name="___________________________OCT2" localSheetId="15" hidden="1">{#N/A,#N/A,FALSE,"BL&amp;GPA";#N/A,#N/A,FALSE,"Summary";#N/A,#N/A,FALSE,"hts"}</definedName>
    <definedName name="___________________________OCT2" localSheetId="14" hidden="1">{#N/A,#N/A,FALSE,"BL&amp;GPA";#N/A,#N/A,FALSE,"Summary";#N/A,#N/A,FALSE,"hts"}</definedName>
    <definedName name="___________________________OCT2" hidden="1">{#N/A,#N/A,FALSE,"BL&amp;GPA";#N/A,#N/A,FALSE,"Summary";#N/A,#N/A,FALSE,"hts"}</definedName>
    <definedName name="___________________________ok1" localSheetId="15" hidden="1">{#N/A,#N/A,FALSE,"balance";#N/A,#N/A,FALSE,"PYG"}</definedName>
    <definedName name="___________________________ok1" localSheetId="14" hidden="1">{#N/A,#N/A,FALSE,"balance";#N/A,#N/A,FALSE,"PYG"}</definedName>
    <definedName name="___________________________ok1" hidden="1">{#N/A,#N/A,FALSE,"balance";#N/A,#N/A,FALSE,"PYG"}</definedName>
    <definedName name="___________________________Ok2" localSheetId="15" hidden="1">{#N/A,#N/A,FALSE,"balance";#N/A,#N/A,FALSE,"PYG"}</definedName>
    <definedName name="___________________________Ok2" localSheetId="14" hidden="1">{#N/A,#N/A,FALSE,"balance";#N/A,#N/A,FALSE,"PYG"}</definedName>
    <definedName name="___________________________Ok2" hidden="1">{#N/A,#N/A,FALSE,"balance";#N/A,#N/A,FALSE,"PYG"}</definedName>
    <definedName name="___________________________PyG2" localSheetId="15" hidden="1">{#N/A,#N/A,FALSE,"balance";#N/A,#N/A,FALSE,"PYG"}</definedName>
    <definedName name="___________________________PyG2" localSheetId="14" hidden="1">{#N/A,#N/A,FALSE,"balance";#N/A,#N/A,FALSE,"PYG"}</definedName>
    <definedName name="___________________________PyG2" hidden="1">{#N/A,#N/A,FALSE,"balance";#N/A,#N/A,FALSE,"PYG"}</definedName>
    <definedName name="___________________________PYG3" localSheetId="15" hidden="1">{#N/A,#N/A,FALSE,"balance";#N/A,#N/A,FALSE,"PYG"}</definedName>
    <definedName name="___________________________PYG3" localSheetId="14" hidden="1">{#N/A,#N/A,FALSE,"balance";#N/A,#N/A,FALSE,"PYG"}</definedName>
    <definedName name="___________________________PYG3" hidden="1">{#N/A,#N/A,FALSE,"balance";#N/A,#N/A,FALSE,"PYG"}</definedName>
    <definedName name="___________________________PyG33" localSheetId="15" hidden="1">{#N/A,#N/A,FALSE,"balance";#N/A,#N/A,FALSE,"PYG"}</definedName>
    <definedName name="___________________________PyG33" localSheetId="14" hidden="1">{#N/A,#N/A,FALSE,"balance";#N/A,#N/A,FALSE,"PYG"}</definedName>
    <definedName name="___________________________PyG33" hidden="1">{#N/A,#N/A,FALSE,"balance";#N/A,#N/A,FALSE,"PYG"}</definedName>
    <definedName name="__________________________GGF2" localSheetId="15" hidden="1">{#N/A,#N/A,FALSE,"balance";#N/A,#N/A,FALSE,"PYG"}</definedName>
    <definedName name="__________________________GGF2" localSheetId="14" hidden="1">{#N/A,#N/A,FALSE,"balance";#N/A,#N/A,FALSE,"PYG"}</definedName>
    <definedName name="__________________________GGF2" hidden="1">{#N/A,#N/A,FALSE,"balance";#N/A,#N/A,FALSE,"PYG"}</definedName>
    <definedName name="__________________________OCT2" localSheetId="15" hidden="1">{#N/A,#N/A,FALSE,"BL&amp;GPA";#N/A,#N/A,FALSE,"Summary";#N/A,#N/A,FALSE,"hts"}</definedName>
    <definedName name="__________________________OCT2" localSheetId="14" hidden="1">{#N/A,#N/A,FALSE,"BL&amp;GPA";#N/A,#N/A,FALSE,"Summary";#N/A,#N/A,FALSE,"hts"}</definedName>
    <definedName name="__________________________OCT2" hidden="1">{#N/A,#N/A,FALSE,"BL&amp;GPA";#N/A,#N/A,FALSE,"Summary";#N/A,#N/A,FALSE,"hts"}</definedName>
    <definedName name="__________________________ok1" localSheetId="15" hidden="1">{#N/A,#N/A,FALSE,"balance";#N/A,#N/A,FALSE,"PYG"}</definedName>
    <definedName name="__________________________ok1" localSheetId="14" hidden="1">{#N/A,#N/A,FALSE,"balance";#N/A,#N/A,FALSE,"PYG"}</definedName>
    <definedName name="__________________________ok1" hidden="1">{#N/A,#N/A,FALSE,"balance";#N/A,#N/A,FALSE,"PYG"}</definedName>
    <definedName name="__________________________Ok2" localSheetId="15" hidden="1">{#N/A,#N/A,FALSE,"balance";#N/A,#N/A,FALSE,"PYG"}</definedName>
    <definedName name="__________________________Ok2" localSheetId="14" hidden="1">{#N/A,#N/A,FALSE,"balance";#N/A,#N/A,FALSE,"PYG"}</definedName>
    <definedName name="__________________________Ok2" hidden="1">{#N/A,#N/A,FALSE,"balance";#N/A,#N/A,FALSE,"PYG"}</definedName>
    <definedName name="__________________________PyG2" localSheetId="15" hidden="1">{#N/A,#N/A,FALSE,"balance";#N/A,#N/A,FALSE,"PYG"}</definedName>
    <definedName name="__________________________PyG2" localSheetId="14" hidden="1">{#N/A,#N/A,FALSE,"balance";#N/A,#N/A,FALSE,"PYG"}</definedName>
    <definedName name="__________________________PyG2" hidden="1">{#N/A,#N/A,FALSE,"balance";#N/A,#N/A,FALSE,"PYG"}</definedName>
    <definedName name="__________________________PYG3" localSheetId="15" hidden="1">{#N/A,#N/A,FALSE,"balance";#N/A,#N/A,FALSE,"PYG"}</definedName>
    <definedName name="__________________________PYG3" localSheetId="14" hidden="1">{#N/A,#N/A,FALSE,"balance";#N/A,#N/A,FALSE,"PYG"}</definedName>
    <definedName name="__________________________PYG3" hidden="1">{#N/A,#N/A,FALSE,"balance";#N/A,#N/A,FALSE,"PYG"}</definedName>
    <definedName name="__________________________PyG33" localSheetId="15" hidden="1">{#N/A,#N/A,FALSE,"balance";#N/A,#N/A,FALSE,"PYG"}</definedName>
    <definedName name="__________________________PyG33" localSheetId="14" hidden="1">{#N/A,#N/A,FALSE,"balance";#N/A,#N/A,FALSE,"PYG"}</definedName>
    <definedName name="__________________________PyG33" hidden="1">{#N/A,#N/A,FALSE,"balance";#N/A,#N/A,FALSE,"PYG"}</definedName>
    <definedName name="_________________________GGF2" localSheetId="15" hidden="1">{#N/A,#N/A,FALSE,"balance";#N/A,#N/A,FALSE,"PYG"}</definedName>
    <definedName name="_________________________GGF2" localSheetId="14" hidden="1">{#N/A,#N/A,FALSE,"balance";#N/A,#N/A,FALSE,"PYG"}</definedName>
    <definedName name="_________________________GGF2" hidden="1">{#N/A,#N/A,FALSE,"balance";#N/A,#N/A,FALSE,"PYG"}</definedName>
    <definedName name="_________________________OCT2" localSheetId="15" hidden="1">{#N/A,#N/A,FALSE,"BL&amp;GPA";#N/A,#N/A,FALSE,"Summary";#N/A,#N/A,FALSE,"hts"}</definedName>
    <definedName name="_________________________OCT2" localSheetId="14" hidden="1">{#N/A,#N/A,FALSE,"BL&amp;GPA";#N/A,#N/A,FALSE,"Summary";#N/A,#N/A,FALSE,"hts"}</definedName>
    <definedName name="_________________________OCT2" hidden="1">{#N/A,#N/A,FALSE,"BL&amp;GPA";#N/A,#N/A,FALSE,"Summary";#N/A,#N/A,FALSE,"hts"}</definedName>
    <definedName name="_________________________ok1" localSheetId="15" hidden="1">{#N/A,#N/A,FALSE,"balance";#N/A,#N/A,FALSE,"PYG"}</definedName>
    <definedName name="_________________________ok1" localSheetId="14" hidden="1">{#N/A,#N/A,FALSE,"balance";#N/A,#N/A,FALSE,"PYG"}</definedName>
    <definedName name="_________________________ok1" hidden="1">{#N/A,#N/A,FALSE,"balance";#N/A,#N/A,FALSE,"PYG"}</definedName>
    <definedName name="_________________________Ok2" localSheetId="15" hidden="1">{#N/A,#N/A,FALSE,"balance";#N/A,#N/A,FALSE,"PYG"}</definedName>
    <definedName name="_________________________Ok2" localSheetId="14" hidden="1">{#N/A,#N/A,FALSE,"balance";#N/A,#N/A,FALSE,"PYG"}</definedName>
    <definedName name="_________________________Ok2" hidden="1">{#N/A,#N/A,FALSE,"balance";#N/A,#N/A,FALSE,"PYG"}</definedName>
    <definedName name="_________________________PyG2" localSheetId="15" hidden="1">{#N/A,#N/A,FALSE,"balance";#N/A,#N/A,FALSE,"PYG"}</definedName>
    <definedName name="_________________________PyG2" localSheetId="14" hidden="1">{#N/A,#N/A,FALSE,"balance";#N/A,#N/A,FALSE,"PYG"}</definedName>
    <definedName name="_________________________PyG2" hidden="1">{#N/A,#N/A,FALSE,"balance";#N/A,#N/A,FALSE,"PYG"}</definedName>
    <definedName name="_________________________PYG3" localSheetId="15" hidden="1">{#N/A,#N/A,FALSE,"balance";#N/A,#N/A,FALSE,"PYG"}</definedName>
    <definedName name="_________________________PYG3" localSheetId="14" hidden="1">{#N/A,#N/A,FALSE,"balance";#N/A,#N/A,FALSE,"PYG"}</definedName>
    <definedName name="_________________________PYG3" hidden="1">{#N/A,#N/A,FALSE,"balance";#N/A,#N/A,FALSE,"PYG"}</definedName>
    <definedName name="_________________________PyG33" localSheetId="15" hidden="1">{#N/A,#N/A,FALSE,"balance";#N/A,#N/A,FALSE,"PYG"}</definedName>
    <definedName name="_________________________PyG33" localSheetId="14" hidden="1">{#N/A,#N/A,FALSE,"balance";#N/A,#N/A,FALSE,"PYG"}</definedName>
    <definedName name="_________________________PyG33" hidden="1">{#N/A,#N/A,FALSE,"balance";#N/A,#N/A,FALSE,"PYG"}</definedName>
    <definedName name="________________________GGF2" localSheetId="15" hidden="1">{#N/A,#N/A,FALSE,"balance";#N/A,#N/A,FALSE,"PYG"}</definedName>
    <definedName name="________________________GGF2" localSheetId="14" hidden="1">{#N/A,#N/A,FALSE,"balance";#N/A,#N/A,FALSE,"PYG"}</definedName>
    <definedName name="________________________GGF2" hidden="1">{#N/A,#N/A,FALSE,"balance";#N/A,#N/A,FALSE,"PYG"}</definedName>
    <definedName name="________________________OCT2" localSheetId="15" hidden="1">{#N/A,#N/A,FALSE,"BL&amp;GPA";#N/A,#N/A,FALSE,"Summary";#N/A,#N/A,FALSE,"hts"}</definedName>
    <definedName name="________________________OCT2" localSheetId="14" hidden="1">{#N/A,#N/A,FALSE,"BL&amp;GPA";#N/A,#N/A,FALSE,"Summary";#N/A,#N/A,FALSE,"hts"}</definedName>
    <definedName name="________________________OCT2" hidden="1">{#N/A,#N/A,FALSE,"BL&amp;GPA";#N/A,#N/A,FALSE,"Summary";#N/A,#N/A,FALSE,"hts"}</definedName>
    <definedName name="________________________ok1" localSheetId="15" hidden="1">{#N/A,#N/A,FALSE,"balance";#N/A,#N/A,FALSE,"PYG"}</definedName>
    <definedName name="________________________ok1" localSheetId="14" hidden="1">{#N/A,#N/A,FALSE,"balance";#N/A,#N/A,FALSE,"PYG"}</definedName>
    <definedName name="________________________ok1" hidden="1">{#N/A,#N/A,FALSE,"balance";#N/A,#N/A,FALSE,"PYG"}</definedName>
    <definedName name="________________________Ok2" localSheetId="15" hidden="1">{#N/A,#N/A,FALSE,"balance";#N/A,#N/A,FALSE,"PYG"}</definedName>
    <definedName name="________________________Ok2" localSheetId="14" hidden="1">{#N/A,#N/A,FALSE,"balance";#N/A,#N/A,FALSE,"PYG"}</definedName>
    <definedName name="________________________Ok2" hidden="1">{#N/A,#N/A,FALSE,"balance";#N/A,#N/A,FALSE,"PYG"}</definedName>
    <definedName name="________________________PyG2" localSheetId="15" hidden="1">{#N/A,#N/A,FALSE,"balance";#N/A,#N/A,FALSE,"PYG"}</definedName>
    <definedName name="________________________PyG2" localSheetId="14" hidden="1">{#N/A,#N/A,FALSE,"balance";#N/A,#N/A,FALSE,"PYG"}</definedName>
    <definedName name="________________________PyG2" hidden="1">{#N/A,#N/A,FALSE,"balance";#N/A,#N/A,FALSE,"PYG"}</definedName>
    <definedName name="________________________PYG3" localSheetId="15" hidden="1">{#N/A,#N/A,FALSE,"balance";#N/A,#N/A,FALSE,"PYG"}</definedName>
    <definedName name="________________________PYG3" localSheetId="14" hidden="1">{#N/A,#N/A,FALSE,"balance";#N/A,#N/A,FALSE,"PYG"}</definedName>
    <definedName name="________________________PYG3" hidden="1">{#N/A,#N/A,FALSE,"balance";#N/A,#N/A,FALSE,"PYG"}</definedName>
    <definedName name="________________________PyG33" localSheetId="15" hidden="1">{#N/A,#N/A,FALSE,"balance";#N/A,#N/A,FALSE,"PYG"}</definedName>
    <definedName name="________________________PyG33" localSheetId="14" hidden="1">{#N/A,#N/A,FALSE,"balance";#N/A,#N/A,FALSE,"PYG"}</definedName>
    <definedName name="________________________PyG33" hidden="1">{#N/A,#N/A,FALSE,"balance";#N/A,#N/A,FALSE,"PYG"}</definedName>
    <definedName name="_______________________GGF2" localSheetId="15" hidden="1">{#N/A,#N/A,FALSE,"balance";#N/A,#N/A,FALSE,"PYG"}</definedName>
    <definedName name="_______________________GGF2" localSheetId="14" hidden="1">{#N/A,#N/A,FALSE,"balance";#N/A,#N/A,FALSE,"PYG"}</definedName>
    <definedName name="_______________________GGF2" hidden="1">{#N/A,#N/A,FALSE,"balance";#N/A,#N/A,FALSE,"PYG"}</definedName>
    <definedName name="_______________________OCT2" localSheetId="15" hidden="1">{#N/A,#N/A,FALSE,"BL&amp;GPA";#N/A,#N/A,FALSE,"Summary";#N/A,#N/A,FALSE,"hts"}</definedName>
    <definedName name="_______________________OCT2" localSheetId="14" hidden="1">{#N/A,#N/A,FALSE,"BL&amp;GPA";#N/A,#N/A,FALSE,"Summary";#N/A,#N/A,FALSE,"hts"}</definedName>
    <definedName name="_______________________OCT2" hidden="1">{#N/A,#N/A,FALSE,"BL&amp;GPA";#N/A,#N/A,FALSE,"Summary";#N/A,#N/A,FALSE,"hts"}</definedName>
    <definedName name="_______________________ok1" localSheetId="15" hidden="1">{#N/A,#N/A,FALSE,"balance";#N/A,#N/A,FALSE,"PYG"}</definedName>
    <definedName name="_______________________ok1" localSheetId="14" hidden="1">{#N/A,#N/A,FALSE,"balance";#N/A,#N/A,FALSE,"PYG"}</definedName>
    <definedName name="_______________________ok1" hidden="1">{#N/A,#N/A,FALSE,"balance";#N/A,#N/A,FALSE,"PYG"}</definedName>
    <definedName name="_______________________Ok2" localSheetId="15" hidden="1">{#N/A,#N/A,FALSE,"balance";#N/A,#N/A,FALSE,"PYG"}</definedName>
    <definedName name="_______________________Ok2" localSheetId="14" hidden="1">{#N/A,#N/A,FALSE,"balance";#N/A,#N/A,FALSE,"PYG"}</definedName>
    <definedName name="_______________________Ok2" hidden="1">{#N/A,#N/A,FALSE,"balance";#N/A,#N/A,FALSE,"PYG"}</definedName>
    <definedName name="_______________________PyG2" localSheetId="15" hidden="1">{#N/A,#N/A,FALSE,"balance";#N/A,#N/A,FALSE,"PYG"}</definedName>
    <definedName name="_______________________PyG2" localSheetId="14" hidden="1">{#N/A,#N/A,FALSE,"balance";#N/A,#N/A,FALSE,"PYG"}</definedName>
    <definedName name="_______________________PyG2" hidden="1">{#N/A,#N/A,FALSE,"balance";#N/A,#N/A,FALSE,"PYG"}</definedName>
    <definedName name="_______________________PYG3" localSheetId="15" hidden="1">{#N/A,#N/A,FALSE,"balance";#N/A,#N/A,FALSE,"PYG"}</definedName>
    <definedName name="_______________________PYG3" localSheetId="14" hidden="1">{#N/A,#N/A,FALSE,"balance";#N/A,#N/A,FALSE,"PYG"}</definedName>
    <definedName name="_______________________PYG3" hidden="1">{#N/A,#N/A,FALSE,"balance";#N/A,#N/A,FALSE,"PYG"}</definedName>
    <definedName name="_______________________PyG33" localSheetId="15" hidden="1">{#N/A,#N/A,FALSE,"balance";#N/A,#N/A,FALSE,"PYG"}</definedName>
    <definedName name="_______________________PyG33" localSheetId="14" hidden="1">{#N/A,#N/A,FALSE,"balance";#N/A,#N/A,FALSE,"PYG"}</definedName>
    <definedName name="_______________________PyG33" hidden="1">{#N/A,#N/A,FALSE,"balance";#N/A,#N/A,FALSE,"PYG"}</definedName>
    <definedName name="______________________GGF2" localSheetId="15" hidden="1">{#N/A,#N/A,FALSE,"balance";#N/A,#N/A,FALSE,"PYG"}</definedName>
    <definedName name="______________________GGF2" localSheetId="14" hidden="1">{#N/A,#N/A,FALSE,"balance";#N/A,#N/A,FALSE,"PYG"}</definedName>
    <definedName name="______________________GGF2" hidden="1">{#N/A,#N/A,FALSE,"balance";#N/A,#N/A,FALSE,"PYG"}</definedName>
    <definedName name="______________________OCT2" localSheetId="15" hidden="1">{#N/A,#N/A,FALSE,"BL&amp;GPA";#N/A,#N/A,FALSE,"Summary";#N/A,#N/A,FALSE,"hts"}</definedName>
    <definedName name="______________________OCT2" localSheetId="14" hidden="1">{#N/A,#N/A,FALSE,"BL&amp;GPA";#N/A,#N/A,FALSE,"Summary";#N/A,#N/A,FALSE,"hts"}</definedName>
    <definedName name="______________________OCT2" hidden="1">{#N/A,#N/A,FALSE,"BL&amp;GPA";#N/A,#N/A,FALSE,"Summary";#N/A,#N/A,FALSE,"hts"}</definedName>
    <definedName name="______________________ok1" localSheetId="15" hidden="1">{#N/A,#N/A,FALSE,"balance";#N/A,#N/A,FALSE,"PYG"}</definedName>
    <definedName name="______________________ok1" localSheetId="14" hidden="1">{#N/A,#N/A,FALSE,"balance";#N/A,#N/A,FALSE,"PYG"}</definedName>
    <definedName name="______________________ok1" hidden="1">{#N/A,#N/A,FALSE,"balance";#N/A,#N/A,FALSE,"PYG"}</definedName>
    <definedName name="______________________Ok2" localSheetId="15" hidden="1">{#N/A,#N/A,FALSE,"balance";#N/A,#N/A,FALSE,"PYG"}</definedName>
    <definedName name="______________________Ok2" localSheetId="14" hidden="1">{#N/A,#N/A,FALSE,"balance";#N/A,#N/A,FALSE,"PYG"}</definedName>
    <definedName name="______________________Ok2" hidden="1">{#N/A,#N/A,FALSE,"balance";#N/A,#N/A,FALSE,"PYG"}</definedName>
    <definedName name="______________________PyG2" localSheetId="15" hidden="1">{#N/A,#N/A,FALSE,"balance";#N/A,#N/A,FALSE,"PYG"}</definedName>
    <definedName name="______________________PyG2" localSheetId="14" hidden="1">{#N/A,#N/A,FALSE,"balance";#N/A,#N/A,FALSE,"PYG"}</definedName>
    <definedName name="______________________PyG2" hidden="1">{#N/A,#N/A,FALSE,"balance";#N/A,#N/A,FALSE,"PYG"}</definedName>
    <definedName name="______________________PYG3" localSheetId="15" hidden="1">{#N/A,#N/A,FALSE,"balance";#N/A,#N/A,FALSE,"PYG"}</definedName>
    <definedName name="______________________PYG3" localSheetId="14" hidden="1">{#N/A,#N/A,FALSE,"balance";#N/A,#N/A,FALSE,"PYG"}</definedName>
    <definedName name="______________________PYG3" hidden="1">{#N/A,#N/A,FALSE,"balance";#N/A,#N/A,FALSE,"PYG"}</definedName>
    <definedName name="______________________PyG33" localSheetId="15" hidden="1">{#N/A,#N/A,FALSE,"balance";#N/A,#N/A,FALSE,"PYG"}</definedName>
    <definedName name="______________________PyG33" localSheetId="14" hidden="1">{#N/A,#N/A,FALSE,"balance";#N/A,#N/A,FALSE,"PYG"}</definedName>
    <definedName name="______________________PyG33" hidden="1">{#N/A,#N/A,FALSE,"balance";#N/A,#N/A,FALSE,"PYG"}</definedName>
    <definedName name="_____________________GGF2" localSheetId="15" hidden="1">{#N/A,#N/A,FALSE,"balance";#N/A,#N/A,FALSE,"PYG"}</definedName>
    <definedName name="_____________________GGF2" localSheetId="14" hidden="1">{#N/A,#N/A,FALSE,"balance";#N/A,#N/A,FALSE,"PYG"}</definedName>
    <definedName name="_____________________GGF2" hidden="1">{#N/A,#N/A,FALSE,"balance";#N/A,#N/A,FALSE,"PYG"}</definedName>
    <definedName name="_____________________OCT2" localSheetId="15" hidden="1">{#N/A,#N/A,FALSE,"BL&amp;GPA";#N/A,#N/A,FALSE,"Summary";#N/A,#N/A,FALSE,"hts"}</definedName>
    <definedName name="_____________________OCT2" localSheetId="14" hidden="1">{#N/A,#N/A,FALSE,"BL&amp;GPA";#N/A,#N/A,FALSE,"Summary";#N/A,#N/A,FALSE,"hts"}</definedName>
    <definedName name="_____________________OCT2" hidden="1">{#N/A,#N/A,FALSE,"BL&amp;GPA";#N/A,#N/A,FALSE,"Summary";#N/A,#N/A,FALSE,"hts"}</definedName>
    <definedName name="_____________________ok1" localSheetId="15" hidden="1">{#N/A,#N/A,FALSE,"balance";#N/A,#N/A,FALSE,"PYG"}</definedName>
    <definedName name="_____________________ok1" localSheetId="14" hidden="1">{#N/A,#N/A,FALSE,"balance";#N/A,#N/A,FALSE,"PYG"}</definedName>
    <definedName name="_____________________ok1" hidden="1">{#N/A,#N/A,FALSE,"balance";#N/A,#N/A,FALSE,"PYG"}</definedName>
    <definedName name="_____________________Ok2" localSheetId="15" hidden="1">{#N/A,#N/A,FALSE,"balance";#N/A,#N/A,FALSE,"PYG"}</definedName>
    <definedName name="_____________________Ok2" localSheetId="14" hidden="1">{#N/A,#N/A,FALSE,"balance";#N/A,#N/A,FALSE,"PYG"}</definedName>
    <definedName name="_____________________Ok2" hidden="1">{#N/A,#N/A,FALSE,"balance";#N/A,#N/A,FALSE,"PYG"}</definedName>
    <definedName name="_____________________PyG2" localSheetId="15" hidden="1">{#N/A,#N/A,FALSE,"balance";#N/A,#N/A,FALSE,"PYG"}</definedName>
    <definedName name="_____________________PyG2" localSheetId="14" hidden="1">{#N/A,#N/A,FALSE,"balance";#N/A,#N/A,FALSE,"PYG"}</definedName>
    <definedName name="_____________________PyG2" hidden="1">{#N/A,#N/A,FALSE,"balance";#N/A,#N/A,FALSE,"PYG"}</definedName>
    <definedName name="_____________________PYG3" localSheetId="15" hidden="1">{#N/A,#N/A,FALSE,"balance";#N/A,#N/A,FALSE,"PYG"}</definedName>
    <definedName name="_____________________PYG3" localSheetId="14" hidden="1">{#N/A,#N/A,FALSE,"balance";#N/A,#N/A,FALSE,"PYG"}</definedName>
    <definedName name="_____________________PYG3" hidden="1">{#N/A,#N/A,FALSE,"balance";#N/A,#N/A,FALSE,"PYG"}</definedName>
    <definedName name="_____________________PyG33" localSheetId="15" hidden="1">{#N/A,#N/A,FALSE,"balance";#N/A,#N/A,FALSE,"PYG"}</definedName>
    <definedName name="_____________________PyG33" localSheetId="14" hidden="1">{#N/A,#N/A,FALSE,"balance";#N/A,#N/A,FALSE,"PYG"}</definedName>
    <definedName name="_____________________PyG33" hidden="1">{#N/A,#N/A,FALSE,"balance";#N/A,#N/A,FALSE,"PYG"}</definedName>
    <definedName name="____________________GGF2" localSheetId="15" hidden="1">{#N/A,#N/A,FALSE,"balance";#N/A,#N/A,FALSE,"PYG"}</definedName>
    <definedName name="____________________GGF2" localSheetId="14" hidden="1">{#N/A,#N/A,FALSE,"balance";#N/A,#N/A,FALSE,"PYG"}</definedName>
    <definedName name="____________________GGF2" hidden="1">{#N/A,#N/A,FALSE,"balance";#N/A,#N/A,FALSE,"PYG"}</definedName>
    <definedName name="____________________OCT2" localSheetId="15" hidden="1">{#N/A,#N/A,FALSE,"BL&amp;GPA";#N/A,#N/A,FALSE,"Summary";#N/A,#N/A,FALSE,"hts"}</definedName>
    <definedName name="____________________OCT2" localSheetId="14" hidden="1">{#N/A,#N/A,FALSE,"BL&amp;GPA";#N/A,#N/A,FALSE,"Summary";#N/A,#N/A,FALSE,"hts"}</definedName>
    <definedName name="____________________OCT2" hidden="1">{#N/A,#N/A,FALSE,"BL&amp;GPA";#N/A,#N/A,FALSE,"Summary";#N/A,#N/A,FALSE,"hts"}</definedName>
    <definedName name="____________________ok1" localSheetId="15" hidden="1">{#N/A,#N/A,FALSE,"balance";#N/A,#N/A,FALSE,"PYG"}</definedName>
    <definedName name="____________________ok1" localSheetId="14" hidden="1">{#N/A,#N/A,FALSE,"balance";#N/A,#N/A,FALSE,"PYG"}</definedName>
    <definedName name="____________________ok1" hidden="1">{#N/A,#N/A,FALSE,"balance";#N/A,#N/A,FALSE,"PYG"}</definedName>
    <definedName name="____________________Ok2" localSheetId="15" hidden="1">{#N/A,#N/A,FALSE,"balance";#N/A,#N/A,FALSE,"PYG"}</definedName>
    <definedName name="____________________Ok2" localSheetId="14" hidden="1">{#N/A,#N/A,FALSE,"balance";#N/A,#N/A,FALSE,"PYG"}</definedName>
    <definedName name="____________________Ok2" hidden="1">{#N/A,#N/A,FALSE,"balance";#N/A,#N/A,FALSE,"PYG"}</definedName>
    <definedName name="____________________PyG2" localSheetId="15" hidden="1">{#N/A,#N/A,FALSE,"balance";#N/A,#N/A,FALSE,"PYG"}</definedName>
    <definedName name="____________________PyG2" localSheetId="14" hidden="1">{#N/A,#N/A,FALSE,"balance";#N/A,#N/A,FALSE,"PYG"}</definedName>
    <definedName name="____________________PyG2" hidden="1">{#N/A,#N/A,FALSE,"balance";#N/A,#N/A,FALSE,"PYG"}</definedName>
    <definedName name="____________________PYG3" localSheetId="15" hidden="1">{#N/A,#N/A,FALSE,"balance";#N/A,#N/A,FALSE,"PYG"}</definedName>
    <definedName name="____________________PYG3" localSheetId="14" hidden="1">{#N/A,#N/A,FALSE,"balance";#N/A,#N/A,FALSE,"PYG"}</definedName>
    <definedName name="____________________PYG3" hidden="1">{#N/A,#N/A,FALSE,"balance";#N/A,#N/A,FALSE,"PYG"}</definedName>
    <definedName name="____________________PyG33" localSheetId="15" hidden="1">{#N/A,#N/A,FALSE,"balance";#N/A,#N/A,FALSE,"PYG"}</definedName>
    <definedName name="____________________PyG33" localSheetId="14" hidden="1">{#N/A,#N/A,FALSE,"balance";#N/A,#N/A,FALSE,"PYG"}</definedName>
    <definedName name="____________________PyG33" hidden="1">{#N/A,#N/A,FALSE,"balance";#N/A,#N/A,FALSE,"PYG"}</definedName>
    <definedName name="___________________GGF2" localSheetId="15" hidden="1">{#N/A,#N/A,FALSE,"balance";#N/A,#N/A,FALSE,"PYG"}</definedName>
    <definedName name="___________________GGF2" localSheetId="14" hidden="1">{#N/A,#N/A,FALSE,"balance";#N/A,#N/A,FALSE,"PYG"}</definedName>
    <definedName name="___________________GGF2" hidden="1">{#N/A,#N/A,FALSE,"balance";#N/A,#N/A,FALSE,"PYG"}</definedName>
    <definedName name="___________________OCT2" localSheetId="15" hidden="1">{#N/A,#N/A,FALSE,"BL&amp;GPA";#N/A,#N/A,FALSE,"Summary";#N/A,#N/A,FALSE,"hts"}</definedName>
    <definedName name="___________________OCT2" localSheetId="14" hidden="1">{#N/A,#N/A,FALSE,"BL&amp;GPA";#N/A,#N/A,FALSE,"Summary";#N/A,#N/A,FALSE,"hts"}</definedName>
    <definedName name="___________________OCT2" hidden="1">{#N/A,#N/A,FALSE,"BL&amp;GPA";#N/A,#N/A,FALSE,"Summary";#N/A,#N/A,FALSE,"hts"}</definedName>
    <definedName name="___________________ok1" localSheetId="15" hidden="1">{#N/A,#N/A,FALSE,"balance";#N/A,#N/A,FALSE,"PYG"}</definedName>
    <definedName name="___________________ok1" localSheetId="14" hidden="1">{#N/A,#N/A,FALSE,"balance";#N/A,#N/A,FALSE,"PYG"}</definedName>
    <definedName name="___________________ok1" hidden="1">{#N/A,#N/A,FALSE,"balance";#N/A,#N/A,FALSE,"PYG"}</definedName>
    <definedName name="___________________Ok2" localSheetId="15" hidden="1">{#N/A,#N/A,FALSE,"balance";#N/A,#N/A,FALSE,"PYG"}</definedName>
    <definedName name="___________________Ok2" localSheetId="14" hidden="1">{#N/A,#N/A,FALSE,"balance";#N/A,#N/A,FALSE,"PYG"}</definedName>
    <definedName name="___________________Ok2" hidden="1">{#N/A,#N/A,FALSE,"balance";#N/A,#N/A,FALSE,"PYG"}</definedName>
    <definedName name="___________________PyG2" localSheetId="15" hidden="1">{#N/A,#N/A,FALSE,"balance";#N/A,#N/A,FALSE,"PYG"}</definedName>
    <definedName name="___________________PyG2" localSheetId="14" hidden="1">{#N/A,#N/A,FALSE,"balance";#N/A,#N/A,FALSE,"PYG"}</definedName>
    <definedName name="___________________PyG2" hidden="1">{#N/A,#N/A,FALSE,"balance";#N/A,#N/A,FALSE,"PYG"}</definedName>
    <definedName name="___________________PYG3" localSheetId="15" hidden="1">{#N/A,#N/A,FALSE,"balance";#N/A,#N/A,FALSE,"PYG"}</definedName>
    <definedName name="___________________PYG3" localSheetId="14" hidden="1">{#N/A,#N/A,FALSE,"balance";#N/A,#N/A,FALSE,"PYG"}</definedName>
    <definedName name="___________________PYG3" hidden="1">{#N/A,#N/A,FALSE,"balance";#N/A,#N/A,FALSE,"PYG"}</definedName>
    <definedName name="___________________PyG33" localSheetId="15" hidden="1">{#N/A,#N/A,FALSE,"balance";#N/A,#N/A,FALSE,"PYG"}</definedName>
    <definedName name="___________________PyG33" localSheetId="14" hidden="1">{#N/A,#N/A,FALSE,"balance";#N/A,#N/A,FALSE,"PYG"}</definedName>
    <definedName name="___________________PyG33" hidden="1">{#N/A,#N/A,FALSE,"balance";#N/A,#N/A,FALSE,"PYG"}</definedName>
    <definedName name="__________________GGF2" localSheetId="15" hidden="1">{#N/A,#N/A,FALSE,"balance";#N/A,#N/A,FALSE,"PYG"}</definedName>
    <definedName name="__________________GGF2" localSheetId="14" hidden="1">{#N/A,#N/A,FALSE,"balance";#N/A,#N/A,FALSE,"PYG"}</definedName>
    <definedName name="__________________GGF2" hidden="1">{#N/A,#N/A,FALSE,"balance";#N/A,#N/A,FALSE,"PYG"}</definedName>
    <definedName name="__________________OCT2" localSheetId="15" hidden="1">{#N/A,#N/A,FALSE,"BL&amp;GPA";#N/A,#N/A,FALSE,"Summary";#N/A,#N/A,FALSE,"hts"}</definedName>
    <definedName name="__________________OCT2" localSheetId="14" hidden="1">{#N/A,#N/A,FALSE,"BL&amp;GPA";#N/A,#N/A,FALSE,"Summary";#N/A,#N/A,FALSE,"hts"}</definedName>
    <definedName name="__________________OCT2" hidden="1">{#N/A,#N/A,FALSE,"BL&amp;GPA";#N/A,#N/A,FALSE,"Summary";#N/A,#N/A,FALSE,"hts"}</definedName>
    <definedName name="__________________ok1" localSheetId="15" hidden="1">{#N/A,#N/A,FALSE,"balance";#N/A,#N/A,FALSE,"PYG"}</definedName>
    <definedName name="__________________ok1" localSheetId="14" hidden="1">{#N/A,#N/A,FALSE,"balance";#N/A,#N/A,FALSE,"PYG"}</definedName>
    <definedName name="__________________ok1" hidden="1">{#N/A,#N/A,FALSE,"balance";#N/A,#N/A,FALSE,"PYG"}</definedName>
    <definedName name="__________________Ok2" localSheetId="15" hidden="1">{#N/A,#N/A,FALSE,"balance";#N/A,#N/A,FALSE,"PYG"}</definedName>
    <definedName name="__________________Ok2" localSheetId="14" hidden="1">{#N/A,#N/A,FALSE,"balance";#N/A,#N/A,FALSE,"PYG"}</definedName>
    <definedName name="__________________Ok2" hidden="1">{#N/A,#N/A,FALSE,"balance";#N/A,#N/A,FALSE,"PYG"}</definedName>
    <definedName name="__________________PyG2" localSheetId="15" hidden="1">{#N/A,#N/A,FALSE,"balance";#N/A,#N/A,FALSE,"PYG"}</definedName>
    <definedName name="__________________PyG2" localSheetId="14" hidden="1">{#N/A,#N/A,FALSE,"balance";#N/A,#N/A,FALSE,"PYG"}</definedName>
    <definedName name="__________________PyG2" hidden="1">{#N/A,#N/A,FALSE,"balance";#N/A,#N/A,FALSE,"PYG"}</definedName>
    <definedName name="__________________PYG3" localSheetId="15" hidden="1">{#N/A,#N/A,FALSE,"balance";#N/A,#N/A,FALSE,"PYG"}</definedName>
    <definedName name="__________________PYG3" localSheetId="14" hidden="1">{#N/A,#N/A,FALSE,"balance";#N/A,#N/A,FALSE,"PYG"}</definedName>
    <definedName name="__________________PYG3" hidden="1">{#N/A,#N/A,FALSE,"balance";#N/A,#N/A,FALSE,"PYG"}</definedName>
    <definedName name="__________________PyG33" localSheetId="15" hidden="1">{#N/A,#N/A,FALSE,"balance";#N/A,#N/A,FALSE,"PYG"}</definedName>
    <definedName name="__________________PyG33" localSheetId="14" hidden="1">{#N/A,#N/A,FALSE,"balance";#N/A,#N/A,FALSE,"PYG"}</definedName>
    <definedName name="__________________PyG33" hidden="1">{#N/A,#N/A,FALSE,"balance";#N/A,#N/A,FALSE,"PYG"}</definedName>
    <definedName name="_________________GGF2" localSheetId="15" hidden="1">{#N/A,#N/A,FALSE,"balance";#N/A,#N/A,FALSE,"PYG"}</definedName>
    <definedName name="_________________GGF2" localSheetId="14" hidden="1">{#N/A,#N/A,FALSE,"balance";#N/A,#N/A,FALSE,"PYG"}</definedName>
    <definedName name="_________________GGF2" hidden="1">{#N/A,#N/A,FALSE,"balance";#N/A,#N/A,FALSE,"PYG"}</definedName>
    <definedName name="_________________OCT2" localSheetId="15" hidden="1">{#N/A,#N/A,FALSE,"BL&amp;GPA";#N/A,#N/A,FALSE,"Summary";#N/A,#N/A,FALSE,"hts"}</definedName>
    <definedName name="_________________OCT2" localSheetId="14" hidden="1">{#N/A,#N/A,FALSE,"BL&amp;GPA";#N/A,#N/A,FALSE,"Summary";#N/A,#N/A,FALSE,"hts"}</definedName>
    <definedName name="_________________OCT2" hidden="1">{#N/A,#N/A,FALSE,"BL&amp;GPA";#N/A,#N/A,FALSE,"Summary";#N/A,#N/A,FALSE,"hts"}</definedName>
    <definedName name="_________________ok1" localSheetId="15" hidden="1">{#N/A,#N/A,FALSE,"balance";#N/A,#N/A,FALSE,"PYG"}</definedName>
    <definedName name="_________________ok1" localSheetId="14" hidden="1">{#N/A,#N/A,FALSE,"balance";#N/A,#N/A,FALSE,"PYG"}</definedName>
    <definedName name="_________________ok1" hidden="1">{#N/A,#N/A,FALSE,"balance";#N/A,#N/A,FALSE,"PYG"}</definedName>
    <definedName name="_________________Ok2" localSheetId="15" hidden="1">{#N/A,#N/A,FALSE,"balance";#N/A,#N/A,FALSE,"PYG"}</definedName>
    <definedName name="_________________Ok2" localSheetId="14" hidden="1">{#N/A,#N/A,FALSE,"balance";#N/A,#N/A,FALSE,"PYG"}</definedName>
    <definedName name="_________________Ok2" hidden="1">{#N/A,#N/A,FALSE,"balance";#N/A,#N/A,FALSE,"PYG"}</definedName>
    <definedName name="_________________PyG2" localSheetId="15" hidden="1">{#N/A,#N/A,FALSE,"balance";#N/A,#N/A,FALSE,"PYG"}</definedName>
    <definedName name="_________________PyG2" localSheetId="14" hidden="1">{#N/A,#N/A,FALSE,"balance";#N/A,#N/A,FALSE,"PYG"}</definedName>
    <definedName name="_________________PyG2" hidden="1">{#N/A,#N/A,FALSE,"balance";#N/A,#N/A,FALSE,"PYG"}</definedName>
    <definedName name="_________________PYG3" localSheetId="15" hidden="1">{#N/A,#N/A,FALSE,"balance";#N/A,#N/A,FALSE,"PYG"}</definedName>
    <definedName name="_________________PYG3" localSheetId="14" hidden="1">{#N/A,#N/A,FALSE,"balance";#N/A,#N/A,FALSE,"PYG"}</definedName>
    <definedName name="_________________PYG3" hidden="1">{#N/A,#N/A,FALSE,"balance";#N/A,#N/A,FALSE,"PYG"}</definedName>
    <definedName name="_________________PyG33" localSheetId="15" hidden="1">{#N/A,#N/A,FALSE,"balance";#N/A,#N/A,FALSE,"PYG"}</definedName>
    <definedName name="_________________PyG33" localSheetId="14" hidden="1">{#N/A,#N/A,FALSE,"balance";#N/A,#N/A,FALSE,"PYG"}</definedName>
    <definedName name="_________________PyG33" hidden="1">{#N/A,#N/A,FALSE,"balance";#N/A,#N/A,FALSE,"PYG"}</definedName>
    <definedName name="________________GGF2" localSheetId="15" hidden="1">{#N/A,#N/A,FALSE,"balance";#N/A,#N/A,FALSE,"PYG"}</definedName>
    <definedName name="________________GGF2" localSheetId="14" hidden="1">{#N/A,#N/A,FALSE,"balance";#N/A,#N/A,FALSE,"PYG"}</definedName>
    <definedName name="________________GGF2" hidden="1">{#N/A,#N/A,FALSE,"balance";#N/A,#N/A,FALSE,"PYG"}</definedName>
    <definedName name="________________OCT2" localSheetId="15" hidden="1">{#N/A,#N/A,FALSE,"BL&amp;GPA";#N/A,#N/A,FALSE,"Summary";#N/A,#N/A,FALSE,"hts"}</definedName>
    <definedName name="________________OCT2" localSheetId="14" hidden="1">{#N/A,#N/A,FALSE,"BL&amp;GPA";#N/A,#N/A,FALSE,"Summary";#N/A,#N/A,FALSE,"hts"}</definedName>
    <definedName name="________________OCT2" hidden="1">{#N/A,#N/A,FALSE,"BL&amp;GPA";#N/A,#N/A,FALSE,"Summary";#N/A,#N/A,FALSE,"hts"}</definedName>
    <definedName name="________________ok1" localSheetId="15" hidden="1">{#N/A,#N/A,FALSE,"balance";#N/A,#N/A,FALSE,"PYG"}</definedName>
    <definedName name="________________ok1" localSheetId="14" hidden="1">{#N/A,#N/A,FALSE,"balance";#N/A,#N/A,FALSE,"PYG"}</definedName>
    <definedName name="________________ok1" hidden="1">{#N/A,#N/A,FALSE,"balance";#N/A,#N/A,FALSE,"PYG"}</definedName>
    <definedName name="________________Ok2" localSheetId="15" hidden="1">{#N/A,#N/A,FALSE,"balance";#N/A,#N/A,FALSE,"PYG"}</definedName>
    <definedName name="________________Ok2" localSheetId="14" hidden="1">{#N/A,#N/A,FALSE,"balance";#N/A,#N/A,FALSE,"PYG"}</definedName>
    <definedName name="________________Ok2" hidden="1">{#N/A,#N/A,FALSE,"balance";#N/A,#N/A,FALSE,"PYG"}</definedName>
    <definedName name="________________PyG2" localSheetId="15" hidden="1">{#N/A,#N/A,FALSE,"balance";#N/A,#N/A,FALSE,"PYG"}</definedName>
    <definedName name="________________PyG2" localSheetId="14" hidden="1">{#N/A,#N/A,FALSE,"balance";#N/A,#N/A,FALSE,"PYG"}</definedName>
    <definedName name="________________PyG2" hidden="1">{#N/A,#N/A,FALSE,"balance";#N/A,#N/A,FALSE,"PYG"}</definedName>
    <definedName name="________________PYG3" localSheetId="15" hidden="1">{#N/A,#N/A,FALSE,"balance";#N/A,#N/A,FALSE,"PYG"}</definedName>
    <definedName name="________________PYG3" localSheetId="14" hidden="1">{#N/A,#N/A,FALSE,"balance";#N/A,#N/A,FALSE,"PYG"}</definedName>
    <definedName name="________________PYG3" hidden="1">{#N/A,#N/A,FALSE,"balance";#N/A,#N/A,FALSE,"PYG"}</definedName>
    <definedName name="________________PyG33" localSheetId="15" hidden="1">{#N/A,#N/A,FALSE,"balance";#N/A,#N/A,FALSE,"PYG"}</definedName>
    <definedName name="________________PyG33" localSheetId="14" hidden="1">{#N/A,#N/A,FALSE,"balance";#N/A,#N/A,FALSE,"PYG"}</definedName>
    <definedName name="________________PyG33" hidden="1">{#N/A,#N/A,FALSE,"balance";#N/A,#N/A,FALSE,"PYG"}</definedName>
    <definedName name="_______________GGF2" localSheetId="15" hidden="1">{#N/A,#N/A,FALSE,"balance";#N/A,#N/A,FALSE,"PYG"}</definedName>
    <definedName name="_______________GGF2" localSheetId="14" hidden="1">{#N/A,#N/A,FALSE,"balance";#N/A,#N/A,FALSE,"PYG"}</definedName>
    <definedName name="_______________GGF2" hidden="1">{#N/A,#N/A,FALSE,"balance";#N/A,#N/A,FALSE,"PYG"}</definedName>
    <definedName name="_______________OCT2" localSheetId="15" hidden="1">{#N/A,#N/A,FALSE,"BL&amp;GPA";#N/A,#N/A,FALSE,"Summary";#N/A,#N/A,FALSE,"hts"}</definedName>
    <definedName name="_______________OCT2" localSheetId="14" hidden="1">{#N/A,#N/A,FALSE,"BL&amp;GPA";#N/A,#N/A,FALSE,"Summary";#N/A,#N/A,FALSE,"hts"}</definedName>
    <definedName name="_______________OCT2" hidden="1">{#N/A,#N/A,FALSE,"BL&amp;GPA";#N/A,#N/A,FALSE,"Summary";#N/A,#N/A,FALSE,"hts"}</definedName>
    <definedName name="_______________ok1" localSheetId="15" hidden="1">{#N/A,#N/A,FALSE,"balance";#N/A,#N/A,FALSE,"PYG"}</definedName>
    <definedName name="_______________ok1" localSheetId="14" hidden="1">{#N/A,#N/A,FALSE,"balance";#N/A,#N/A,FALSE,"PYG"}</definedName>
    <definedName name="_______________ok1" hidden="1">{#N/A,#N/A,FALSE,"balance";#N/A,#N/A,FALSE,"PYG"}</definedName>
    <definedName name="_______________Ok2" localSheetId="15" hidden="1">{#N/A,#N/A,FALSE,"balance";#N/A,#N/A,FALSE,"PYG"}</definedName>
    <definedName name="_______________Ok2" localSheetId="14" hidden="1">{#N/A,#N/A,FALSE,"balance";#N/A,#N/A,FALSE,"PYG"}</definedName>
    <definedName name="_______________Ok2" hidden="1">{#N/A,#N/A,FALSE,"balance";#N/A,#N/A,FALSE,"PYG"}</definedName>
    <definedName name="_______________PyG2" localSheetId="15" hidden="1">{#N/A,#N/A,FALSE,"balance";#N/A,#N/A,FALSE,"PYG"}</definedName>
    <definedName name="_______________PyG2" localSheetId="14" hidden="1">{#N/A,#N/A,FALSE,"balance";#N/A,#N/A,FALSE,"PYG"}</definedName>
    <definedName name="_______________PyG2" hidden="1">{#N/A,#N/A,FALSE,"balance";#N/A,#N/A,FALSE,"PYG"}</definedName>
    <definedName name="_______________PYG3" localSheetId="15" hidden="1">{#N/A,#N/A,FALSE,"balance";#N/A,#N/A,FALSE,"PYG"}</definedName>
    <definedName name="_______________PYG3" localSheetId="14" hidden="1">{#N/A,#N/A,FALSE,"balance";#N/A,#N/A,FALSE,"PYG"}</definedName>
    <definedName name="_______________PYG3" hidden="1">{#N/A,#N/A,FALSE,"balance";#N/A,#N/A,FALSE,"PYG"}</definedName>
    <definedName name="_______________PyG33" localSheetId="15" hidden="1">{#N/A,#N/A,FALSE,"balance";#N/A,#N/A,FALSE,"PYG"}</definedName>
    <definedName name="_______________PyG33" localSheetId="14" hidden="1">{#N/A,#N/A,FALSE,"balance";#N/A,#N/A,FALSE,"PYG"}</definedName>
    <definedName name="_______________PyG33" hidden="1">{#N/A,#N/A,FALSE,"balance";#N/A,#N/A,FALSE,"PYG"}</definedName>
    <definedName name="______________GGF2" localSheetId="15" hidden="1">{#N/A,#N/A,FALSE,"balance";#N/A,#N/A,FALSE,"PYG"}</definedName>
    <definedName name="______________GGF2" localSheetId="14" hidden="1">{#N/A,#N/A,FALSE,"balance";#N/A,#N/A,FALSE,"PYG"}</definedName>
    <definedName name="______________GGF2" hidden="1">{#N/A,#N/A,FALSE,"balance";#N/A,#N/A,FALSE,"PYG"}</definedName>
    <definedName name="______________OCT2" localSheetId="15" hidden="1">{#N/A,#N/A,FALSE,"BL&amp;GPA";#N/A,#N/A,FALSE,"Summary";#N/A,#N/A,FALSE,"hts"}</definedName>
    <definedName name="______________OCT2" localSheetId="14" hidden="1">{#N/A,#N/A,FALSE,"BL&amp;GPA";#N/A,#N/A,FALSE,"Summary";#N/A,#N/A,FALSE,"hts"}</definedName>
    <definedName name="______________OCT2" hidden="1">{#N/A,#N/A,FALSE,"BL&amp;GPA";#N/A,#N/A,FALSE,"Summary";#N/A,#N/A,FALSE,"hts"}</definedName>
    <definedName name="______________ok1" localSheetId="15" hidden="1">{#N/A,#N/A,FALSE,"balance";#N/A,#N/A,FALSE,"PYG"}</definedName>
    <definedName name="______________ok1" localSheetId="14" hidden="1">{#N/A,#N/A,FALSE,"balance";#N/A,#N/A,FALSE,"PYG"}</definedName>
    <definedName name="______________ok1" hidden="1">{#N/A,#N/A,FALSE,"balance";#N/A,#N/A,FALSE,"PYG"}</definedName>
    <definedName name="______________Ok2" localSheetId="15" hidden="1">{#N/A,#N/A,FALSE,"balance";#N/A,#N/A,FALSE,"PYG"}</definedName>
    <definedName name="______________Ok2" localSheetId="14" hidden="1">{#N/A,#N/A,FALSE,"balance";#N/A,#N/A,FALSE,"PYG"}</definedName>
    <definedName name="______________Ok2" hidden="1">{#N/A,#N/A,FALSE,"balance";#N/A,#N/A,FALSE,"PYG"}</definedName>
    <definedName name="______________PyG2" localSheetId="15" hidden="1">{#N/A,#N/A,FALSE,"balance";#N/A,#N/A,FALSE,"PYG"}</definedName>
    <definedName name="______________PyG2" localSheetId="14" hidden="1">{#N/A,#N/A,FALSE,"balance";#N/A,#N/A,FALSE,"PYG"}</definedName>
    <definedName name="______________PyG2" hidden="1">{#N/A,#N/A,FALSE,"balance";#N/A,#N/A,FALSE,"PYG"}</definedName>
    <definedName name="______________PYG3" localSheetId="15" hidden="1">{#N/A,#N/A,FALSE,"balance";#N/A,#N/A,FALSE,"PYG"}</definedName>
    <definedName name="______________PYG3" localSheetId="14" hidden="1">{#N/A,#N/A,FALSE,"balance";#N/A,#N/A,FALSE,"PYG"}</definedName>
    <definedName name="______________PYG3" hidden="1">{#N/A,#N/A,FALSE,"balance";#N/A,#N/A,FALSE,"PYG"}</definedName>
    <definedName name="______________PyG33" localSheetId="15" hidden="1">{#N/A,#N/A,FALSE,"balance";#N/A,#N/A,FALSE,"PYG"}</definedName>
    <definedName name="______________PyG33" localSheetId="14" hidden="1">{#N/A,#N/A,FALSE,"balance";#N/A,#N/A,FALSE,"PYG"}</definedName>
    <definedName name="______________PyG33" hidden="1">{#N/A,#N/A,FALSE,"balance";#N/A,#N/A,FALSE,"PYG"}</definedName>
    <definedName name="_____________GGF2" localSheetId="15" hidden="1">{#N/A,#N/A,FALSE,"balance";#N/A,#N/A,FALSE,"PYG"}</definedName>
    <definedName name="_____________GGF2" localSheetId="14" hidden="1">{#N/A,#N/A,FALSE,"balance";#N/A,#N/A,FALSE,"PYG"}</definedName>
    <definedName name="_____________GGF2" hidden="1">{#N/A,#N/A,FALSE,"balance";#N/A,#N/A,FALSE,"PYG"}</definedName>
    <definedName name="_____________OCT2" localSheetId="15" hidden="1">{#N/A,#N/A,FALSE,"BL&amp;GPA";#N/A,#N/A,FALSE,"Summary";#N/A,#N/A,FALSE,"hts"}</definedName>
    <definedName name="_____________OCT2" localSheetId="14" hidden="1">{#N/A,#N/A,FALSE,"BL&amp;GPA";#N/A,#N/A,FALSE,"Summary";#N/A,#N/A,FALSE,"hts"}</definedName>
    <definedName name="_____________OCT2" hidden="1">{#N/A,#N/A,FALSE,"BL&amp;GPA";#N/A,#N/A,FALSE,"Summary";#N/A,#N/A,FALSE,"hts"}</definedName>
    <definedName name="_____________ok1" localSheetId="15" hidden="1">{#N/A,#N/A,FALSE,"balance";#N/A,#N/A,FALSE,"PYG"}</definedName>
    <definedName name="_____________ok1" localSheetId="14" hidden="1">{#N/A,#N/A,FALSE,"balance";#N/A,#N/A,FALSE,"PYG"}</definedName>
    <definedName name="_____________ok1" hidden="1">{#N/A,#N/A,FALSE,"balance";#N/A,#N/A,FALSE,"PYG"}</definedName>
    <definedName name="_____________Ok2" localSheetId="15" hidden="1">{#N/A,#N/A,FALSE,"balance";#N/A,#N/A,FALSE,"PYG"}</definedName>
    <definedName name="_____________Ok2" localSheetId="14" hidden="1">{#N/A,#N/A,FALSE,"balance";#N/A,#N/A,FALSE,"PYG"}</definedName>
    <definedName name="_____________Ok2" hidden="1">{#N/A,#N/A,FALSE,"balance";#N/A,#N/A,FALSE,"PYG"}</definedName>
    <definedName name="_____________PyG2" localSheetId="15" hidden="1">{#N/A,#N/A,FALSE,"balance";#N/A,#N/A,FALSE,"PYG"}</definedName>
    <definedName name="_____________PyG2" localSheetId="14" hidden="1">{#N/A,#N/A,FALSE,"balance";#N/A,#N/A,FALSE,"PYG"}</definedName>
    <definedName name="_____________PyG2" hidden="1">{#N/A,#N/A,FALSE,"balance";#N/A,#N/A,FALSE,"PYG"}</definedName>
    <definedName name="_____________PYG3" localSheetId="15" hidden="1">{#N/A,#N/A,FALSE,"balance";#N/A,#N/A,FALSE,"PYG"}</definedName>
    <definedName name="_____________PYG3" localSheetId="14" hidden="1">{#N/A,#N/A,FALSE,"balance";#N/A,#N/A,FALSE,"PYG"}</definedName>
    <definedName name="_____________PYG3" hidden="1">{#N/A,#N/A,FALSE,"balance";#N/A,#N/A,FALSE,"PYG"}</definedName>
    <definedName name="_____________PyG33" localSheetId="15" hidden="1">{#N/A,#N/A,FALSE,"balance";#N/A,#N/A,FALSE,"PYG"}</definedName>
    <definedName name="_____________PyG33" localSheetId="14" hidden="1">{#N/A,#N/A,FALSE,"balance";#N/A,#N/A,FALSE,"PYG"}</definedName>
    <definedName name="_____________PyG33" hidden="1">{#N/A,#N/A,FALSE,"balance";#N/A,#N/A,FALSE,"PYG"}</definedName>
    <definedName name="____________GGF2" localSheetId="15" hidden="1">{#N/A,#N/A,FALSE,"balance";#N/A,#N/A,FALSE,"PYG"}</definedName>
    <definedName name="____________GGF2" localSheetId="14" hidden="1">{#N/A,#N/A,FALSE,"balance";#N/A,#N/A,FALSE,"PYG"}</definedName>
    <definedName name="____________GGF2" hidden="1">{#N/A,#N/A,FALSE,"balance";#N/A,#N/A,FALSE,"PYG"}</definedName>
    <definedName name="____________OCT2" localSheetId="15" hidden="1">{#N/A,#N/A,FALSE,"BL&amp;GPA";#N/A,#N/A,FALSE,"Summary";#N/A,#N/A,FALSE,"hts"}</definedName>
    <definedName name="____________OCT2" localSheetId="14" hidden="1">{#N/A,#N/A,FALSE,"BL&amp;GPA";#N/A,#N/A,FALSE,"Summary";#N/A,#N/A,FALSE,"hts"}</definedName>
    <definedName name="____________OCT2" hidden="1">{#N/A,#N/A,FALSE,"BL&amp;GPA";#N/A,#N/A,FALSE,"Summary";#N/A,#N/A,FALSE,"hts"}</definedName>
    <definedName name="____________ok1" localSheetId="15" hidden="1">{#N/A,#N/A,FALSE,"balance";#N/A,#N/A,FALSE,"PYG"}</definedName>
    <definedName name="____________ok1" localSheetId="14" hidden="1">{#N/A,#N/A,FALSE,"balance";#N/A,#N/A,FALSE,"PYG"}</definedName>
    <definedName name="____________ok1" hidden="1">{#N/A,#N/A,FALSE,"balance";#N/A,#N/A,FALSE,"PYG"}</definedName>
    <definedName name="____________Ok2" localSheetId="15" hidden="1">{#N/A,#N/A,FALSE,"balance";#N/A,#N/A,FALSE,"PYG"}</definedName>
    <definedName name="____________Ok2" localSheetId="14" hidden="1">{#N/A,#N/A,FALSE,"balance";#N/A,#N/A,FALSE,"PYG"}</definedName>
    <definedName name="____________Ok2" hidden="1">{#N/A,#N/A,FALSE,"balance";#N/A,#N/A,FALSE,"PYG"}</definedName>
    <definedName name="____________PyG2" localSheetId="15" hidden="1">{#N/A,#N/A,FALSE,"balance";#N/A,#N/A,FALSE,"PYG"}</definedName>
    <definedName name="____________PyG2" localSheetId="14" hidden="1">{#N/A,#N/A,FALSE,"balance";#N/A,#N/A,FALSE,"PYG"}</definedName>
    <definedName name="____________PyG2" hidden="1">{#N/A,#N/A,FALSE,"balance";#N/A,#N/A,FALSE,"PYG"}</definedName>
    <definedName name="____________PYG3" localSheetId="15" hidden="1">{#N/A,#N/A,FALSE,"balance";#N/A,#N/A,FALSE,"PYG"}</definedName>
    <definedName name="____________PYG3" localSheetId="14" hidden="1">{#N/A,#N/A,FALSE,"balance";#N/A,#N/A,FALSE,"PYG"}</definedName>
    <definedName name="____________PYG3" hidden="1">{#N/A,#N/A,FALSE,"balance";#N/A,#N/A,FALSE,"PYG"}</definedName>
    <definedName name="____________PyG33" localSheetId="15" hidden="1">{#N/A,#N/A,FALSE,"balance";#N/A,#N/A,FALSE,"PYG"}</definedName>
    <definedName name="____________PyG33" localSheetId="14" hidden="1">{#N/A,#N/A,FALSE,"balance";#N/A,#N/A,FALSE,"PYG"}</definedName>
    <definedName name="____________PyG33" hidden="1">{#N/A,#N/A,FALSE,"balance";#N/A,#N/A,FALSE,"PYG"}</definedName>
    <definedName name="___________GGF2" localSheetId="15" hidden="1">{#N/A,#N/A,FALSE,"balance";#N/A,#N/A,FALSE,"PYG"}</definedName>
    <definedName name="___________GGF2" localSheetId="14" hidden="1">{#N/A,#N/A,FALSE,"balance";#N/A,#N/A,FALSE,"PYG"}</definedName>
    <definedName name="___________GGF2" hidden="1">{#N/A,#N/A,FALSE,"balance";#N/A,#N/A,FALSE,"PYG"}</definedName>
    <definedName name="___________OCT2" localSheetId="15" hidden="1">{#N/A,#N/A,FALSE,"BL&amp;GPA";#N/A,#N/A,FALSE,"Summary";#N/A,#N/A,FALSE,"hts"}</definedName>
    <definedName name="___________OCT2" localSheetId="14" hidden="1">{#N/A,#N/A,FALSE,"BL&amp;GPA";#N/A,#N/A,FALSE,"Summary";#N/A,#N/A,FALSE,"hts"}</definedName>
    <definedName name="___________OCT2" hidden="1">{#N/A,#N/A,FALSE,"BL&amp;GPA";#N/A,#N/A,FALSE,"Summary";#N/A,#N/A,FALSE,"hts"}</definedName>
    <definedName name="___________ok1" localSheetId="15" hidden="1">{#N/A,#N/A,FALSE,"balance";#N/A,#N/A,FALSE,"PYG"}</definedName>
    <definedName name="___________ok1" localSheetId="14" hidden="1">{#N/A,#N/A,FALSE,"balance";#N/A,#N/A,FALSE,"PYG"}</definedName>
    <definedName name="___________ok1" hidden="1">{#N/A,#N/A,FALSE,"balance";#N/A,#N/A,FALSE,"PYG"}</definedName>
    <definedName name="___________Ok2" localSheetId="15" hidden="1">{#N/A,#N/A,FALSE,"balance";#N/A,#N/A,FALSE,"PYG"}</definedName>
    <definedName name="___________Ok2" localSheetId="14" hidden="1">{#N/A,#N/A,FALSE,"balance";#N/A,#N/A,FALSE,"PYG"}</definedName>
    <definedName name="___________Ok2" hidden="1">{#N/A,#N/A,FALSE,"balance";#N/A,#N/A,FALSE,"PYG"}</definedName>
    <definedName name="___________PyG2" localSheetId="15" hidden="1">{#N/A,#N/A,FALSE,"balance";#N/A,#N/A,FALSE,"PYG"}</definedName>
    <definedName name="___________PyG2" localSheetId="14" hidden="1">{#N/A,#N/A,FALSE,"balance";#N/A,#N/A,FALSE,"PYG"}</definedName>
    <definedName name="___________PyG2" hidden="1">{#N/A,#N/A,FALSE,"balance";#N/A,#N/A,FALSE,"PYG"}</definedName>
    <definedName name="___________PYG3" localSheetId="15" hidden="1">{#N/A,#N/A,FALSE,"balance";#N/A,#N/A,FALSE,"PYG"}</definedName>
    <definedName name="___________PYG3" localSheetId="14" hidden="1">{#N/A,#N/A,FALSE,"balance";#N/A,#N/A,FALSE,"PYG"}</definedName>
    <definedName name="___________PYG3" hidden="1">{#N/A,#N/A,FALSE,"balance";#N/A,#N/A,FALSE,"PYG"}</definedName>
    <definedName name="___________PyG33" localSheetId="15" hidden="1">{#N/A,#N/A,FALSE,"balance";#N/A,#N/A,FALSE,"PYG"}</definedName>
    <definedName name="___________PyG33" localSheetId="14" hidden="1">{#N/A,#N/A,FALSE,"balance";#N/A,#N/A,FALSE,"PYG"}</definedName>
    <definedName name="___________PyG33" hidden="1">{#N/A,#N/A,FALSE,"balance";#N/A,#N/A,FALSE,"PYG"}</definedName>
    <definedName name="__________GGF2" localSheetId="15" hidden="1">{#N/A,#N/A,FALSE,"balance";#N/A,#N/A,FALSE,"PYG"}</definedName>
    <definedName name="__________GGF2" localSheetId="14" hidden="1">{#N/A,#N/A,FALSE,"balance";#N/A,#N/A,FALSE,"PYG"}</definedName>
    <definedName name="__________GGF2" hidden="1">{#N/A,#N/A,FALSE,"balance";#N/A,#N/A,FALSE,"PYG"}</definedName>
    <definedName name="__________OCT2" localSheetId="15" hidden="1">{#N/A,#N/A,FALSE,"BL&amp;GPA";#N/A,#N/A,FALSE,"Summary";#N/A,#N/A,FALSE,"hts"}</definedName>
    <definedName name="__________OCT2" localSheetId="14" hidden="1">{#N/A,#N/A,FALSE,"BL&amp;GPA";#N/A,#N/A,FALSE,"Summary";#N/A,#N/A,FALSE,"hts"}</definedName>
    <definedName name="__________OCT2" hidden="1">{#N/A,#N/A,FALSE,"BL&amp;GPA";#N/A,#N/A,FALSE,"Summary";#N/A,#N/A,FALSE,"hts"}</definedName>
    <definedName name="__________ok1" localSheetId="15" hidden="1">{#N/A,#N/A,FALSE,"balance";#N/A,#N/A,FALSE,"PYG"}</definedName>
    <definedName name="__________ok1" localSheetId="14" hidden="1">{#N/A,#N/A,FALSE,"balance";#N/A,#N/A,FALSE,"PYG"}</definedName>
    <definedName name="__________ok1" hidden="1">{#N/A,#N/A,FALSE,"balance";#N/A,#N/A,FALSE,"PYG"}</definedName>
    <definedName name="__________Ok2" localSheetId="15" hidden="1">{#N/A,#N/A,FALSE,"balance";#N/A,#N/A,FALSE,"PYG"}</definedName>
    <definedName name="__________Ok2" localSheetId="14" hidden="1">{#N/A,#N/A,FALSE,"balance";#N/A,#N/A,FALSE,"PYG"}</definedName>
    <definedName name="__________Ok2" hidden="1">{#N/A,#N/A,FALSE,"balance";#N/A,#N/A,FALSE,"PYG"}</definedName>
    <definedName name="__________PyG2" localSheetId="15" hidden="1">{#N/A,#N/A,FALSE,"balance";#N/A,#N/A,FALSE,"PYG"}</definedName>
    <definedName name="__________PyG2" localSheetId="14" hidden="1">{#N/A,#N/A,FALSE,"balance";#N/A,#N/A,FALSE,"PYG"}</definedName>
    <definedName name="__________PyG2" hidden="1">{#N/A,#N/A,FALSE,"balance";#N/A,#N/A,FALSE,"PYG"}</definedName>
    <definedName name="__________PYG3" localSheetId="15" hidden="1">{#N/A,#N/A,FALSE,"balance";#N/A,#N/A,FALSE,"PYG"}</definedName>
    <definedName name="__________PYG3" localSheetId="14" hidden="1">{#N/A,#N/A,FALSE,"balance";#N/A,#N/A,FALSE,"PYG"}</definedName>
    <definedName name="__________PYG3" hidden="1">{#N/A,#N/A,FALSE,"balance";#N/A,#N/A,FALSE,"PYG"}</definedName>
    <definedName name="__________PyG33" localSheetId="15" hidden="1">{#N/A,#N/A,FALSE,"balance";#N/A,#N/A,FALSE,"PYG"}</definedName>
    <definedName name="__________PyG33" localSheetId="14" hidden="1">{#N/A,#N/A,FALSE,"balance";#N/A,#N/A,FALSE,"PYG"}</definedName>
    <definedName name="__________PyG33" hidden="1">{#N/A,#N/A,FALSE,"balance";#N/A,#N/A,FALSE,"PYG"}</definedName>
    <definedName name="_________GGF2" localSheetId="15" hidden="1">{#N/A,#N/A,FALSE,"balance";#N/A,#N/A,FALSE,"PYG"}</definedName>
    <definedName name="_________GGF2" localSheetId="14" hidden="1">{#N/A,#N/A,FALSE,"balance";#N/A,#N/A,FALSE,"PYG"}</definedName>
    <definedName name="_________GGF2" hidden="1">{#N/A,#N/A,FALSE,"balance";#N/A,#N/A,FALSE,"PYG"}</definedName>
    <definedName name="_________OCT2" localSheetId="15" hidden="1">{#N/A,#N/A,FALSE,"BL&amp;GPA";#N/A,#N/A,FALSE,"Summary";#N/A,#N/A,FALSE,"hts"}</definedName>
    <definedName name="_________OCT2" localSheetId="14" hidden="1">{#N/A,#N/A,FALSE,"BL&amp;GPA";#N/A,#N/A,FALSE,"Summary";#N/A,#N/A,FALSE,"hts"}</definedName>
    <definedName name="_________OCT2" hidden="1">{#N/A,#N/A,FALSE,"BL&amp;GPA";#N/A,#N/A,FALSE,"Summary";#N/A,#N/A,FALSE,"hts"}</definedName>
    <definedName name="_________ok1" localSheetId="15" hidden="1">{#N/A,#N/A,FALSE,"balance";#N/A,#N/A,FALSE,"PYG"}</definedName>
    <definedName name="_________ok1" localSheetId="14" hidden="1">{#N/A,#N/A,FALSE,"balance";#N/A,#N/A,FALSE,"PYG"}</definedName>
    <definedName name="_________ok1" hidden="1">{#N/A,#N/A,FALSE,"balance";#N/A,#N/A,FALSE,"PYG"}</definedName>
    <definedName name="_________Ok2" localSheetId="15" hidden="1">{#N/A,#N/A,FALSE,"balance";#N/A,#N/A,FALSE,"PYG"}</definedName>
    <definedName name="_________Ok2" localSheetId="14" hidden="1">{#N/A,#N/A,FALSE,"balance";#N/A,#N/A,FALSE,"PYG"}</definedName>
    <definedName name="_________Ok2" hidden="1">{#N/A,#N/A,FALSE,"balance";#N/A,#N/A,FALSE,"PYG"}</definedName>
    <definedName name="_________PyG2" localSheetId="15" hidden="1">{#N/A,#N/A,FALSE,"balance";#N/A,#N/A,FALSE,"PYG"}</definedName>
    <definedName name="_________PyG2" localSheetId="14" hidden="1">{#N/A,#N/A,FALSE,"balance";#N/A,#N/A,FALSE,"PYG"}</definedName>
    <definedName name="_________PyG2" hidden="1">{#N/A,#N/A,FALSE,"balance";#N/A,#N/A,FALSE,"PYG"}</definedName>
    <definedName name="_________PYG3" localSheetId="15" hidden="1">{#N/A,#N/A,FALSE,"balance";#N/A,#N/A,FALSE,"PYG"}</definedName>
    <definedName name="_________PYG3" localSheetId="14" hidden="1">{#N/A,#N/A,FALSE,"balance";#N/A,#N/A,FALSE,"PYG"}</definedName>
    <definedName name="_________PYG3" hidden="1">{#N/A,#N/A,FALSE,"balance";#N/A,#N/A,FALSE,"PYG"}</definedName>
    <definedName name="_________PyG33" localSheetId="15" hidden="1">{#N/A,#N/A,FALSE,"balance";#N/A,#N/A,FALSE,"PYG"}</definedName>
    <definedName name="_________PyG33" localSheetId="14" hidden="1">{#N/A,#N/A,FALSE,"balance";#N/A,#N/A,FALSE,"PYG"}</definedName>
    <definedName name="_________PyG33" hidden="1">{#N/A,#N/A,FALSE,"balance";#N/A,#N/A,FALSE,"PYG"}</definedName>
    <definedName name="________GGF2" localSheetId="15" hidden="1">{#N/A,#N/A,FALSE,"balance";#N/A,#N/A,FALSE,"PYG"}</definedName>
    <definedName name="________GGF2" localSheetId="14" hidden="1">{#N/A,#N/A,FALSE,"balance";#N/A,#N/A,FALSE,"PYG"}</definedName>
    <definedName name="________GGF2" hidden="1">{#N/A,#N/A,FALSE,"balance";#N/A,#N/A,FALSE,"PYG"}</definedName>
    <definedName name="________OCT2" localSheetId="15" hidden="1">{#N/A,#N/A,FALSE,"BL&amp;GPA";#N/A,#N/A,FALSE,"Summary";#N/A,#N/A,FALSE,"hts"}</definedName>
    <definedName name="________OCT2" localSheetId="14" hidden="1">{#N/A,#N/A,FALSE,"BL&amp;GPA";#N/A,#N/A,FALSE,"Summary";#N/A,#N/A,FALSE,"hts"}</definedName>
    <definedName name="________OCT2" hidden="1">{#N/A,#N/A,FALSE,"BL&amp;GPA";#N/A,#N/A,FALSE,"Summary";#N/A,#N/A,FALSE,"hts"}</definedName>
    <definedName name="________ok1" localSheetId="15" hidden="1">{#N/A,#N/A,FALSE,"balance";#N/A,#N/A,FALSE,"PYG"}</definedName>
    <definedName name="________ok1" localSheetId="14" hidden="1">{#N/A,#N/A,FALSE,"balance";#N/A,#N/A,FALSE,"PYG"}</definedName>
    <definedName name="________ok1" hidden="1">{#N/A,#N/A,FALSE,"balance";#N/A,#N/A,FALSE,"PYG"}</definedName>
    <definedName name="________Ok2" localSheetId="15" hidden="1">{#N/A,#N/A,FALSE,"balance";#N/A,#N/A,FALSE,"PYG"}</definedName>
    <definedName name="________Ok2" localSheetId="14" hidden="1">{#N/A,#N/A,FALSE,"balance";#N/A,#N/A,FALSE,"PYG"}</definedName>
    <definedName name="________Ok2" hidden="1">{#N/A,#N/A,FALSE,"balance";#N/A,#N/A,FALSE,"PYG"}</definedName>
    <definedName name="________PyG2" localSheetId="15" hidden="1">{#N/A,#N/A,FALSE,"balance";#N/A,#N/A,FALSE,"PYG"}</definedName>
    <definedName name="________PyG2" localSheetId="14" hidden="1">{#N/A,#N/A,FALSE,"balance";#N/A,#N/A,FALSE,"PYG"}</definedName>
    <definedName name="________PyG2" hidden="1">{#N/A,#N/A,FALSE,"balance";#N/A,#N/A,FALSE,"PYG"}</definedName>
    <definedName name="________PYG3" localSheetId="15" hidden="1">{#N/A,#N/A,FALSE,"balance";#N/A,#N/A,FALSE,"PYG"}</definedName>
    <definedName name="________PYG3" localSheetId="14" hidden="1">{#N/A,#N/A,FALSE,"balance";#N/A,#N/A,FALSE,"PYG"}</definedName>
    <definedName name="________PYG3" hidden="1">{#N/A,#N/A,FALSE,"balance";#N/A,#N/A,FALSE,"PYG"}</definedName>
    <definedName name="________PyG33" localSheetId="15" hidden="1">{#N/A,#N/A,FALSE,"balance";#N/A,#N/A,FALSE,"PYG"}</definedName>
    <definedName name="________PyG33" localSheetId="14" hidden="1">{#N/A,#N/A,FALSE,"balance";#N/A,#N/A,FALSE,"PYG"}</definedName>
    <definedName name="________PyG33" hidden="1">{#N/A,#N/A,FALSE,"balance";#N/A,#N/A,FALSE,"PYG"}</definedName>
    <definedName name="_______GGF2" localSheetId="15" hidden="1">{#N/A,#N/A,FALSE,"balance";#N/A,#N/A,FALSE,"PYG"}</definedName>
    <definedName name="_______GGF2" localSheetId="14" hidden="1">{#N/A,#N/A,FALSE,"balance";#N/A,#N/A,FALSE,"PYG"}</definedName>
    <definedName name="_______GGF2" hidden="1">{#N/A,#N/A,FALSE,"balance";#N/A,#N/A,FALSE,"PYG"}</definedName>
    <definedName name="_______OCT2" localSheetId="15" hidden="1">{#N/A,#N/A,FALSE,"BL&amp;GPA";#N/A,#N/A,FALSE,"Summary";#N/A,#N/A,FALSE,"hts"}</definedName>
    <definedName name="_______OCT2" localSheetId="14" hidden="1">{#N/A,#N/A,FALSE,"BL&amp;GPA";#N/A,#N/A,FALSE,"Summary";#N/A,#N/A,FALSE,"hts"}</definedName>
    <definedName name="_______OCT2" hidden="1">{#N/A,#N/A,FALSE,"BL&amp;GPA";#N/A,#N/A,FALSE,"Summary";#N/A,#N/A,FALSE,"hts"}</definedName>
    <definedName name="_______ok1" localSheetId="15" hidden="1">{#N/A,#N/A,FALSE,"balance";#N/A,#N/A,FALSE,"PYG"}</definedName>
    <definedName name="_______ok1" localSheetId="14" hidden="1">{#N/A,#N/A,FALSE,"balance";#N/A,#N/A,FALSE,"PYG"}</definedName>
    <definedName name="_______ok1" hidden="1">{#N/A,#N/A,FALSE,"balance";#N/A,#N/A,FALSE,"PYG"}</definedName>
    <definedName name="_______Ok2" localSheetId="15" hidden="1">{#N/A,#N/A,FALSE,"balance";#N/A,#N/A,FALSE,"PYG"}</definedName>
    <definedName name="_______Ok2" localSheetId="14" hidden="1">{#N/A,#N/A,FALSE,"balance";#N/A,#N/A,FALSE,"PYG"}</definedName>
    <definedName name="_______Ok2" hidden="1">{#N/A,#N/A,FALSE,"balance";#N/A,#N/A,FALSE,"PYG"}</definedName>
    <definedName name="_______PyG2" localSheetId="15" hidden="1">{#N/A,#N/A,FALSE,"balance";#N/A,#N/A,FALSE,"PYG"}</definedName>
    <definedName name="_______PyG2" localSheetId="14" hidden="1">{#N/A,#N/A,FALSE,"balance";#N/A,#N/A,FALSE,"PYG"}</definedName>
    <definedName name="_______PyG2" hidden="1">{#N/A,#N/A,FALSE,"balance";#N/A,#N/A,FALSE,"PYG"}</definedName>
    <definedName name="_______PYG3" localSheetId="15" hidden="1">{#N/A,#N/A,FALSE,"balance";#N/A,#N/A,FALSE,"PYG"}</definedName>
    <definedName name="_______PYG3" localSheetId="14" hidden="1">{#N/A,#N/A,FALSE,"balance";#N/A,#N/A,FALSE,"PYG"}</definedName>
    <definedName name="_______PYG3" hidden="1">{#N/A,#N/A,FALSE,"balance";#N/A,#N/A,FALSE,"PYG"}</definedName>
    <definedName name="_______PyG33" localSheetId="15" hidden="1">{#N/A,#N/A,FALSE,"balance";#N/A,#N/A,FALSE,"PYG"}</definedName>
    <definedName name="_______PyG33" localSheetId="14" hidden="1">{#N/A,#N/A,FALSE,"balance";#N/A,#N/A,FALSE,"PYG"}</definedName>
    <definedName name="_______PyG33" hidden="1">{#N/A,#N/A,FALSE,"balance";#N/A,#N/A,FALSE,"PYG"}</definedName>
    <definedName name="______GGF2" localSheetId="15" hidden="1">{#N/A,#N/A,FALSE,"balance";#N/A,#N/A,FALSE,"PYG"}</definedName>
    <definedName name="______GGF2" localSheetId="14" hidden="1">{#N/A,#N/A,FALSE,"balance";#N/A,#N/A,FALSE,"PYG"}</definedName>
    <definedName name="______GGF2" hidden="1">{#N/A,#N/A,FALSE,"balance";#N/A,#N/A,FALSE,"PYG"}</definedName>
    <definedName name="______OCT2" localSheetId="15" hidden="1">{#N/A,#N/A,FALSE,"BL&amp;GPA";#N/A,#N/A,FALSE,"Summary";#N/A,#N/A,FALSE,"hts"}</definedName>
    <definedName name="______OCT2" localSheetId="14" hidden="1">{#N/A,#N/A,FALSE,"BL&amp;GPA";#N/A,#N/A,FALSE,"Summary";#N/A,#N/A,FALSE,"hts"}</definedName>
    <definedName name="______OCT2" hidden="1">{#N/A,#N/A,FALSE,"BL&amp;GPA";#N/A,#N/A,FALSE,"Summary";#N/A,#N/A,FALSE,"hts"}</definedName>
    <definedName name="______ok1" localSheetId="15" hidden="1">{#N/A,#N/A,FALSE,"balance";#N/A,#N/A,FALSE,"PYG"}</definedName>
    <definedName name="______ok1" localSheetId="14" hidden="1">{#N/A,#N/A,FALSE,"balance";#N/A,#N/A,FALSE,"PYG"}</definedName>
    <definedName name="______ok1" hidden="1">{#N/A,#N/A,FALSE,"balance";#N/A,#N/A,FALSE,"PYG"}</definedName>
    <definedName name="______Ok2" localSheetId="15" hidden="1">{#N/A,#N/A,FALSE,"balance";#N/A,#N/A,FALSE,"PYG"}</definedName>
    <definedName name="______Ok2" localSheetId="14" hidden="1">{#N/A,#N/A,FALSE,"balance";#N/A,#N/A,FALSE,"PYG"}</definedName>
    <definedName name="______Ok2" hidden="1">{#N/A,#N/A,FALSE,"balance";#N/A,#N/A,FALSE,"PYG"}</definedName>
    <definedName name="______PyG2" localSheetId="15" hidden="1">{#N/A,#N/A,FALSE,"balance";#N/A,#N/A,FALSE,"PYG"}</definedName>
    <definedName name="______PyG2" localSheetId="14" hidden="1">{#N/A,#N/A,FALSE,"balance";#N/A,#N/A,FALSE,"PYG"}</definedName>
    <definedName name="______PyG2" hidden="1">{#N/A,#N/A,FALSE,"balance";#N/A,#N/A,FALSE,"PYG"}</definedName>
    <definedName name="______PYG3" localSheetId="15" hidden="1">{#N/A,#N/A,FALSE,"balance";#N/A,#N/A,FALSE,"PYG"}</definedName>
    <definedName name="______PYG3" localSheetId="14" hidden="1">{#N/A,#N/A,FALSE,"balance";#N/A,#N/A,FALSE,"PYG"}</definedName>
    <definedName name="______PYG3" hidden="1">{#N/A,#N/A,FALSE,"balance";#N/A,#N/A,FALSE,"PYG"}</definedName>
    <definedName name="______PyG33" localSheetId="15" hidden="1">{#N/A,#N/A,FALSE,"balance";#N/A,#N/A,FALSE,"PYG"}</definedName>
    <definedName name="______PyG33" localSheetId="14" hidden="1">{#N/A,#N/A,FALSE,"balance";#N/A,#N/A,FALSE,"PYG"}</definedName>
    <definedName name="______PyG33" hidden="1">{#N/A,#N/A,FALSE,"balance";#N/A,#N/A,FALSE,"PYG"}</definedName>
    <definedName name="_____GGF2" localSheetId="15" hidden="1">{#N/A,#N/A,FALSE,"balance";#N/A,#N/A,FALSE,"PYG"}</definedName>
    <definedName name="_____GGF2" localSheetId="14" hidden="1">{#N/A,#N/A,FALSE,"balance";#N/A,#N/A,FALSE,"PYG"}</definedName>
    <definedName name="_____GGF2" hidden="1">{#N/A,#N/A,FALSE,"balance";#N/A,#N/A,FALSE,"PYG"}</definedName>
    <definedName name="_____OCT2" localSheetId="15" hidden="1">{#N/A,#N/A,FALSE,"BL&amp;GPA";#N/A,#N/A,FALSE,"Summary";#N/A,#N/A,FALSE,"hts"}</definedName>
    <definedName name="_____OCT2" localSheetId="14" hidden="1">{#N/A,#N/A,FALSE,"BL&amp;GPA";#N/A,#N/A,FALSE,"Summary";#N/A,#N/A,FALSE,"hts"}</definedName>
    <definedName name="_____OCT2" hidden="1">{#N/A,#N/A,FALSE,"BL&amp;GPA";#N/A,#N/A,FALSE,"Summary";#N/A,#N/A,FALSE,"hts"}</definedName>
    <definedName name="_____ok1" localSheetId="15" hidden="1">{#N/A,#N/A,FALSE,"balance";#N/A,#N/A,FALSE,"PYG"}</definedName>
    <definedName name="_____ok1" localSheetId="14" hidden="1">{#N/A,#N/A,FALSE,"balance";#N/A,#N/A,FALSE,"PYG"}</definedName>
    <definedName name="_____ok1" hidden="1">{#N/A,#N/A,FALSE,"balance";#N/A,#N/A,FALSE,"PYG"}</definedName>
    <definedName name="_____Ok2" localSheetId="15" hidden="1">{#N/A,#N/A,FALSE,"balance";#N/A,#N/A,FALSE,"PYG"}</definedName>
    <definedName name="_____Ok2" localSheetId="14" hidden="1">{#N/A,#N/A,FALSE,"balance";#N/A,#N/A,FALSE,"PYG"}</definedName>
    <definedName name="_____Ok2" hidden="1">{#N/A,#N/A,FALSE,"balance";#N/A,#N/A,FALSE,"PYG"}</definedName>
    <definedName name="_____PyG2" localSheetId="15" hidden="1">{#N/A,#N/A,FALSE,"balance";#N/A,#N/A,FALSE,"PYG"}</definedName>
    <definedName name="_____PyG2" localSheetId="14" hidden="1">{#N/A,#N/A,FALSE,"balance";#N/A,#N/A,FALSE,"PYG"}</definedName>
    <definedName name="_____PyG2" hidden="1">{#N/A,#N/A,FALSE,"balance";#N/A,#N/A,FALSE,"PYG"}</definedName>
    <definedName name="_____PYG3" localSheetId="15" hidden="1">{#N/A,#N/A,FALSE,"balance";#N/A,#N/A,FALSE,"PYG"}</definedName>
    <definedName name="_____PYG3" localSheetId="14" hidden="1">{#N/A,#N/A,FALSE,"balance";#N/A,#N/A,FALSE,"PYG"}</definedName>
    <definedName name="_____PYG3" hidden="1">{#N/A,#N/A,FALSE,"balance";#N/A,#N/A,FALSE,"PYG"}</definedName>
    <definedName name="_____PyG33" localSheetId="15" hidden="1">{#N/A,#N/A,FALSE,"balance";#N/A,#N/A,FALSE,"PYG"}</definedName>
    <definedName name="_____PyG33" localSheetId="14" hidden="1">{#N/A,#N/A,FALSE,"balance";#N/A,#N/A,FALSE,"PYG"}</definedName>
    <definedName name="_____PyG33" hidden="1">{#N/A,#N/A,FALSE,"balance";#N/A,#N/A,FALSE,"PYG"}</definedName>
    <definedName name="____GGF2" localSheetId="15" hidden="1">{#N/A,#N/A,FALSE,"balance";#N/A,#N/A,FALSE,"PYG"}</definedName>
    <definedName name="____GGF2" localSheetId="14" hidden="1">{#N/A,#N/A,FALSE,"balance";#N/A,#N/A,FALSE,"PYG"}</definedName>
    <definedName name="____GGF2" hidden="1">{#N/A,#N/A,FALSE,"balance";#N/A,#N/A,FALSE,"PYG"}</definedName>
    <definedName name="____OCT2" localSheetId="15" hidden="1">{#N/A,#N/A,FALSE,"BL&amp;GPA";#N/A,#N/A,FALSE,"Summary";#N/A,#N/A,FALSE,"hts"}</definedName>
    <definedName name="____OCT2" localSheetId="14" hidden="1">{#N/A,#N/A,FALSE,"BL&amp;GPA";#N/A,#N/A,FALSE,"Summary";#N/A,#N/A,FALSE,"hts"}</definedName>
    <definedName name="____OCT2" hidden="1">{#N/A,#N/A,FALSE,"BL&amp;GPA";#N/A,#N/A,FALSE,"Summary";#N/A,#N/A,FALSE,"hts"}</definedName>
    <definedName name="____ok1" localSheetId="15" hidden="1">{#N/A,#N/A,FALSE,"balance";#N/A,#N/A,FALSE,"PYG"}</definedName>
    <definedName name="____ok1" localSheetId="14" hidden="1">{#N/A,#N/A,FALSE,"balance";#N/A,#N/A,FALSE,"PYG"}</definedName>
    <definedName name="____ok1" hidden="1">{#N/A,#N/A,FALSE,"balance";#N/A,#N/A,FALSE,"PYG"}</definedName>
    <definedName name="____Ok2" localSheetId="15" hidden="1">{#N/A,#N/A,FALSE,"balance";#N/A,#N/A,FALSE,"PYG"}</definedName>
    <definedName name="____Ok2" localSheetId="14" hidden="1">{#N/A,#N/A,FALSE,"balance";#N/A,#N/A,FALSE,"PYG"}</definedName>
    <definedName name="____Ok2" hidden="1">{#N/A,#N/A,FALSE,"balance";#N/A,#N/A,FALSE,"PYG"}</definedName>
    <definedName name="____PyG2" localSheetId="15" hidden="1">{#N/A,#N/A,FALSE,"balance";#N/A,#N/A,FALSE,"PYG"}</definedName>
    <definedName name="____PyG2" localSheetId="14" hidden="1">{#N/A,#N/A,FALSE,"balance";#N/A,#N/A,FALSE,"PYG"}</definedName>
    <definedName name="____PyG2" hidden="1">{#N/A,#N/A,FALSE,"balance";#N/A,#N/A,FALSE,"PYG"}</definedName>
    <definedName name="____PYG3" localSheetId="15" hidden="1">{#N/A,#N/A,FALSE,"balance";#N/A,#N/A,FALSE,"PYG"}</definedName>
    <definedName name="____PYG3" localSheetId="14" hidden="1">{#N/A,#N/A,FALSE,"balance";#N/A,#N/A,FALSE,"PYG"}</definedName>
    <definedName name="____PYG3" hidden="1">{#N/A,#N/A,FALSE,"balance";#N/A,#N/A,FALSE,"PYG"}</definedName>
    <definedName name="____PyG33" localSheetId="15" hidden="1">{#N/A,#N/A,FALSE,"balance";#N/A,#N/A,FALSE,"PYG"}</definedName>
    <definedName name="____PyG33" localSheetId="14" hidden="1">{#N/A,#N/A,FALSE,"balance";#N/A,#N/A,FALSE,"PYG"}</definedName>
    <definedName name="____PyG33" hidden="1">{#N/A,#N/A,FALSE,"balance";#N/A,#N/A,FALSE,"PYG"}</definedName>
    <definedName name="____R" localSheetId="15" hidden="1">{#N/A,#N/A,FALSE,"GRAFICO";#N/A,#N/A,FALSE,"CAJA (2)";#N/A,#N/A,FALSE,"TERCEROS-PROMEDIO";#N/A,#N/A,FALSE,"CAJA";#N/A,#N/A,FALSE,"INGRESOS1995-2003";#N/A,#N/A,FALSE,"GASTOS1995-2003"}</definedName>
    <definedName name="____R" localSheetId="14" hidden="1">{#N/A,#N/A,FALSE,"GRAFICO";#N/A,#N/A,FALSE,"CAJA (2)";#N/A,#N/A,FALSE,"TERCEROS-PROMEDIO";#N/A,#N/A,FALSE,"CAJA";#N/A,#N/A,FALSE,"INGRESOS1995-2003";#N/A,#N/A,FALSE,"GASTOS1995-2003"}</definedName>
    <definedName name="____R" hidden="1">{#N/A,#N/A,FALSE,"GRAFICO";#N/A,#N/A,FALSE,"CAJA (2)";#N/A,#N/A,FALSE,"TERCEROS-PROMEDIO";#N/A,#N/A,FALSE,"CAJA";#N/A,#N/A,FALSE,"INGRESOS1995-2003";#N/A,#N/A,FALSE,"GASTOS1995-2003"}</definedName>
    <definedName name="___GGF2" localSheetId="15" hidden="1">{#N/A,#N/A,FALSE,"balance";#N/A,#N/A,FALSE,"PYG"}</definedName>
    <definedName name="___GGF2" localSheetId="14" hidden="1">{#N/A,#N/A,FALSE,"balance";#N/A,#N/A,FALSE,"PYG"}</definedName>
    <definedName name="___GGF2" hidden="1">{#N/A,#N/A,FALSE,"balance";#N/A,#N/A,FALSE,"PYG"}</definedName>
    <definedName name="___OCT2" localSheetId="15" hidden="1">{#N/A,#N/A,FALSE,"BL&amp;GPA";#N/A,#N/A,FALSE,"Summary";#N/A,#N/A,FALSE,"hts"}</definedName>
    <definedName name="___OCT2" localSheetId="14" hidden="1">{#N/A,#N/A,FALSE,"BL&amp;GPA";#N/A,#N/A,FALSE,"Summary";#N/A,#N/A,FALSE,"hts"}</definedName>
    <definedName name="___OCT2" hidden="1">{#N/A,#N/A,FALSE,"BL&amp;GPA";#N/A,#N/A,FALSE,"Summary";#N/A,#N/A,FALSE,"hts"}</definedName>
    <definedName name="___ok1" localSheetId="15" hidden="1">{#N/A,#N/A,FALSE,"balance";#N/A,#N/A,FALSE,"PYG"}</definedName>
    <definedName name="___ok1" localSheetId="14" hidden="1">{#N/A,#N/A,FALSE,"balance";#N/A,#N/A,FALSE,"PYG"}</definedName>
    <definedName name="___ok1" hidden="1">{#N/A,#N/A,FALSE,"balance";#N/A,#N/A,FALSE,"PYG"}</definedName>
    <definedName name="___Ok2" localSheetId="15" hidden="1">{#N/A,#N/A,FALSE,"balance";#N/A,#N/A,FALSE,"PYG"}</definedName>
    <definedName name="___Ok2" localSheetId="14" hidden="1">{#N/A,#N/A,FALSE,"balance";#N/A,#N/A,FALSE,"PYG"}</definedName>
    <definedName name="___Ok2" hidden="1">{#N/A,#N/A,FALSE,"balance";#N/A,#N/A,FALSE,"PYG"}</definedName>
    <definedName name="___PyG2" localSheetId="15" hidden="1">{#N/A,#N/A,FALSE,"balance";#N/A,#N/A,FALSE,"PYG"}</definedName>
    <definedName name="___PyG2" localSheetId="14" hidden="1">{#N/A,#N/A,FALSE,"balance";#N/A,#N/A,FALSE,"PYG"}</definedName>
    <definedName name="___PyG2" hidden="1">{#N/A,#N/A,FALSE,"balance";#N/A,#N/A,FALSE,"PYG"}</definedName>
    <definedName name="___PYG3" localSheetId="15" hidden="1">{#N/A,#N/A,FALSE,"balance";#N/A,#N/A,FALSE,"PYG"}</definedName>
    <definedName name="___PYG3" localSheetId="14" hidden="1">{#N/A,#N/A,FALSE,"balance";#N/A,#N/A,FALSE,"PYG"}</definedName>
    <definedName name="___PYG3" hidden="1">{#N/A,#N/A,FALSE,"balance";#N/A,#N/A,FALSE,"PYG"}</definedName>
    <definedName name="___PyG33" localSheetId="15" hidden="1">{#N/A,#N/A,FALSE,"balance";#N/A,#N/A,FALSE,"PYG"}</definedName>
    <definedName name="___PyG33" localSheetId="14" hidden="1">{#N/A,#N/A,FALSE,"balance";#N/A,#N/A,FALSE,"PYG"}</definedName>
    <definedName name="___PyG33" hidden="1">{#N/A,#N/A,FALSE,"balance";#N/A,#N/A,FALSE,"PYG"}</definedName>
    <definedName name="___R" localSheetId="15" hidden="1">{#N/A,#N/A,FALSE,"GRAFICO";#N/A,#N/A,FALSE,"CAJA (2)";#N/A,#N/A,FALSE,"TERCEROS-PROMEDIO";#N/A,#N/A,FALSE,"CAJA";#N/A,#N/A,FALSE,"INGRESOS1995-2003";#N/A,#N/A,FALSE,"GASTOS1995-2003"}</definedName>
    <definedName name="___R" localSheetId="14" hidden="1">{#N/A,#N/A,FALSE,"GRAFICO";#N/A,#N/A,FALSE,"CAJA (2)";#N/A,#N/A,FALSE,"TERCEROS-PROMEDIO";#N/A,#N/A,FALSE,"CAJA";#N/A,#N/A,FALSE,"INGRESOS1995-2003";#N/A,#N/A,FALSE,"GASTOS1995-2003"}</definedName>
    <definedName name="___R" hidden="1">{#N/A,#N/A,FALSE,"GRAFICO";#N/A,#N/A,FALSE,"CAJA (2)";#N/A,#N/A,FALSE,"TERCEROS-PROMEDIO";#N/A,#N/A,FALSE,"CAJA";#N/A,#N/A,FALSE,"INGRESOS1995-2003";#N/A,#N/A,FALSE,"GASTOS1995-2003"}</definedName>
    <definedName name="__123Graph_A" localSheetId="15" hidden="1">[1]Assumptions!#REF!</definedName>
    <definedName name="__123Graph_A" localSheetId="14" hidden="1">[1]Assumptions!#REF!</definedName>
    <definedName name="__123Graph_A" hidden="1">[1]Assumptions!#REF!</definedName>
    <definedName name="__123Graph_AG1" localSheetId="15" hidden="1">[1]Assumptions!#REF!</definedName>
    <definedName name="__123Graph_AG1" localSheetId="14" hidden="1">[1]Assumptions!#REF!</definedName>
    <definedName name="__123Graph_AG1" hidden="1">[1]Assumptions!#REF!</definedName>
    <definedName name="__123Graph_AG2" localSheetId="15" hidden="1">[1]Assumptions!#REF!</definedName>
    <definedName name="__123Graph_AG2" localSheetId="14" hidden="1">[1]Assumptions!#REF!</definedName>
    <definedName name="__123Graph_AG2" hidden="1">[1]Assumptions!#REF!</definedName>
    <definedName name="__123Graph_AG3" localSheetId="15" hidden="1">[1]Assumptions!#REF!</definedName>
    <definedName name="__123Graph_AG3" localSheetId="14" hidden="1">[1]Assumptions!#REF!</definedName>
    <definedName name="__123Graph_AG3" hidden="1">[1]Assumptions!#REF!</definedName>
    <definedName name="__123Graph_AG4" localSheetId="15" hidden="1">[1]Assumptions!#REF!</definedName>
    <definedName name="__123Graph_AG4" localSheetId="14" hidden="1">[1]Assumptions!#REF!</definedName>
    <definedName name="__123Graph_AG4" hidden="1">[1]Assumptions!#REF!</definedName>
    <definedName name="__123Graph_AG5" localSheetId="15" hidden="1">[1]Assumptions!#REF!</definedName>
    <definedName name="__123Graph_AG5" localSheetId="14" hidden="1">[1]Assumptions!#REF!</definedName>
    <definedName name="__123Graph_AG5" hidden="1">[1]Assumptions!#REF!</definedName>
    <definedName name="__123Graph_AG6" localSheetId="15" hidden="1">[1]Assumptions!#REF!</definedName>
    <definedName name="__123Graph_AG6" localSheetId="14" hidden="1">[1]Assumptions!#REF!</definedName>
    <definedName name="__123Graph_AG6" hidden="1">[1]Assumptions!#REF!</definedName>
    <definedName name="__123Graph_B" localSheetId="15" hidden="1">[1]Assumptions!#REF!</definedName>
    <definedName name="__123Graph_B" localSheetId="14" hidden="1">[1]Assumptions!#REF!</definedName>
    <definedName name="__123Graph_B" hidden="1">[1]Assumptions!#REF!</definedName>
    <definedName name="__123Graph_BG1" localSheetId="15" hidden="1">[1]Assumptions!#REF!</definedName>
    <definedName name="__123Graph_BG1" localSheetId="14" hidden="1">[1]Assumptions!#REF!</definedName>
    <definedName name="__123Graph_BG1" hidden="1">[1]Assumptions!#REF!</definedName>
    <definedName name="__123Graph_BG2" localSheetId="15" hidden="1">[1]Assumptions!#REF!</definedName>
    <definedName name="__123Graph_BG2" localSheetId="14" hidden="1">[1]Assumptions!#REF!</definedName>
    <definedName name="__123Graph_BG2" hidden="1">[1]Assumptions!#REF!</definedName>
    <definedName name="__123Graph_BG3" localSheetId="15" hidden="1">[1]Assumptions!#REF!</definedName>
    <definedName name="__123Graph_BG3" localSheetId="14" hidden="1">[1]Assumptions!#REF!</definedName>
    <definedName name="__123Graph_BG3" hidden="1">[1]Assumptions!#REF!</definedName>
    <definedName name="__123Graph_BG4" localSheetId="15" hidden="1">[1]Assumptions!#REF!</definedName>
    <definedName name="__123Graph_BG4" localSheetId="14" hidden="1">[1]Assumptions!#REF!</definedName>
    <definedName name="__123Graph_BG4" hidden="1">[1]Assumptions!#REF!</definedName>
    <definedName name="__123Graph_BG5" localSheetId="15" hidden="1">[1]Assumptions!#REF!</definedName>
    <definedName name="__123Graph_BG5" localSheetId="14" hidden="1">[1]Assumptions!#REF!</definedName>
    <definedName name="__123Graph_BG5" hidden="1">[1]Assumptions!#REF!</definedName>
    <definedName name="__123Graph_BG6" localSheetId="15" hidden="1">[1]Assumptions!#REF!</definedName>
    <definedName name="__123Graph_BG6" localSheetId="14" hidden="1">[1]Assumptions!#REF!</definedName>
    <definedName name="__123Graph_BG6" hidden="1">[1]Assumptions!#REF!</definedName>
    <definedName name="__123Graph_C" localSheetId="15" hidden="1">[1]Assumptions!#REF!</definedName>
    <definedName name="__123Graph_C" localSheetId="14" hidden="1">[1]Assumptions!#REF!</definedName>
    <definedName name="__123Graph_C" hidden="1">[1]Assumptions!#REF!</definedName>
    <definedName name="__123Graph_CG1" localSheetId="15" hidden="1">[1]Assumptions!#REF!</definedName>
    <definedName name="__123Graph_CG1" localSheetId="14" hidden="1">[1]Assumptions!#REF!</definedName>
    <definedName name="__123Graph_CG1" hidden="1">[1]Assumptions!#REF!</definedName>
    <definedName name="__123Graph_CG2" localSheetId="15" hidden="1">[1]Assumptions!#REF!</definedName>
    <definedName name="__123Graph_CG2" localSheetId="14" hidden="1">[1]Assumptions!#REF!</definedName>
    <definedName name="__123Graph_CG2" hidden="1">[1]Assumptions!#REF!</definedName>
    <definedName name="__123Graph_CG3" localSheetId="15" hidden="1">[1]Assumptions!#REF!</definedName>
    <definedName name="__123Graph_CG3" localSheetId="14" hidden="1">[1]Assumptions!#REF!</definedName>
    <definedName name="__123Graph_CG3" hidden="1">[1]Assumptions!#REF!</definedName>
    <definedName name="__123Graph_CG6" localSheetId="15" hidden="1">[1]Assumptions!#REF!</definedName>
    <definedName name="__123Graph_CG6" localSheetId="14" hidden="1">[1]Assumptions!#REF!</definedName>
    <definedName name="__123Graph_CG6" hidden="1">[1]Assumptions!#REF!</definedName>
    <definedName name="__123Graph_X" localSheetId="15" hidden="1">[1]Assumptions!#REF!</definedName>
    <definedName name="__123Graph_X" localSheetId="14" hidden="1">[1]Assumptions!#REF!</definedName>
    <definedName name="__123Graph_X" hidden="1">[1]Assumptions!#REF!</definedName>
    <definedName name="__123Graph_XG1" localSheetId="15" hidden="1">[1]Assumptions!#REF!</definedName>
    <definedName name="__123Graph_XG1" localSheetId="14" hidden="1">[1]Assumptions!#REF!</definedName>
    <definedName name="__123Graph_XG1" hidden="1">[1]Assumptions!#REF!</definedName>
    <definedName name="__123Graph_XG2" localSheetId="15" hidden="1">[1]Assumptions!#REF!</definedName>
    <definedName name="__123Graph_XG2" localSheetId="14" hidden="1">[1]Assumptions!#REF!</definedName>
    <definedName name="__123Graph_XG2" hidden="1">[1]Assumptions!#REF!</definedName>
    <definedName name="__123Graph_XG3" localSheetId="15" hidden="1">[1]Assumptions!#REF!</definedName>
    <definedName name="__123Graph_XG3" localSheetId="14" hidden="1">[1]Assumptions!#REF!</definedName>
    <definedName name="__123Graph_XG3" hidden="1">[1]Assumptions!#REF!</definedName>
    <definedName name="__123Graph_XG4" localSheetId="15" hidden="1">[1]Assumptions!#REF!</definedName>
    <definedName name="__123Graph_XG4" localSheetId="14" hidden="1">[1]Assumptions!#REF!</definedName>
    <definedName name="__123Graph_XG4" hidden="1">[1]Assumptions!#REF!</definedName>
    <definedName name="__123Graph_XG5" localSheetId="15" hidden="1">[1]Assumptions!#REF!</definedName>
    <definedName name="__123Graph_XG5" localSheetId="14" hidden="1">[1]Assumptions!#REF!</definedName>
    <definedName name="__123Graph_XG5" hidden="1">[1]Assumptions!#REF!</definedName>
    <definedName name="__123Graph_XG6" localSheetId="15" hidden="1">[1]Assumptions!#REF!</definedName>
    <definedName name="__123Graph_XG6" localSheetId="14" hidden="1">[1]Assumptions!#REF!</definedName>
    <definedName name="__123Graph_XG6" hidden="1">[1]Assumptions!#REF!</definedName>
    <definedName name="__FPMExcelClient_CellBasedFunctionStatus" localSheetId="21" hidden="1">"2_2_2_2_2_2"</definedName>
    <definedName name="__FPMExcelClient_CellBasedFunctionStatus" localSheetId="15" hidden="1">"2_2_2_2_2_2"</definedName>
    <definedName name="__FPMExcelClient_CellBasedFunctionStatus" localSheetId="14" hidden="1">"2_2_2_2_2_2"</definedName>
    <definedName name="__GGF2" localSheetId="15" hidden="1">{#N/A,#N/A,FALSE,"balance";#N/A,#N/A,FALSE,"PYG"}</definedName>
    <definedName name="__GGF2" localSheetId="14" hidden="1">{#N/A,#N/A,FALSE,"balance";#N/A,#N/A,FALSE,"PYG"}</definedName>
    <definedName name="__GGF2" hidden="1">{#N/A,#N/A,FALSE,"balance";#N/A,#N/A,FALSE,"PYG"}</definedName>
    <definedName name="__OCT2" localSheetId="15" hidden="1">{#N/A,#N/A,FALSE,"BL&amp;GPA";#N/A,#N/A,FALSE,"Summary";#N/A,#N/A,FALSE,"hts"}</definedName>
    <definedName name="__OCT2" localSheetId="14" hidden="1">{#N/A,#N/A,FALSE,"BL&amp;GPA";#N/A,#N/A,FALSE,"Summary";#N/A,#N/A,FALSE,"hts"}</definedName>
    <definedName name="__OCT2" hidden="1">{#N/A,#N/A,FALSE,"BL&amp;GPA";#N/A,#N/A,FALSE,"Summary";#N/A,#N/A,FALSE,"hts"}</definedName>
    <definedName name="__ok1" localSheetId="15" hidden="1">{#N/A,#N/A,FALSE,"balance";#N/A,#N/A,FALSE,"PYG"}</definedName>
    <definedName name="__ok1" localSheetId="14" hidden="1">{#N/A,#N/A,FALSE,"balance";#N/A,#N/A,FALSE,"PYG"}</definedName>
    <definedName name="__ok1" hidden="1">{#N/A,#N/A,FALSE,"balance";#N/A,#N/A,FALSE,"PYG"}</definedName>
    <definedName name="__Ok2" localSheetId="15" hidden="1">{#N/A,#N/A,FALSE,"balance";#N/A,#N/A,FALSE,"PYG"}</definedName>
    <definedName name="__Ok2" localSheetId="14" hidden="1">{#N/A,#N/A,FALSE,"balance";#N/A,#N/A,FALSE,"PYG"}</definedName>
    <definedName name="__Ok2" hidden="1">{#N/A,#N/A,FALSE,"balance";#N/A,#N/A,FALSE,"PYG"}</definedName>
    <definedName name="__PyG2" localSheetId="15" hidden="1">{#N/A,#N/A,FALSE,"balance";#N/A,#N/A,FALSE,"PYG"}</definedName>
    <definedName name="__PyG2" localSheetId="14" hidden="1">{#N/A,#N/A,FALSE,"balance";#N/A,#N/A,FALSE,"PYG"}</definedName>
    <definedName name="__PyG2" hidden="1">{#N/A,#N/A,FALSE,"balance";#N/A,#N/A,FALSE,"PYG"}</definedName>
    <definedName name="__PYG3" localSheetId="15" hidden="1">{#N/A,#N/A,FALSE,"balance";#N/A,#N/A,FALSE,"PYG"}</definedName>
    <definedName name="__PYG3" localSheetId="14" hidden="1">{#N/A,#N/A,FALSE,"balance";#N/A,#N/A,FALSE,"PYG"}</definedName>
    <definedName name="__PYG3" hidden="1">{#N/A,#N/A,FALSE,"balance";#N/A,#N/A,FALSE,"PYG"}</definedName>
    <definedName name="__PyG33" localSheetId="15" hidden="1">{#N/A,#N/A,FALSE,"balance";#N/A,#N/A,FALSE,"PYG"}</definedName>
    <definedName name="__PyG33" localSheetId="14" hidden="1">{#N/A,#N/A,FALSE,"balance";#N/A,#N/A,FALSE,"PYG"}</definedName>
    <definedName name="__PyG33" hidden="1">{#N/A,#N/A,FALSE,"balance";#N/A,#N/A,FALSE,"PYG"}</definedName>
    <definedName name="__R" localSheetId="15" hidden="1">{#N/A,#N/A,FALSE,"GRAFICO";#N/A,#N/A,FALSE,"CAJA (2)";#N/A,#N/A,FALSE,"TERCEROS-PROMEDIO";#N/A,#N/A,FALSE,"CAJA";#N/A,#N/A,FALSE,"INGRESOS1995-2003";#N/A,#N/A,FALSE,"GASTOS1995-2003"}</definedName>
    <definedName name="__R" localSheetId="14" hidden="1">{#N/A,#N/A,FALSE,"GRAFICO";#N/A,#N/A,FALSE,"CAJA (2)";#N/A,#N/A,FALSE,"TERCEROS-PROMEDIO";#N/A,#N/A,FALSE,"CAJA";#N/A,#N/A,FALSE,"INGRESOS1995-2003";#N/A,#N/A,FALSE,"GASTOS1995-2003"}</definedName>
    <definedName name="__R" hidden="1">{#N/A,#N/A,FALSE,"GRAFICO";#N/A,#N/A,FALSE,"CAJA (2)";#N/A,#N/A,FALSE,"TERCEROS-PROMEDIO";#N/A,#N/A,FALSE,"CAJA";#N/A,#N/A,FALSE,"INGRESOS1995-2003";#N/A,#N/A,FALSE,"GASTOS1995-2003"}</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512</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15" hidden="1">#REF!</definedName>
    <definedName name="_Fill" localSheetId="14" hidden="1">#REF!</definedName>
    <definedName name="_Fill" hidden="1">#REF!</definedName>
    <definedName name="_xlnm._FilterDatabase" localSheetId="21" hidden="1">'Dividendos GA Consolidado '!$B$13:$E$13</definedName>
    <definedName name="_GGF2" localSheetId="15" hidden="1">{#N/A,#N/A,FALSE,"balance";#N/A,#N/A,FALSE,"PYG"}</definedName>
    <definedName name="_GGF2" localSheetId="14" hidden="1">{#N/A,#N/A,FALSE,"balance";#N/A,#N/A,FALSE,"PYG"}</definedName>
    <definedName name="_GGF2" hidden="1">{#N/A,#N/A,FALSE,"balance";#N/A,#N/A,FALSE,"PYG"}</definedName>
    <definedName name="_Hlk170226459" localSheetId="23">'EFE GA separado'!#REF!</definedName>
    <definedName name="_Hlk506819215" localSheetId="0">'Resultados separados'!$A$13</definedName>
    <definedName name="_Key1" hidden="1">[2]INVERGPO!$AF$24:$AF$103</definedName>
    <definedName name="_Key2" hidden="1">[2]INVERGPO!$AF$7:$AF$11</definedName>
    <definedName name="_Key54" hidden="1">[2]INVERGPO!$AF$24:$AF$103</definedName>
    <definedName name="_Key55" hidden="1">[2]INVERGPO!$AF$7:$AF$11</definedName>
    <definedName name="_OCT2" localSheetId="15" hidden="1">{#N/A,#N/A,FALSE,"BL&amp;GPA";#N/A,#N/A,FALSE,"Summary";#N/A,#N/A,FALSE,"hts"}</definedName>
    <definedName name="_OCT2" localSheetId="14" hidden="1">{#N/A,#N/A,FALSE,"BL&amp;GPA";#N/A,#N/A,FALSE,"Summary";#N/A,#N/A,FALSE,"hts"}</definedName>
    <definedName name="_OCT2" hidden="1">{#N/A,#N/A,FALSE,"BL&amp;GPA";#N/A,#N/A,FALSE,"Summary";#N/A,#N/A,FALSE,"hts"}</definedName>
    <definedName name="_ok1" localSheetId="15" hidden="1">{#N/A,#N/A,FALSE,"balance";#N/A,#N/A,FALSE,"PYG"}</definedName>
    <definedName name="_ok1" localSheetId="14" hidden="1">{#N/A,#N/A,FALSE,"balance";#N/A,#N/A,FALSE,"PYG"}</definedName>
    <definedName name="_ok1" hidden="1">{#N/A,#N/A,FALSE,"balance";#N/A,#N/A,FALSE,"PYG"}</definedName>
    <definedName name="_Ok2" localSheetId="15" hidden="1">{#N/A,#N/A,FALSE,"balance";#N/A,#N/A,FALSE,"PYG"}</definedName>
    <definedName name="_Ok2" localSheetId="14" hidden="1">{#N/A,#N/A,FALSE,"balance";#N/A,#N/A,FALSE,"PYG"}</definedName>
    <definedName name="_Ok2" hidden="1">{#N/A,#N/A,FALSE,"balance";#N/A,#N/A,FALSE,"PYG"}</definedName>
    <definedName name="_Orden" hidden="1">[2]INVERGPO!$B$24:$AF$103</definedName>
    <definedName name="_Order1" hidden="1">0</definedName>
    <definedName name="_Order2" hidden="1">0</definedName>
    <definedName name="_Parse_In" localSheetId="15" hidden="1">[3]BOGOTA!#REF!</definedName>
    <definedName name="_Parse_In" localSheetId="14" hidden="1">[3]BOGOTA!#REF!</definedName>
    <definedName name="_Parse_In" hidden="1">[3]BOGOTA!#REF!</definedName>
    <definedName name="_Parse_Out" localSheetId="15" hidden="1">#REF!</definedName>
    <definedName name="_Parse_Out" localSheetId="14" hidden="1">#REF!</definedName>
    <definedName name="_Parse_Out" hidden="1">#REF!</definedName>
    <definedName name="_PyG2" localSheetId="15" hidden="1">{#N/A,#N/A,FALSE,"balance";#N/A,#N/A,FALSE,"PYG"}</definedName>
    <definedName name="_PyG2" localSheetId="14" hidden="1">{#N/A,#N/A,FALSE,"balance";#N/A,#N/A,FALSE,"PYG"}</definedName>
    <definedName name="_PyG2" hidden="1">{#N/A,#N/A,FALSE,"balance";#N/A,#N/A,FALSE,"PYG"}</definedName>
    <definedName name="_PYG3" localSheetId="15" hidden="1">{#N/A,#N/A,FALSE,"balance";#N/A,#N/A,FALSE,"PYG"}</definedName>
    <definedName name="_PYG3" localSheetId="14" hidden="1">{#N/A,#N/A,FALSE,"balance";#N/A,#N/A,FALSE,"PYG"}</definedName>
    <definedName name="_PYG3" hidden="1">{#N/A,#N/A,FALSE,"balance";#N/A,#N/A,FALSE,"PYG"}</definedName>
    <definedName name="_PyG33" localSheetId="15" hidden="1">{#N/A,#N/A,FALSE,"balance";#N/A,#N/A,FALSE,"PYG"}</definedName>
    <definedName name="_PyG33" localSheetId="14" hidden="1">{#N/A,#N/A,FALSE,"balance";#N/A,#N/A,FALSE,"PYG"}</definedName>
    <definedName name="_PyG33" hidden="1">{#N/A,#N/A,FALSE,"balance";#N/A,#N/A,FALSE,"PYG"}</definedName>
    <definedName name="_R" localSheetId="15" hidden="1">{#N/A,#N/A,FALSE,"GRAFICO";#N/A,#N/A,FALSE,"CAJA (2)";#N/A,#N/A,FALSE,"TERCEROS-PROMEDIO";#N/A,#N/A,FALSE,"CAJA";#N/A,#N/A,FALSE,"INGRESOS1995-2003";#N/A,#N/A,FALSE,"GASTOS1995-2003"}</definedName>
    <definedName name="_R" localSheetId="14" hidden="1">{#N/A,#N/A,FALSE,"GRAFICO";#N/A,#N/A,FALSE,"CAJA (2)";#N/A,#N/A,FALSE,"TERCEROS-PROMEDIO";#N/A,#N/A,FALSE,"CAJA";#N/A,#N/A,FALSE,"INGRESOS1995-2003";#N/A,#N/A,FALSE,"GASTOS1995-2003"}</definedName>
    <definedName name="_R" hidden="1">{#N/A,#N/A,FALSE,"GRAFICO";#N/A,#N/A,FALSE,"CAJA (2)";#N/A,#N/A,FALSE,"TERCEROS-PROMEDIO";#N/A,#N/A,FALSE,"CAJA";#N/A,#N/A,FALSE,"INGRESOS1995-2003";#N/A,#N/A,FALSE,"GASTOS1995-2003"}</definedName>
    <definedName name="_Regression_Int" hidden="1">1</definedName>
    <definedName name="_Regression_Out" localSheetId="15" hidden="1">#REF!</definedName>
    <definedName name="_Regression_Out" localSheetId="14" hidden="1">#REF!</definedName>
    <definedName name="_Regression_Out" hidden="1">#REF!</definedName>
    <definedName name="_Regression_X" localSheetId="15" hidden="1">#REF!</definedName>
    <definedName name="_Regression_X" localSheetId="14" hidden="1">#REF!</definedName>
    <definedName name="_Regression_X" hidden="1">#REF!</definedName>
    <definedName name="_Regression_Y" localSheetId="15" hidden="1">#REF!</definedName>
    <definedName name="_Regression_Y" localSheetId="14" hidden="1">#REF!</definedName>
    <definedName name="_Regression_Y" hidden="1">#REF!</definedName>
    <definedName name="_Sort" hidden="1">[2]INVERGPO!$B$24:$AF$103</definedName>
    <definedName name="_Table2_Out" localSheetId="15" hidden="1">#REF!</definedName>
    <definedName name="_Table2_Out" localSheetId="14" hidden="1">#REF!</definedName>
    <definedName name="_Table2_Out" hidden="1">#REF!</definedName>
    <definedName name="_Toc189092733" localSheetId="23">'EFE GA separado'!$A$3</definedName>
    <definedName name="_Toc198063247" localSheetId="4">'Ingresos oper y FC dividendos -'!$A$1</definedName>
    <definedName name="_Toc198063248" localSheetId="11">'ESFA separado'!$A$1</definedName>
    <definedName name="_Toc33604390" localSheetId="0">'Resultados separados'!$A$1</definedName>
    <definedName name="_Toc33604391" localSheetId="1">'Resultados consolidados'!$A$1</definedName>
    <definedName name="a" localSheetId="15" hidden="1">{#N/A,#N/A,FALSE,"balance";#N/A,#N/A,FALSE,"PYG"}</definedName>
    <definedName name="a" localSheetId="14" hidden="1">{#N/A,#N/A,FALSE,"balance";#N/A,#N/A,FALSE,"PYG"}</definedName>
    <definedName name="a" hidden="1">{#N/A,#N/A,FALSE,"balance";#N/A,#N/A,FALSE,"PYG"}</definedName>
    <definedName name="AAA" localSheetId="15" hidden="1">{#N/A,#N/A,FALSE,"balance";#N/A,#N/A,FALSE,"PYG"}</definedName>
    <definedName name="AAA" localSheetId="14" hidden="1">{#N/A,#N/A,FALSE,"balance";#N/A,#N/A,FALSE,"PYG"}</definedName>
    <definedName name="AAA" hidden="1">{#N/A,#N/A,FALSE,"balance";#N/A,#N/A,FALSE,"PYG"}</definedName>
    <definedName name="AAAA" localSheetId="15" hidden="1">{#N/A,#N/A,FALSE,"Aging Summary";#N/A,#N/A,FALSE,"Ratio Analysis";#N/A,#N/A,FALSE,"Test 120 Day Accts";#N/A,#N/A,FALSE,"Tickmarks"}</definedName>
    <definedName name="AAAA" localSheetId="14" hidden="1">{#N/A,#N/A,FALSE,"Aging Summary";#N/A,#N/A,FALSE,"Ratio Analysis";#N/A,#N/A,FALSE,"Test 120 Day Accts";#N/A,#N/A,FALSE,"Tickmarks"}</definedName>
    <definedName name="AAAA" hidden="1">{#N/A,#N/A,FALSE,"Aging Summary";#N/A,#N/A,FALSE,"Ratio Analysis";#N/A,#N/A,FALSE,"Test 120 Day Accts";#N/A,#N/A,FALSE,"Tickmarks"}</definedName>
    <definedName name="AAAAA" localSheetId="15" hidden="1">{#N/A,#N/A,FALSE,"balance";#N/A,#N/A,FALSE,"PYG"}</definedName>
    <definedName name="AAAAA" localSheetId="14" hidden="1">{#N/A,#N/A,FALSE,"balance";#N/A,#N/A,FALSE,"PYG"}</definedName>
    <definedName name="AAAAA" hidden="1">{#N/A,#N/A,FALSE,"balance";#N/A,#N/A,FALSE,"PYG"}</definedName>
    <definedName name="aasasa" localSheetId="15" hidden="1">{#N/A,#N/A,TRUE,"Cond";#N/A,#N/A,TRUE,"Bce_hold";#N/A,#N/A,TRUE,"eerr_hold";#N/A,#N/A,TRUE,"eerr_prod";#N/A,#N/A,TRUE,"eerr_tipogtos";#N/A,#N/A,TRUE,"Flujo";#N/A,#N/A,TRUE,"Var_Ebit";#N/A,#N/A,TRUE,"Noa";#N/A,#N/A,TRUE,"Var_Noa"}</definedName>
    <definedName name="aasasa" localSheetId="14" hidden="1">{#N/A,#N/A,TRUE,"Cond";#N/A,#N/A,TRUE,"Bce_hold";#N/A,#N/A,TRUE,"eerr_hold";#N/A,#N/A,TRUE,"eerr_prod";#N/A,#N/A,TRUE,"eerr_tipogtos";#N/A,#N/A,TRUE,"Flujo";#N/A,#N/A,TRUE,"Var_Ebit";#N/A,#N/A,TRUE,"Noa";#N/A,#N/A,TRUE,"Var_Noa"}</definedName>
    <definedName name="aasasa" hidden="1">{#N/A,#N/A,TRUE,"Cond";#N/A,#N/A,TRUE,"Bce_hold";#N/A,#N/A,TRUE,"eerr_hold";#N/A,#N/A,TRUE,"eerr_prod";#N/A,#N/A,TRUE,"eerr_tipogtos";#N/A,#N/A,TRUE,"Flujo";#N/A,#N/A,TRUE,"Var_Ebit";#N/A,#N/A,TRUE,"Noa";#N/A,#N/A,TRUE,"Var_Noa"}</definedName>
    <definedName name="aasasas" localSheetId="15" hidden="1">{#N/A,#N/A,TRUE,"Cond";#N/A,#N/A,TRUE,"Bce_hold";#N/A,#N/A,TRUE,"eerr_hold";#N/A,#N/A,TRUE,"eerr_prod";#N/A,#N/A,TRUE,"eerr_tipogtos";#N/A,#N/A,TRUE,"Flujo";#N/A,#N/A,TRUE,"Var_Ebit";#N/A,#N/A,TRUE,"Noa";#N/A,#N/A,TRUE,"Var_Noa"}</definedName>
    <definedName name="aasasas" localSheetId="14" hidden="1">{#N/A,#N/A,TRUE,"Cond";#N/A,#N/A,TRUE,"Bce_hold";#N/A,#N/A,TRUE,"eerr_hold";#N/A,#N/A,TRUE,"eerr_prod";#N/A,#N/A,TRUE,"eerr_tipogtos";#N/A,#N/A,TRUE,"Flujo";#N/A,#N/A,TRUE,"Var_Ebit";#N/A,#N/A,TRUE,"Noa";#N/A,#N/A,TRUE,"Var_Noa"}</definedName>
    <definedName name="aasasas" hidden="1">{#N/A,#N/A,TRUE,"Cond";#N/A,#N/A,TRUE,"Bce_hold";#N/A,#N/A,TRUE,"eerr_hold";#N/A,#N/A,TRUE,"eerr_prod";#N/A,#N/A,TRUE,"eerr_tipogtos";#N/A,#N/A,TRUE,"Flujo";#N/A,#N/A,TRUE,"Var_Ebit";#N/A,#N/A,TRUE,"Noa";#N/A,#N/A,TRUE,"Var_Noa"}</definedName>
    <definedName name="abe" localSheetId="15" hidden="1">{#N/A,#N/A,FALSE,"balance";#N/A,#N/A,FALSE,"PYG"}</definedName>
    <definedName name="abe" localSheetId="14" hidden="1">{#N/A,#N/A,FALSE,"balance";#N/A,#N/A,FALSE,"PYG"}</definedName>
    <definedName name="abe" hidden="1">{#N/A,#N/A,FALSE,"balance";#N/A,#N/A,FALSE,"PYG"}</definedName>
    <definedName name="Abr" localSheetId="15" hidden="1">{#N/A,#N/A,FALSE,"GP";#N/A,#N/A,FALSE,"Summary"}</definedName>
    <definedName name="Abr" localSheetId="14" hidden="1">{#N/A,#N/A,FALSE,"GP";#N/A,#N/A,FALSE,"Summary"}</definedName>
    <definedName name="Abr" hidden="1">{#N/A,#N/A,FALSE,"GP";#N/A,#N/A,FALSE,"Summary"}</definedName>
    <definedName name="ABRIL" localSheetId="15" hidden="1">{#N/A,#N/A,FALSE,"GP";#N/A,#N/A,FALSE,"Summary"}</definedName>
    <definedName name="ABRIL" localSheetId="14" hidden="1">{#N/A,#N/A,FALSE,"GP";#N/A,#N/A,FALSE,"Summary"}</definedName>
    <definedName name="ABRIL" hidden="1">{#N/A,#N/A,FALSE,"GP";#N/A,#N/A,FALSE,"Summary"}</definedName>
    <definedName name="Abril2" localSheetId="15" hidden="1">{#N/A,#N/A,FALSE,"GP";#N/A,#N/A,FALSE,"Summary"}</definedName>
    <definedName name="Abril2" localSheetId="14" hidden="1">{#N/A,#N/A,FALSE,"GP";#N/A,#N/A,FALSE,"Summary"}</definedName>
    <definedName name="Abril2" hidden="1">{#N/A,#N/A,FALSE,"GP";#N/A,#N/A,FALSE,"Summary"}</definedName>
    <definedName name="adfadsfsa" localSheetId="15" hidden="1">{#N/A,#N/A,FALSE,"GRAFICO";#N/A,#N/A,FALSE,"CAJA (2)";#N/A,#N/A,FALSE,"TERCEROS-PROMEDIO";#N/A,#N/A,FALSE,"CAJA";#N/A,#N/A,FALSE,"INGRESOS1995-2003";#N/A,#N/A,FALSE,"GASTOS1995-2003"}</definedName>
    <definedName name="adfadsfsa" localSheetId="14" hidden="1">{#N/A,#N/A,FALSE,"GRAFICO";#N/A,#N/A,FALSE,"CAJA (2)";#N/A,#N/A,FALSE,"TERCEROS-PROMEDIO";#N/A,#N/A,FALSE,"CAJA";#N/A,#N/A,FALSE,"INGRESOS1995-2003";#N/A,#N/A,FALSE,"GASTOS1995-2003"}</definedName>
    <definedName name="adfadsfsa" hidden="1">{#N/A,#N/A,FALSE,"GRAFICO";#N/A,#N/A,FALSE,"CAJA (2)";#N/A,#N/A,FALSE,"TERCEROS-PROMEDIO";#N/A,#N/A,FALSE,"CAJA";#N/A,#N/A,FALSE,"INGRESOS1995-2003";#N/A,#N/A,FALSE,"GASTOS1995-2003"}</definedName>
    <definedName name="AJUSTADO" localSheetId="15" hidden="1">{"'S. C. B.'!$E$207"}</definedName>
    <definedName name="AJUSTADO" localSheetId="14" hidden="1">{"'S. C. B.'!$E$207"}</definedName>
    <definedName name="AJUSTADO" hidden="1">{"'S. C. B.'!$E$207"}</definedName>
    <definedName name="anex" localSheetId="15" hidden="1">{#N/A,#N/A,FALSE,"balance";#N/A,#N/A,FALSE,"PYG"}</definedName>
    <definedName name="anex" localSheetId="14" hidden="1">{#N/A,#N/A,FALSE,"balance";#N/A,#N/A,FALSE,"PYG"}</definedName>
    <definedName name="anex" hidden="1">{#N/A,#N/A,FALSE,"balance";#N/A,#N/A,FALSE,"PYG"}</definedName>
    <definedName name="Anexo" localSheetId="15" hidden="1">{#N/A,#N/A,FALSE,"balance";#N/A,#N/A,FALSE,"PYG"}</definedName>
    <definedName name="Anexo" localSheetId="14" hidden="1">{#N/A,#N/A,FALSE,"balance";#N/A,#N/A,FALSE,"PYG"}</definedName>
    <definedName name="Anexo" hidden="1">{#N/A,#N/A,FALSE,"balance";#N/A,#N/A,FALSE,"PYG"}</definedName>
    <definedName name="Anexo19" localSheetId="15" hidden="1">{#N/A,#N/A,FALSE,"balance";#N/A,#N/A,FALSE,"PYG"}</definedName>
    <definedName name="Anexo19" localSheetId="14" hidden="1">{#N/A,#N/A,FALSE,"balance";#N/A,#N/A,FALSE,"PYG"}</definedName>
    <definedName name="Anexo19" hidden="1">{#N/A,#N/A,FALSE,"balance";#N/A,#N/A,FALSE,"PYG"}</definedName>
    <definedName name="ANEXO9" localSheetId="15" hidden="1">{#N/A,#N/A,FALSE,"balance";#N/A,#N/A,FALSE,"PYG"}</definedName>
    <definedName name="ANEXO9" localSheetId="14" hidden="1">{#N/A,#N/A,FALSE,"balance";#N/A,#N/A,FALSE,"PYG"}</definedName>
    <definedName name="ANEXO9" hidden="1">{#N/A,#N/A,FALSE,"balance";#N/A,#N/A,FALSE,"PYG"}</definedName>
    <definedName name="ANULAR" localSheetId="15" hidden="1">{"'S. C. B.'!$E$207"}</definedName>
    <definedName name="ANULAR" localSheetId="14" hidden="1">{"'S. C. B.'!$E$207"}</definedName>
    <definedName name="ANULAR" hidden="1">{"'S. C. B.'!$E$207"}</definedName>
    <definedName name="ARRENDAM1" localSheetId="15" hidden="1">{#N/A,#N/A,FALSE,"Aging Summary";#N/A,#N/A,FALSE,"Ratio Analysis";#N/A,#N/A,FALSE,"Test 120 Day Accts";#N/A,#N/A,FALSE,"Tickmarks"}</definedName>
    <definedName name="ARRENDAM1" localSheetId="14" hidden="1">{#N/A,#N/A,FALSE,"Aging Summary";#N/A,#N/A,FALSE,"Ratio Analysis";#N/A,#N/A,FALSE,"Test 120 Day Accts";#N/A,#N/A,FALSE,"Tickmarks"}</definedName>
    <definedName name="ARRENDAM1" hidden="1">{#N/A,#N/A,FALSE,"Aging Summary";#N/A,#N/A,FALSE,"Ratio Analysis";#N/A,#N/A,FALSE,"Test 120 Day Accts";#N/A,#N/A,FALSE,"Tickmarks"}</definedName>
    <definedName name="ARRENDAMIENTO" localSheetId="15" hidden="1">{#N/A,#N/A,FALSE,"Aging Summary";#N/A,#N/A,FALSE,"Ratio Analysis";#N/A,#N/A,FALSE,"Test 120 Day Accts";#N/A,#N/A,FALSE,"Tickmarks"}</definedName>
    <definedName name="ARRENDAMIENTO" localSheetId="14" hidden="1">{#N/A,#N/A,FALSE,"Aging Summary";#N/A,#N/A,FALSE,"Ratio Analysis";#N/A,#N/A,FALSE,"Test 120 Day Accts";#N/A,#N/A,FALSE,"Tickmarks"}</definedName>
    <definedName name="ARRENDAMIENTO" hidden="1">{#N/A,#N/A,FALSE,"Aging Summary";#N/A,#N/A,FALSE,"Ratio Analysis";#N/A,#N/A,FALSE,"Test 120 Day Accts";#N/A,#N/A,FALSE,"Tickmarks"}</definedName>
    <definedName name="as" localSheetId="15" hidden="1">{#N/A,#N/A,TRUE,"Cond";#N/A,#N/A,TRUE,"Bce_hold";#N/A,#N/A,TRUE,"eerr_hold";#N/A,#N/A,TRUE,"eerr_prod";#N/A,#N/A,TRUE,"eerr_tipogtos";#N/A,#N/A,TRUE,"Flujo";#N/A,#N/A,TRUE,"Var_Ebit";#N/A,#N/A,TRUE,"Noa";#N/A,#N/A,TRUE,"Var_Noa"}</definedName>
    <definedName name="as" localSheetId="14" hidden="1">{#N/A,#N/A,TRUE,"Cond";#N/A,#N/A,TRUE,"Bce_hold";#N/A,#N/A,TRUE,"eerr_hold";#N/A,#N/A,TRUE,"eerr_prod";#N/A,#N/A,TRUE,"eerr_tipogtos";#N/A,#N/A,TRUE,"Flujo";#N/A,#N/A,TRUE,"Var_Ebit";#N/A,#N/A,TRUE,"Noa";#N/A,#N/A,TRUE,"Var_Noa"}</definedName>
    <definedName name="as" hidden="1">{#N/A,#N/A,TRUE,"Cond";#N/A,#N/A,TRUE,"Bce_hold";#N/A,#N/A,TRUE,"eerr_hold";#N/A,#N/A,TRUE,"eerr_prod";#N/A,#N/A,TRUE,"eerr_tipogtos";#N/A,#N/A,TRUE,"Flujo";#N/A,#N/A,TRUE,"Var_Ebit";#N/A,#N/A,TRUE,"Noa";#N/A,#N/A,TRUE,"Var_Noa"}</definedName>
    <definedName name="AS2DocOpenMode" hidden="1">"AS2DocumentEdit"</definedName>
    <definedName name="AS2NamedRange" hidden="1">2</definedName>
    <definedName name="AS2ReportLS" hidden="1">1</definedName>
    <definedName name="AS2SyncStepLS" hidden="1">0</definedName>
    <definedName name="AS2TickmarkLS" localSheetId="15" hidden="1">#REF!</definedName>
    <definedName name="AS2TickmarkLS" localSheetId="14" hidden="1">#REF!</definedName>
    <definedName name="AS2TickmarkLS" hidden="1">#REF!</definedName>
    <definedName name="AS2VersionLS" hidden="1">300</definedName>
    <definedName name="ASASDADA" localSheetId="15" hidden="1">{"'S. C. B.'!$E$207"}</definedName>
    <definedName name="ASASDADA" localSheetId="14" hidden="1">{"'S. C. B.'!$E$207"}</definedName>
    <definedName name="ASASDADA" hidden="1">{"'S. C. B.'!$E$207"}</definedName>
    <definedName name="asd" localSheetId="15" hidden="1">{#N/A,#N/A,TRUE,"TAPA ";"INDICE_CLP",#N/A,TRUE,"Indice";#N/A,#N/A,TRUE,"Cond";#N/A,#N/A,TRUE,"Bce_hold";#N/A,#N/A,TRUE,"eerr_hold";#N/A,#N/A,TRUE,"eerr_prod";#N/A,#N/A,TRUE,"eerr_tipogtos";#N/A,#N/A,TRUE,"Flujo";#N/A,#N/A,TRUE,"Var_Ebit";#N/A,#N/A,TRUE,"Noa";#N/A,#N/A,TRUE,"Var_Noa"}</definedName>
    <definedName name="asd" localSheetId="14" hidden="1">{#N/A,#N/A,TRUE,"TAPA ";"INDICE_CLP",#N/A,TRUE,"Indice";#N/A,#N/A,TRUE,"Cond";#N/A,#N/A,TRUE,"Bce_hold";#N/A,#N/A,TRUE,"eerr_hold";#N/A,#N/A,TRUE,"eerr_prod";#N/A,#N/A,TRUE,"eerr_tipogtos";#N/A,#N/A,TRUE,"Flujo";#N/A,#N/A,TRUE,"Var_Ebit";#N/A,#N/A,TRUE,"Noa";#N/A,#N/A,TRUE,"Var_Noa"}</definedName>
    <definedName name="asd" hidden="1">{#N/A,#N/A,TRUE,"TAPA ";"INDICE_CLP",#N/A,TRUE,"Indice";#N/A,#N/A,TRUE,"Cond";#N/A,#N/A,TRUE,"Bce_hold";#N/A,#N/A,TRUE,"eerr_hold";#N/A,#N/A,TRUE,"eerr_prod";#N/A,#N/A,TRUE,"eerr_tipogtos";#N/A,#N/A,TRUE,"Flujo";#N/A,#N/A,TRUE,"Var_Ebit";#N/A,#N/A,TRUE,"Noa";#N/A,#N/A,TRUE,"Var_Noa"}</definedName>
    <definedName name="asdf" localSheetId="15" hidden="1">{#N/A,#N/A,FALSE,"balance";#N/A,#N/A,FALSE,"PYG"}</definedName>
    <definedName name="asdf" localSheetId="14" hidden="1">{#N/A,#N/A,FALSE,"balance";#N/A,#N/A,FALSE,"PYG"}</definedName>
    <definedName name="asdf" hidden="1">{#N/A,#N/A,FALSE,"balance";#N/A,#N/A,FALSE,"PYG"}</definedName>
    <definedName name="asmdnand" localSheetId="15" hidden="1">{#N/A,#N/A,TRUE,"Cond";#N/A,#N/A,TRUE,"Bce_hold";#N/A,#N/A,TRUE,"eerr_hold";#N/A,#N/A,TRUE,"eerr_prod";#N/A,#N/A,TRUE,"eerr_tipogtos";#N/A,#N/A,TRUE,"Flujo";#N/A,#N/A,TRUE,"Var_Ebit";#N/A,#N/A,TRUE,"Noa";#N/A,#N/A,TRUE,"Var_Noa"}</definedName>
    <definedName name="asmdnand" localSheetId="14" hidden="1">{#N/A,#N/A,TRUE,"Cond";#N/A,#N/A,TRUE,"Bce_hold";#N/A,#N/A,TRUE,"eerr_hold";#N/A,#N/A,TRUE,"eerr_prod";#N/A,#N/A,TRUE,"eerr_tipogtos";#N/A,#N/A,TRUE,"Flujo";#N/A,#N/A,TRUE,"Var_Ebit";#N/A,#N/A,TRUE,"Noa";#N/A,#N/A,TRUE,"Var_Noa"}</definedName>
    <definedName name="asmdnand" hidden="1">{#N/A,#N/A,TRUE,"Cond";#N/A,#N/A,TRUE,"Bce_hold";#N/A,#N/A,TRUE,"eerr_hold";#N/A,#N/A,TRUE,"eerr_prod";#N/A,#N/A,TRUE,"eerr_tipogtos";#N/A,#N/A,TRUE,"Flujo";#N/A,#N/A,TRUE,"Var_Ebit";#N/A,#N/A,TRUE,"Noa";#N/A,#N/A,TRUE,"Var_Noa"}</definedName>
    <definedName name="assmmdn" localSheetId="15" hidden="1">{#N/A,#N/A,TRUE,"TAPA ";"INDICE_CLP",#N/A,TRUE,"Indice";#N/A,#N/A,TRUE,"Cond";#N/A,#N/A,TRUE,"Bce_hold";#N/A,#N/A,TRUE,"eerr_hold";#N/A,#N/A,TRUE,"eerr_prod";#N/A,#N/A,TRUE,"eerr_tipogtos";#N/A,#N/A,TRUE,"Flujo";#N/A,#N/A,TRUE,"Var_Ebit";#N/A,#N/A,TRUE,"Noa";#N/A,#N/A,TRUE,"Var_Noa"}</definedName>
    <definedName name="assmmdn" localSheetId="14" hidden="1">{#N/A,#N/A,TRUE,"TAPA ";"INDICE_CLP",#N/A,TRUE,"Indice";#N/A,#N/A,TRUE,"Cond";#N/A,#N/A,TRUE,"Bce_hold";#N/A,#N/A,TRUE,"eerr_hold";#N/A,#N/A,TRUE,"eerr_prod";#N/A,#N/A,TRUE,"eerr_tipogtos";#N/A,#N/A,TRUE,"Flujo";#N/A,#N/A,TRUE,"Var_Ebit";#N/A,#N/A,TRUE,"Noa";#N/A,#N/A,TRUE,"Var_Noa"}</definedName>
    <definedName name="assmmdn" hidden="1">{#N/A,#N/A,TRUE,"TAPA ";"INDICE_CLP",#N/A,TRUE,"Indice";#N/A,#N/A,TRUE,"Cond";#N/A,#N/A,TRUE,"Bce_hold";#N/A,#N/A,TRUE,"eerr_hold";#N/A,#N/A,TRUE,"eerr_prod";#N/A,#N/A,TRUE,"eerr_tipogtos";#N/A,#N/A,TRUE,"Flujo";#N/A,#N/A,TRUE,"Var_Ebit";#N/A,#N/A,TRUE,"Noa";#N/A,#N/A,TRUE,"Var_Noa"}</definedName>
    <definedName name="b" localSheetId="15" hidden="1">{#N/A,#N/A,FALSE,"balance";#N/A,#N/A,FALSE,"PYG"}</definedName>
    <definedName name="b" localSheetId="14" hidden="1">{#N/A,#N/A,FALSE,"balance";#N/A,#N/A,FALSE,"PYG"}</definedName>
    <definedName name="b" hidden="1">{#N/A,#N/A,FALSE,"balance";#N/A,#N/A,FALSE,"PYG"}</definedName>
    <definedName name="BB" localSheetId="15" hidden="1">{"'S. C. B.'!$E$207"}</definedName>
    <definedName name="BB" localSheetId="14" hidden="1">{"'S. C. B.'!$E$207"}</definedName>
    <definedName name="BB" hidden="1">{"'S. C. B.'!$E$207"}</definedName>
    <definedName name="BBBB" localSheetId="15" hidden="1">{"PYGT",#N/A,FALSE,"PYG";"ACTIT",#N/A,FALSE,"BCE_GRAL-ACTIVO";"PASIT",#N/A,FALSE,"BCE_GRAL-PASIVO-PATRIM";"CAJAT",#N/A,FALSE,"CAJA"}</definedName>
    <definedName name="BBBB" localSheetId="14" hidden="1">{"PYGT",#N/A,FALSE,"PYG";"ACTIT",#N/A,FALSE,"BCE_GRAL-ACTIVO";"PASIT",#N/A,FALSE,"BCE_GRAL-PASIVO-PATRIM";"CAJAT",#N/A,FALSE,"CAJA"}</definedName>
    <definedName name="BBBB" hidden="1">{"PYGT",#N/A,FALSE,"PYG";"ACTIT",#N/A,FALSE,"BCE_GRAL-ACTIVO";"PASIT",#N/A,FALSE,"BCE_GRAL-PASIVO-PATRIM";"CAJAT",#N/A,FALSE,"CAJA"}</definedName>
    <definedName name="BG_Del" hidden="1">15</definedName>
    <definedName name="BG_Ins" hidden="1">4</definedName>
    <definedName name="BG_Mod" hidden="1">6</definedName>
    <definedName name="CalendárioYear">#REF!</definedName>
    <definedName name="CASINO" localSheetId="15" hidden="1">{#N/A,#N/A,FALSE,"balance";#N/A,#N/A,FALSE,"PYG"}</definedName>
    <definedName name="CASINO" localSheetId="14" hidden="1">{#N/A,#N/A,FALSE,"balance";#N/A,#N/A,FALSE,"PYG"}</definedName>
    <definedName name="CASINO" hidden="1">{#N/A,#N/A,FALSE,"balance";#N/A,#N/A,FALSE,"PYG"}</definedName>
    <definedName name="CBWorkbookPriority" hidden="1">-1906970393</definedName>
    <definedName name="CCCCCCCCCC" localSheetId="15" hidden="1">{#N/A,#N/A,FALSE,"Aging Summary";#N/A,#N/A,FALSE,"Ratio Analysis";#N/A,#N/A,FALSE,"Test 120 Day Accts";#N/A,#N/A,FALSE,"Tickmarks"}</definedName>
    <definedName name="CCCCCCCCCC" localSheetId="14" hidden="1">{#N/A,#N/A,FALSE,"Aging Summary";#N/A,#N/A,FALSE,"Ratio Analysis";#N/A,#N/A,FALSE,"Test 120 Day Accts";#N/A,#N/A,FALSE,"Tickmarks"}</definedName>
    <definedName name="CCCCCCCCCC" hidden="1">{#N/A,#N/A,FALSE,"Aging Summary";#N/A,#N/A,FALSE,"Ratio Analysis";#N/A,#N/A,FALSE,"Test 120 Day Accts";#N/A,#N/A,FALSE,"Tickmarks"}</definedName>
    <definedName name="CDAARA" localSheetId="15" hidden="1">{"'S. C. B.'!$E$207"}</definedName>
    <definedName name="CDAARA" localSheetId="14" hidden="1">{"'S. C. B.'!$E$207"}</definedName>
    <definedName name="CDAARA" hidden="1">{"'S. C. B.'!$E$207"}</definedName>
    <definedName name="CFNAL" localSheetId="15" hidden="1">{"'S. C. B.'!$E$207"}</definedName>
    <definedName name="CFNAL" localSheetId="14" hidden="1">{"'S. C. B.'!$E$207"}</definedName>
    <definedName name="CFNAL" hidden="1">{"'S. C. B.'!$E$207"}</definedName>
    <definedName name="CLASIF" localSheetId="15" hidden="1">{"KWHTONTOTAL",#N/A,FALSE,"KWHTON"}</definedName>
    <definedName name="CLASIF" localSheetId="14" hidden="1">{"KWHTONTOTAL",#N/A,FALSE,"KWHTON"}</definedName>
    <definedName name="CLASIF" hidden="1">{"KWHTONTOTAL",#N/A,FALSE,"KWHTON"}</definedName>
    <definedName name="CONCILIACIONELECTROC" localSheetId="15" hidden="1">{#N/A,#N/A,FALSE,"Aging Summary";#N/A,#N/A,FALSE,"Ratio Analysis";#N/A,#N/A,FALSE,"Test 120 Day Accts";#N/A,#N/A,FALSE,"Tickmarks"}</definedName>
    <definedName name="CONCILIACIONELECTROC" localSheetId="14" hidden="1">{#N/A,#N/A,FALSE,"Aging Summary";#N/A,#N/A,FALSE,"Ratio Analysis";#N/A,#N/A,FALSE,"Test 120 Day Accts";#N/A,#N/A,FALSE,"Tickmarks"}</definedName>
    <definedName name="CONCILIACIONELECTROC" hidden="1">{#N/A,#N/A,FALSE,"Aging Summary";#N/A,#N/A,FALSE,"Ratio Analysis";#N/A,#N/A,FALSE,"Test 120 Day Accts";#N/A,#N/A,FALSE,"Tickmarks"}</definedName>
    <definedName name="Concretos" localSheetId="15" hidden="1">{#N/A,#N/A,FALSE,"GP";#N/A,#N/A,FALSE,"Summary"}</definedName>
    <definedName name="Concretos" localSheetId="14" hidden="1">{#N/A,#N/A,FALSE,"GP";#N/A,#N/A,FALSE,"Summary"}</definedName>
    <definedName name="Concretos" hidden="1">{#N/A,#N/A,FALSE,"GP";#N/A,#N/A,FALSE,"Summary"}</definedName>
    <definedName name="crt" localSheetId="15" hidden="1">{#N/A,#N/A,FALSE,"GRAFICO";#N/A,#N/A,FALSE,"CAJA (2)";#N/A,#N/A,FALSE,"TERCEROS-PROMEDIO";#N/A,#N/A,FALSE,"CAJA";#N/A,#N/A,FALSE,"INGRESOS1995-2003";#N/A,#N/A,FALSE,"GASTOS1995-2003"}</definedName>
    <definedName name="crt" localSheetId="14"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UADRE" localSheetId="15" hidden="1">{#N/A,#N/A,FALSE,"Aging Summary";#N/A,#N/A,FALSE,"Ratio Analysis";#N/A,#N/A,FALSE,"Test 120 Day Accts";#N/A,#N/A,FALSE,"Tickmarks"}</definedName>
    <definedName name="CUADRE" localSheetId="14" hidden="1">{#N/A,#N/A,FALSE,"Aging Summary";#N/A,#N/A,FALSE,"Ratio Analysis";#N/A,#N/A,FALSE,"Test 120 Day Accts";#N/A,#N/A,FALSE,"Tickmarks"}</definedName>
    <definedName name="CUADRE" hidden="1">{#N/A,#N/A,FALSE,"Aging Summary";#N/A,#N/A,FALSE,"Ratio Analysis";#N/A,#N/A,FALSE,"Test 120 Day Accts";#N/A,#N/A,FALSE,"Tickmarks"}</definedName>
    <definedName name="CX" localSheetId="15" hidden="1">{#N/A,#N/A,FALSE,"Aging Summary";#N/A,#N/A,FALSE,"Ratio Analysis";#N/A,#N/A,FALSE,"Test 120 Day Accts";#N/A,#N/A,FALSE,"Tickmarks"}</definedName>
    <definedName name="CX" localSheetId="14" hidden="1">{#N/A,#N/A,FALSE,"Aging Summary";#N/A,#N/A,FALSE,"Ratio Analysis";#N/A,#N/A,FALSE,"Test 120 Day Accts";#N/A,#N/A,FALSE,"Tickmarks"}</definedName>
    <definedName name="CX" hidden="1">{#N/A,#N/A,FALSE,"Aging Summary";#N/A,#N/A,FALSE,"Ratio Analysis";#N/A,#N/A,FALSE,"Test 120 Day Accts";#N/A,#N/A,FALSE,"Tickmarks"}</definedName>
    <definedName name="D" localSheetId="15" hidden="1">{"'S. C. B.'!$E$207"}</definedName>
    <definedName name="D" localSheetId="14" hidden="1">{"'S. C. B.'!$E$207"}</definedName>
    <definedName name="D" hidden="1">{"'S. C. B.'!$E$207"}</definedName>
    <definedName name="DARWERWETWRET" localSheetId="15" hidden="1">{"'S. C. B.'!$E$207"}</definedName>
    <definedName name="DARWERWETWRET" localSheetId="14" hidden="1">{"'S. C. B.'!$E$207"}</definedName>
    <definedName name="DARWERWETWRET" hidden="1">{"'S. C. B.'!$E$207"}</definedName>
    <definedName name="das" localSheetId="15" hidden="1">{"'S. C. B.'!$E$207"}</definedName>
    <definedName name="das" localSheetId="14" hidden="1">{"'S. C. B.'!$E$207"}</definedName>
    <definedName name="das" hidden="1">{"'S. C. B.'!$E$207"}</definedName>
    <definedName name="dd" localSheetId="15" hidden="1">{#N/A,#N/A,FALSE,"balance";#N/A,#N/A,FALSE,"PYG"}</definedName>
    <definedName name="dd" localSheetId="14" hidden="1">{#N/A,#N/A,FALSE,"balance";#N/A,#N/A,FALSE,"PYG"}</definedName>
    <definedName name="dd" hidden="1">{#N/A,#N/A,FALSE,"balance";#N/A,#N/A,FALSE,"PYG"}</definedName>
    <definedName name="DDDDDD" localSheetId="15" hidden="1">{"PYGS",#N/A,FALSE,"PYG";"ACTIS",#N/A,FALSE,"BCE_GRAL-ACTIVO";"PASIS",#N/A,FALSE,"BCE_GRAL-PASIVO-PATRIM";"CAJAS",#N/A,FALSE,"CAJA"}</definedName>
    <definedName name="DDDDDD" localSheetId="14" hidden="1">{"PYGS",#N/A,FALSE,"PYG";"ACTIS",#N/A,FALSE,"BCE_GRAL-ACTIVO";"PASIS",#N/A,FALSE,"BCE_GRAL-PASIVO-PATRIM";"CAJAS",#N/A,FALSE,"CAJA"}</definedName>
    <definedName name="DDDDDD" hidden="1">{"PYGS",#N/A,FALSE,"PYG";"ACTIS",#N/A,FALSE,"BCE_GRAL-ACTIVO";"PASIS",#N/A,FALSE,"BCE_GRAL-PASIVO-PATRIM";"CAJAS",#N/A,FALSE,"CAJA"}</definedName>
    <definedName name="ddddddd" localSheetId="15" hidden="1">{#N/A,#N/A,TRUE,"Cond";#N/A,#N/A,TRUE,"Bce_hold";#N/A,#N/A,TRUE,"eerr_hold";#N/A,#N/A,TRUE,"eerr_prod";#N/A,#N/A,TRUE,"eerr_tipogtos";#N/A,#N/A,TRUE,"Flujo";#N/A,#N/A,TRUE,"Var_Ebit";#N/A,#N/A,TRUE,"Noa";#N/A,#N/A,TRUE,"Var_Noa"}</definedName>
    <definedName name="ddddddd" localSheetId="14" hidden="1">{#N/A,#N/A,TRUE,"Cond";#N/A,#N/A,TRUE,"Bce_hold";#N/A,#N/A,TRUE,"eerr_hold";#N/A,#N/A,TRUE,"eerr_prod";#N/A,#N/A,TRUE,"eerr_tipogtos";#N/A,#N/A,TRUE,"Flujo";#N/A,#N/A,TRUE,"Var_Ebit";#N/A,#N/A,TRUE,"Noa";#N/A,#N/A,TRUE,"Var_Noa"}</definedName>
    <definedName name="ddddddd" hidden="1">{#N/A,#N/A,TRUE,"Cond";#N/A,#N/A,TRUE,"Bce_hold";#N/A,#N/A,TRUE,"eerr_hold";#N/A,#N/A,TRUE,"eerr_prod";#N/A,#N/A,TRUE,"eerr_tipogtos";#N/A,#N/A,TRUE,"Flujo";#N/A,#N/A,TRUE,"Var_Ebit";#N/A,#N/A,TRUE,"Noa";#N/A,#N/A,TRUE,"Var_Noa"}</definedName>
    <definedName name="ddr" localSheetId="15" hidden="1">{#N/A,#N/A,FALSE,"balance";#N/A,#N/A,FALSE,"PYG"}</definedName>
    <definedName name="ddr" localSheetId="14" hidden="1">{#N/A,#N/A,FALSE,"balance";#N/A,#N/A,FALSE,"PYG"}</definedName>
    <definedName name="ddr" hidden="1">{#N/A,#N/A,FALSE,"balance";#N/A,#N/A,FALSE,"PYG"}</definedName>
    <definedName name="ddsddsa" localSheetId="15" hidden="1">{#N/A,#N/A,TRUE,"TAPA ";"INDICE_CLP",#N/A,TRUE,"Indice";#N/A,#N/A,TRUE,"Cond";#N/A,#N/A,TRUE,"Bce_hold";#N/A,#N/A,TRUE,"eerr_hold";#N/A,#N/A,TRUE,"eerr_prod";#N/A,#N/A,TRUE,"eerr_tipogtos";#N/A,#N/A,TRUE,"Flujo";#N/A,#N/A,TRUE,"Var_Ebit";#N/A,#N/A,TRUE,"Noa";#N/A,#N/A,TRUE,"Var_Noa"}</definedName>
    <definedName name="ddsddsa" localSheetId="14" hidden="1">{#N/A,#N/A,TRUE,"TAPA ";"INDICE_CLP",#N/A,TRUE,"Indice";#N/A,#N/A,TRUE,"Cond";#N/A,#N/A,TRUE,"Bce_hold";#N/A,#N/A,TRUE,"eerr_hold";#N/A,#N/A,TRUE,"eerr_prod";#N/A,#N/A,TRUE,"eerr_tipogtos";#N/A,#N/A,TRUE,"Flujo";#N/A,#N/A,TRUE,"Var_Ebit";#N/A,#N/A,TRUE,"Noa";#N/A,#N/A,TRUE,"Var_Noa"}</definedName>
    <definedName name="ddsddsa" hidden="1">{#N/A,#N/A,TRUE,"TAPA ";"INDICE_CLP",#N/A,TRUE,"Indice";#N/A,#N/A,TRUE,"Cond";#N/A,#N/A,TRUE,"Bce_hold";#N/A,#N/A,TRUE,"eerr_hold";#N/A,#N/A,TRUE,"eerr_prod";#N/A,#N/A,TRUE,"eerr_tipogtos";#N/A,#N/A,TRUE,"Flujo";#N/A,#N/A,TRUE,"Var_Ebit";#N/A,#N/A,TRUE,"Noa";#N/A,#N/A,TRUE,"Var_Noa"}</definedName>
    <definedName name="de" localSheetId="15" hidden="1">{"'S. C. B.'!$E$207"}</definedName>
    <definedName name="de" localSheetId="14" hidden="1">{"'S. C. B.'!$E$207"}</definedName>
    <definedName name="de" hidden="1">{"'S. C. B.'!$E$207"}</definedName>
    <definedName name="DEOL" localSheetId="15" hidden="1">{"'S. C. B.'!$E$207"}</definedName>
    <definedName name="DEOL" localSheetId="14" hidden="1">{"'S. C. B.'!$E$207"}</definedName>
    <definedName name="DEOL" hidden="1">{"'S. C. B.'!$E$207"}</definedName>
    <definedName name="DEVOLUCIONES" localSheetId="15" hidden="1">{"'S. C. B.'!$E$207"}</definedName>
    <definedName name="DEVOLUCIONES" localSheetId="14" hidden="1">{"'S. C. B.'!$E$207"}</definedName>
    <definedName name="DEVOLUCIONES" hidden="1">{"'S. C. B.'!$E$207"}</definedName>
    <definedName name="df" localSheetId="15" hidden="1">{#N/A,#N/A,TRUE,"TAPA ";"INDICE_CLP",#N/A,TRUE,"Indice";#N/A,#N/A,TRUE,"Cond";#N/A,#N/A,TRUE,"Bce_hold";#N/A,#N/A,TRUE,"eerr_hold";#N/A,#N/A,TRUE,"eerr_prod";#N/A,#N/A,TRUE,"eerr_tipogtos";#N/A,#N/A,TRUE,"Flujo";#N/A,#N/A,TRUE,"Var_Ebit";#N/A,#N/A,TRUE,"Noa";#N/A,#N/A,TRUE,"Var_Noa"}</definedName>
    <definedName name="df" localSheetId="14" hidden="1">{#N/A,#N/A,TRUE,"TAPA ";"INDICE_CLP",#N/A,TRUE,"Indice";#N/A,#N/A,TRUE,"Cond";#N/A,#N/A,TRUE,"Bce_hold";#N/A,#N/A,TRUE,"eerr_hold";#N/A,#N/A,TRUE,"eerr_prod";#N/A,#N/A,TRUE,"eerr_tipogtos";#N/A,#N/A,TRUE,"Flujo";#N/A,#N/A,TRUE,"Var_Ebit";#N/A,#N/A,TRUE,"Noa";#N/A,#N/A,TRUE,"Var_Noa"}</definedName>
    <definedName name="df" hidden="1">{#N/A,#N/A,TRUE,"TAPA ";"INDICE_CLP",#N/A,TRUE,"Indice";#N/A,#N/A,TRUE,"Cond";#N/A,#N/A,TRUE,"Bce_hold";#N/A,#N/A,TRUE,"eerr_hold";#N/A,#N/A,TRUE,"eerr_prod";#N/A,#N/A,TRUE,"eerr_tipogtos";#N/A,#N/A,TRUE,"Flujo";#N/A,#N/A,TRUE,"Var_Ebit";#N/A,#N/A,TRUE,"Noa";#N/A,#N/A,TRUE,"Var_Noa"}</definedName>
    <definedName name="dffff" localSheetId="15" hidden="1">{#N/A,#N/A,FALSE,"balance";#N/A,#N/A,FALSE,"PYG"}</definedName>
    <definedName name="dffff" localSheetId="14" hidden="1">{#N/A,#N/A,FALSE,"balance";#N/A,#N/A,FALSE,"PYG"}</definedName>
    <definedName name="dffff" hidden="1">{#N/A,#N/A,FALSE,"balance";#N/A,#N/A,FALSE,"PYG"}</definedName>
    <definedName name="dfg" localSheetId="15" hidden="1">{#N/A,#N/A,FALSE,"balance";#N/A,#N/A,FALSE,"PYG"}</definedName>
    <definedName name="dfg" localSheetId="14" hidden="1">{#N/A,#N/A,FALSE,"balance";#N/A,#N/A,FALSE,"PYG"}</definedName>
    <definedName name="dfg" hidden="1">{#N/A,#N/A,FALSE,"balance";#N/A,#N/A,FALSE,"PYG"}</definedName>
    <definedName name="DiasDaSemana">{"SEGUNDA-FEIRA","TERÇA-FEIRA","QUARTA-FEIRA","QUINTA-FEIRA","SEXTA-FEIRA","Sábado","Domingo"}</definedName>
    <definedName name="DiasESemanas">{0,1,2,3,4,5,6} + {0;1;2;3;4;5}*7</definedName>
    <definedName name="divi" localSheetId="15" hidden="1">{"'S. C. B.'!$E$207"}</definedName>
    <definedName name="divi" localSheetId="14" hidden="1">{"'S. C. B.'!$E$207"}</definedName>
    <definedName name="divi" hidden="1">{"'S. C. B.'!$E$207"}</definedName>
    <definedName name="dsdsddsd" localSheetId="15" hidden="1">{"INDICE_USD",#N/A,FALSE,"Indice";#N/A,#N/A,FALSE,"Condusd";#N/A,#N/A,FALSE,"Bce_holdusd";#N/A,#N/A,FALSE,"eerr_holdusd";#N/A,#N/A,FALSE,"eerr_produsd";#N/A,#N/A,FALSE,"eerr_tipogtosusd";#N/A,#N/A,FALSE,"Flujousd";#N/A,#N/A,FALSE,"Var_Ebitusd";#N/A,#N/A,FALSE,"Noausd";#N/A,#N/A,FALSE,"Var_Noausd"}</definedName>
    <definedName name="dsdsddsd" localSheetId="14" hidden="1">{"INDICE_USD",#N/A,FALSE,"Indice";#N/A,#N/A,FALSE,"Condusd";#N/A,#N/A,FALSE,"Bce_holdusd";#N/A,#N/A,FALSE,"eerr_holdusd";#N/A,#N/A,FALSE,"eerr_produsd";#N/A,#N/A,FALSE,"eerr_tipogtosusd";#N/A,#N/A,FALSE,"Flujousd";#N/A,#N/A,FALSE,"Var_Ebitusd";#N/A,#N/A,FALSE,"Noausd";#N/A,#N/A,FALSE,"Var_Noausd"}</definedName>
    <definedName name="dsdsddsd" hidden="1">{"INDICE_USD",#N/A,FALSE,"Indice";#N/A,#N/A,FALSE,"Condusd";#N/A,#N/A,FALSE,"Bce_holdusd";#N/A,#N/A,FALSE,"eerr_holdusd";#N/A,#N/A,FALSE,"eerr_produsd";#N/A,#N/A,FALSE,"eerr_tipogtosusd";#N/A,#N/A,FALSE,"Flujousd";#N/A,#N/A,FALSE,"Var_Ebitusd";#N/A,#N/A,FALSE,"Noausd";#N/A,#N/A,FALSE,"Var_Noausd"}</definedName>
    <definedName name="ear" localSheetId="15" hidden="1">{#N/A,#N/A,FALSE,"balance";#N/A,#N/A,FALSE,"PYG"}</definedName>
    <definedName name="ear" localSheetId="14" hidden="1">{#N/A,#N/A,FALSE,"balance";#N/A,#N/A,FALSE,"PYG"}</definedName>
    <definedName name="ear" hidden="1">{#N/A,#N/A,FALSE,"balance";#N/A,#N/A,FALSE,"PYG"}</definedName>
    <definedName name="Ebitda" localSheetId="15" hidden="1">{#N/A,#N/A,FALSE,"GRAFICO";#N/A,#N/A,FALSE,"CAJA (2)";#N/A,#N/A,FALSE,"TERCEROS-PROMEDIO";#N/A,#N/A,FALSE,"CAJA";#N/A,#N/A,FALSE,"INGRESOS1995-2003";#N/A,#N/A,FALSE,"GASTOS1995-2003"}</definedName>
    <definedName name="Ebitda" localSheetId="14"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e" localSheetId="15" hidden="1">{#N/A,#N/A,FALSE,"balance";#N/A,#N/A,FALSE,"PYG"}</definedName>
    <definedName name="ee" localSheetId="14" hidden="1">{#N/A,#N/A,FALSE,"balance";#N/A,#N/A,FALSE,"PYG"}</definedName>
    <definedName name="ee" hidden="1">{#N/A,#N/A,FALSE,"balance";#N/A,#N/A,FALSE,"PYG"}</definedName>
    <definedName name="eeeeeee" localSheetId="15" hidden="1">{#N/A,#N/A,TRUE,"TAPA ";"INDICE_CLP",#N/A,TRUE,"Indice";#N/A,#N/A,TRUE,"Cond";#N/A,#N/A,TRUE,"Bce_hold";#N/A,#N/A,TRUE,"eerr_hold";#N/A,#N/A,TRUE,"eerr_prod";#N/A,#N/A,TRUE,"eerr_tipogtos";#N/A,#N/A,TRUE,"Flujo";#N/A,#N/A,TRUE,"Var_Ebit";#N/A,#N/A,TRUE,"Noa";#N/A,#N/A,TRUE,"Var_Noa"}</definedName>
    <definedName name="eeeeeee" localSheetId="14" hidden="1">{#N/A,#N/A,TRUE,"TAPA ";"INDICE_CLP",#N/A,TRUE,"Indice";#N/A,#N/A,TRUE,"Cond";#N/A,#N/A,TRUE,"Bce_hold";#N/A,#N/A,TRUE,"eerr_hold";#N/A,#N/A,TRUE,"eerr_prod";#N/A,#N/A,TRUE,"eerr_tipogtos";#N/A,#N/A,TRUE,"Flujo";#N/A,#N/A,TRUE,"Var_Ebit";#N/A,#N/A,TRUE,"Noa";#N/A,#N/A,TRUE,"Var_Noa"}</definedName>
    <definedName name="eeeeeee" hidden="1">{#N/A,#N/A,TRUE,"TAPA ";"INDICE_CLP",#N/A,TRUE,"Indice";#N/A,#N/A,TRUE,"Cond";#N/A,#N/A,TRUE,"Bce_hold";#N/A,#N/A,TRUE,"eerr_hold";#N/A,#N/A,TRUE,"eerr_prod";#N/A,#N/A,TRUE,"eerr_tipogtos";#N/A,#N/A,TRUE,"Flujo";#N/A,#N/A,TRUE,"Var_Ebit";#N/A,#N/A,TRUE,"Noa";#N/A,#N/A,TRUE,"Var_Noa"}</definedName>
    <definedName name="eeeeeeee" localSheetId="15" hidden="1">{#N/A,#N/A,TRUE,"Cond";#N/A,#N/A,TRUE,"Bce_hold";#N/A,#N/A,TRUE,"eerr_hold";#N/A,#N/A,TRUE,"eerr_prod";#N/A,#N/A,TRUE,"eerr_tipogtos";#N/A,#N/A,TRUE,"Flujo";#N/A,#N/A,TRUE,"Var_Ebit";#N/A,#N/A,TRUE,"Noa";#N/A,#N/A,TRUE,"Var_Noa"}</definedName>
    <definedName name="eeeeeeee" localSheetId="14" hidden="1">{#N/A,#N/A,TRUE,"Cond";#N/A,#N/A,TRUE,"Bce_hold";#N/A,#N/A,TRUE,"eerr_hold";#N/A,#N/A,TRUE,"eerr_prod";#N/A,#N/A,TRUE,"eerr_tipogtos";#N/A,#N/A,TRUE,"Flujo";#N/A,#N/A,TRUE,"Var_Ebit";#N/A,#N/A,TRUE,"Noa";#N/A,#N/A,TRUE,"Var_Noa"}</definedName>
    <definedName name="eeeeeeee" hidden="1">{#N/A,#N/A,TRUE,"Cond";#N/A,#N/A,TRUE,"Bce_hold";#N/A,#N/A,TRUE,"eerr_hold";#N/A,#N/A,TRUE,"eerr_prod";#N/A,#N/A,TRUE,"eerr_tipogtos";#N/A,#N/A,TRUE,"Flujo";#N/A,#N/A,TRUE,"Var_Ebit";#N/A,#N/A,TRUE,"Noa";#N/A,#N/A,TRUE,"Var_Noa"}</definedName>
    <definedName name="ejecut" localSheetId="15" hidden="1">{"KWHTONTOTAL",#N/A,FALSE,"KWHTON"}</definedName>
    <definedName name="ejecut" localSheetId="14" hidden="1">{"KWHTONTOTAL",#N/A,FALSE,"KWHTON"}</definedName>
    <definedName name="ejecut" hidden="1">{"KWHTONTOTAL",#N/A,FALSE,"KWHTON"}</definedName>
    <definedName name="electricaribeLP" localSheetId="15" hidden="1">{#N/A,#N/A,FALSE,"Aging Summary";#N/A,#N/A,FALSE,"Ratio Analysis";#N/A,#N/A,FALSE,"Test 120 Day Accts";#N/A,#N/A,FALSE,"Tickmarks"}</definedName>
    <definedName name="electricaribeLP" localSheetId="14" hidden="1">{#N/A,#N/A,FALSE,"Aging Summary";#N/A,#N/A,FALSE,"Ratio Analysis";#N/A,#N/A,FALSE,"Test 120 Day Accts";#N/A,#N/A,FALSE,"Tickmarks"}</definedName>
    <definedName name="electricaribeLP" hidden="1">{#N/A,#N/A,FALSE,"Aging Summary";#N/A,#N/A,FALSE,"Ratio Analysis";#N/A,#N/A,FALSE,"Test 120 Day Accts";#N/A,#N/A,FALSE,"Tickmarks"}</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"dgEAAB|LCAAAAAAABACF0MEOgjAMBuC7ie|w7C4DTTwYwINeTCQYTdRrhQKL0JFtOh9fokGjHrz|/dqmDee3pmZX1EYqinjg|ZwhZSqXVEb8YotRMOXzeDgID0qfT0qd09Z21LCuj8zsZvKIV9a2MyGcc56beEqXYuz7gTgm611WYQP8heV/PJJkLFCGvNvKWLjFQqOpUkpbpLiA2mAoPsOHW9QIegkWUtrBFXv5HT9sf8tGK4uZxbzXv4VP73I"</definedName>
    <definedName name="EPMWorkbookOptions_2" hidden="1">"mntHK7EFLONWYoC7fE37y7nXi63fxHS3iv392AQAA"</definedName>
    <definedName name="er" localSheetId="15" hidden="1">{#N/A,#N/A,FALSE,"balance";#N/A,#N/A,FALSE,"PYG"}</definedName>
    <definedName name="er" localSheetId="14" hidden="1">{#N/A,#N/A,FALSE,"balance";#N/A,#N/A,FALSE,"PYG"}</definedName>
    <definedName name="er" hidden="1">{#N/A,#N/A,FALSE,"balance";#N/A,#N/A,FALSE,"PYG"}</definedName>
    <definedName name="ert" localSheetId="15" hidden="1">{#N/A,#N/A,FALSE,"balance";#N/A,#N/A,FALSE,"PYG"}</definedName>
    <definedName name="ert" localSheetId="14" hidden="1">{#N/A,#N/A,FALSE,"balance";#N/A,#N/A,FALSE,"PYG"}</definedName>
    <definedName name="ert" hidden="1">{#N/A,#N/A,FALSE,"balance";#N/A,#N/A,FALSE,"PYG"}</definedName>
    <definedName name="ESCENARIO" localSheetId="15" hidden="1">{#N/A,#N/A,FALSE,"GRAFICO";#N/A,#N/A,FALSE,"CAJA (2)";#N/A,#N/A,FALSE,"TERCEROS-PROMEDIO";#N/A,#N/A,FALSE,"CAJA";#N/A,#N/A,FALSE,"INGRESOS1995-2003";#N/A,#N/A,FALSE,"GASTOS1995-2003"}</definedName>
    <definedName name="ESCENARIO" localSheetId="14"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d" localSheetId="15" hidden="1">{#N/A,#N/A,TRUE,"Cond";#N/A,#N/A,TRUE,"Bce_hold";#N/A,#N/A,TRUE,"eerr_hold";#N/A,#N/A,TRUE,"eerr_prod";#N/A,#N/A,TRUE,"eerr_tipogtos";#N/A,#N/A,TRUE,"Flujo";#N/A,#N/A,TRUE,"Var_Ebit";#N/A,#N/A,TRUE,"Noa";#N/A,#N/A,TRUE,"Var_Noa"}</definedName>
    <definedName name="esd" localSheetId="14" hidden="1">{#N/A,#N/A,TRUE,"Cond";#N/A,#N/A,TRUE,"Bce_hold";#N/A,#N/A,TRUE,"eerr_hold";#N/A,#N/A,TRUE,"eerr_prod";#N/A,#N/A,TRUE,"eerr_tipogtos";#N/A,#N/A,TRUE,"Flujo";#N/A,#N/A,TRUE,"Var_Ebit";#N/A,#N/A,TRUE,"Noa";#N/A,#N/A,TRUE,"Var_Noa"}</definedName>
    <definedName name="esd" hidden="1">{#N/A,#N/A,TRUE,"Cond";#N/A,#N/A,TRUE,"Bce_hold";#N/A,#N/A,TRUE,"eerr_hold";#N/A,#N/A,TRUE,"eerr_prod";#N/A,#N/A,TRUE,"eerr_tipogtos";#N/A,#N/A,TRUE,"Flujo";#N/A,#N/A,TRUE,"Var_Ebit";#N/A,#N/A,TRUE,"Noa";#N/A,#N/A,TRUE,"Var_Noa"}</definedName>
    <definedName name="Estoquees" localSheetId="15" hidden="1">{#N/A,#N/A,FALSE,"Aging Summary";#N/A,#N/A,FALSE,"Ratio Analysis";#N/A,#N/A,FALSE,"Test 120 Day Accts";#N/A,#N/A,FALSE,"Tickmarks"}</definedName>
    <definedName name="Estoquees" localSheetId="14" hidden="1">{#N/A,#N/A,FALSE,"Aging Summary";#N/A,#N/A,FALSE,"Ratio Analysis";#N/A,#N/A,FALSE,"Test 120 Day Accts";#N/A,#N/A,FALSE,"Tickmarks"}</definedName>
    <definedName name="Estoquees" hidden="1">{#N/A,#N/A,FALSE,"Aging Summary";#N/A,#N/A,FALSE,"Ratio Analysis";#N/A,#N/A,FALSE,"Test 120 Day Accts";#N/A,#N/A,FALSE,"Tickmarks"}</definedName>
    <definedName name="estoquees1" localSheetId="15" hidden="1">{#N/A,#N/A,FALSE,"Aging Summary";#N/A,#N/A,FALSE,"Ratio Analysis";#N/A,#N/A,FALSE,"Test 120 Day Accts";#N/A,#N/A,FALSE,"Tickmarks"}</definedName>
    <definedName name="estoquees1" localSheetId="14" hidden="1">{#N/A,#N/A,FALSE,"Aging Summary";#N/A,#N/A,FALSE,"Ratio Analysis";#N/A,#N/A,FALSE,"Test 120 Day Accts";#N/A,#N/A,FALSE,"Tickmarks"}</definedName>
    <definedName name="estoquees1" hidden="1">{#N/A,#N/A,FALSE,"Aging Summary";#N/A,#N/A,FALSE,"Ratio Analysis";#N/A,#N/A,FALSE,"Test 120 Day Accts";#N/A,#N/A,FALSE,"Tickmarks"}</definedName>
    <definedName name="estoquees2" localSheetId="15" hidden="1">{#N/A,#N/A,FALSE,"Aging Summary";#N/A,#N/A,FALSE,"Ratio Analysis";#N/A,#N/A,FALSE,"Test 120 Day Accts";#N/A,#N/A,FALSE,"Tickmarks"}</definedName>
    <definedName name="estoquees2" localSheetId="14" hidden="1">{#N/A,#N/A,FALSE,"Aging Summary";#N/A,#N/A,FALSE,"Ratio Analysis";#N/A,#N/A,FALSE,"Test 120 Day Accts";#N/A,#N/A,FALSE,"Tickmarks"}</definedName>
    <definedName name="estoquees2" hidden="1">{#N/A,#N/A,FALSE,"Aging Summary";#N/A,#N/A,FALSE,"Ratio Analysis";#N/A,#N/A,FALSE,"Test 120 Day Accts";#N/A,#N/A,FALSE,"Tickmarks"}</definedName>
    <definedName name="ev.Calculation" hidden="1">-4135</definedName>
    <definedName name="ev.Initialized" hidden="1">FALSE</definedName>
    <definedName name="ewwwwww" localSheetId="15" hidden="1">{"INDICE_USD",#N/A,FALSE,"Indice";#N/A,#N/A,FALSE,"Condusd";#N/A,#N/A,FALSE,"Bce_holdusd";#N/A,#N/A,FALSE,"eerr_holdusd";#N/A,#N/A,FALSE,"eerr_produsd";#N/A,#N/A,FALSE,"eerr_tipogtosusd";#N/A,#N/A,FALSE,"Flujousd";#N/A,#N/A,FALSE,"Var_Ebitusd";#N/A,#N/A,FALSE,"Noausd";#N/A,#N/A,FALSE,"Var_Noausd"}</definedName>
    <definedName name="ewwwwww" localSheetId="14" hidden="1">{"INDICE_USD",#N/A,FALSE,"Indice";#N/A,#N/A,FALSE,"Condusd";#N/A,#N/A,FALSE,"Bce_holdusd";#N/A,#N/A,FALSE,"eerr_holdusd";#N/A,#N/A,FALSE,"eerr_produsd";#N/A,#N/A,FALSE,"eerr_tipogtosusd";#N/A,#N/A,FALSE,"Flujousd";#N/A,#N/A,FALSE,"Var_Ebitusd";#N/A,#N/A,FALSE,"Noausd";#N/A,#N/A,FALSE,"Var_Noausd"}</definedName>
    <definedName name="ewwwwww" hidden="1">{"INDICE_USD",#N/A,FALSE,"Indice";#N/A,#N/A,FALSE,"Condusd";#N/A,#N/A,FALSE,"Bce_holdusd";#N/A,#N/A,FALSE,"eerr_holdusd";#N/A,#N/A,FALSE,"eerr_produsd";#N/A,#N/A,FALSE,"eerr_tipogtosusd";#N/A,#N/A,FALSE,"Flujousd";#N/A,#N/A,FALSE,"Var_Ebitusd";#N/A,#N/A,FALSE,"Noausd";#N/A,#N/A,FALSE,"Var_Noausd"}</definedName>
    <definedName name="FD156d" localSheetId="15" hidden="1">{#N/A,#N/A,FALSE,"balance";#N/A,#N/A,FALSE,"PYG"}</definedName>
    <definedName name="FD156d" localSheetId="14" hidden="1">{#N/A,#N/A,FALSE,"balance";#N/A,#N/A,FALSE,"PYG"}</definedName>
    <definedName name="FD156d" hidden="1">{#N/A,#N/A,FALSE,"balance";#N/A,#N/A,FALSE,"PYG"}</definedName>
    <definedName name="fffffff" localSheetId="15" hidden="1">{#N/A,#N/A,TRUE,"Cond";#N/A,#N/A,TRUE,"Bce_hold";#N/A,#N/A,TRUE,"eerr_hold";#N/A,#N/A,TRUE,"eerr_prod";#N/A,#N/A,TRUE,"eerr_tipogtos";#N/A,#N/A,TRUE,"Flujo";#N/A,#N/A,TRUE,"Var_Ebit";#N/A,#N/A,TRUE,"Noa";#N/A,#N/A,TRUE,"Var_Noa"}</definedName>
    <definedName name="fffffff" localSheetId="14" hidden="1">{#N/A,#N/A,TRUE,"Cond";#N/A,#N/A,TRUE,"Bce_hold";#N/A,#N/A,TRUE,"eerr_hold";#N/A,#N/A,TRUE,"eerr_prod";#N/A,#N/A,TRUE,"eerr_tipogtos";#N/A,#N/A,TRUE,"Flujo";#N/A,#N/A,TRUE,"Var_Ebit";#N/A,#N/A,TRUE,"Noa";#N/A,#N/A,TRUE,"Var_Noa"}</definedName>
    <definedName name="fffffff" hidden="1">{#N/A,#N/A,TRUE,"Cond";#N/A,#N/A,TRUE,"Bce_hold";#N/A,#N/A,TRUE,"eerr_hold";#N/A,#N/A,TRUE,"eerr_prod";#N/A,#N/A,TRUE,"eerr_tipogtos";#N/A,#N/A,TRUE,"Flujo";#N/A,#N/A,TRUE,"Var_Ebit";#N/A,#N/A,TRUE,"Noa";#N/A,#N/A,TRUE,"Var_Noa"}</definedName>
    <definedName name="fffffffff" localSheetId="15" hidden="1">{"INDICE_USD",#N/A,FALSE,"Indice";#N/A,#N/A,FALSE,"Condusd";#N/A,#N/A,FALSE,"Bce_holdusd";#N/A,#N/A,FALSE,"eerr_holdusd";#N/A,#N/A,FALSE,"eerr_produsd";#N/A,#N/A,FALSE,"eerr_tipogtosusd";#N/A,#N/A,FALSE,"Flujousd";#N/A,#N/A,FALSE,"Var_Ebitusd";#N/A,#N/A,FALSE,"Noausd";#N/A,#N/A,FALSE,"Var_Noausd"}</definedName>
    <definedName name="fffffffff" localSheetId="14" hidden="1">{"INDICE_USD",#N/A,FALSE,"Indice";#N/A,#N/A,FALSE,"Condusd";#N/A,#N/A,FALSE,"Bce_holdusd";#N/A,#N/A,FALSE,"eerr_holdusd";#N/A,#N/A,FALSE,"eerr_produsd";#N/A,#N/A,FALSE,"eerr_tipogtosusd";#N/A,#N/A,FALSE,"Flujousd";#N/A,#N/A,FALSE,"Var_Ebitusd";#N/A,#N/A,FALSE,"Noausd";#N/A,#N/A,FALSE,"Var_Noausd"}</definedName>
    <definedName name="fffffffff" hidden="1">{"INDICE_USD",#N/A,FALSE,"Indice";#N/A,#N/A,FALSE,"Condusd";#N/A,#N/A,FALSE,"Bce_holdusd";#N/A,#N/A,FALSE,"eerr_holdusd";#N/A,#N/A,FALSE,"eerr_produsd";#N/A,#N/A,FALSE,"eerr_tipogtosusd";#N/A,#N/A,FALSE,"Flujousd";#N/A,#N/A,FALSE,"Var_Ebitusd";#N/A,#N/A,FALSE,"Noausd";#N/A,#N/A,FALSE,"Var_Noausd"}</definedName>
    <definedName name="ffsfddd" localSheetId="15" hidden="1">{#N/A,#N/A,TRUE,"TAPA ";"INDICE_CLP",#N/A,TRUE,"Indice";#N/A,#N/A,TRUE,"Cond";#N/A,#N/A,TRUE,"Bce_hold";#N/A,#N/A,TRUE,"eerr_hold";#N/A,#N/A,TRUE,"eerr_prod";#N/A,#N/A,TRUE,"eerr_tipogtos";#N/A,#N/A,TRUE,"Flujo";#N/A,#N/A,TRUE,"Var_Ebit";#N/A,#N/A,TRUE,"Noa";#N/A,#N/A,TRUE,"Var_Noa"}</definedName>
    <definedName name="ffsfddd" localSheetId="14" hidden="1">{#N/A,#N/A,TRUE,"TAPA ";"INDICE_CLP",#N/A,TRUE,"Indice";#N/A,#N/A,TRUE,"Cond";#N/A,#N/A,TRUE,"Bce_hold";#N/A,#N/A,TRUE,"eerr_hold";#N/A,#N/A,TRUE,"eerr_prod";#N/A,#N/A,TRUE,"eerr_tipogtos";#N/A,#N/A,TRUE,"Flujo";#N/A,#N/A,TRUE,"Var_Ebit";#N/A,#N/A,TRUE,"Noa";#N/A,#N/A,TRUE,"Var_Noa"}</definedName>
    <definedName name="ffsfddd" hidden="1">{#N/A,#N/A,TRUE,"TAPA ";"INDICE_CLP",#N/A,TRUE,"Indice";#N/A,#N/A,TRUE,"Cond";#N/A,#N/A,TRUE,"Bce_hold";#N/A,#N/A,TRUE,"eerr_hold";#N/A,#N/A,TRUE,"eerr_prod";#N/A,#N/A,TRUE,"eerr_tipogtos";#N/A,#N/A,TRUE,"Flujo";#N/A,#N/A,TRUE,"Var_Ebit";#N/A,#N/A,TRUE,"Noa";#N/A,#N/A,TRUE,"Var_Noa"}</definedName>
    <definedName name="FIDUCIASOCTUBRE" localSheetId="15" hidden="1">{#N/A,#N/A,FALSE,"Aging Summary";#N/A,#N/A,FALSE,"Ratio Analysis";#N/A,#N/A,FALSE,"Test 120 Day Accts";#N/A,#N/A,FALSE,"Tickmarks"}</definedName>
    <definedName name="FIDUCIASOCTUBRE" localSheetId="14" hidden="1">{#N/A,#N/A,FALSE,"Aging Summary";#N/A,#N/A,FALSE,"Ratio Analysis";#N/A,#N/A,FALSE,"Test 120 Day Accts";#N/A,#N/A,FALSE,"Tickmarks"}</definedName>
    <definedName name="FIDUCIASOCTUBRE" hidden="1">{#N/A,#N/A,FALSE,"Aging Summary";#N/A,#N/A,FALSE,"Ratio Analysis";#N/A,#N/A,FALSE,"Test 120 Day Accts";#N/A,#N/A,FALSE,"Tickmarks"}</definedName>
    <definedName name="FR" localSheetId="15" hidden="1">{"'S. C. B.'!$E$207"}</definedName>
    <definedName name="FR" localSheetId="14" hidden="1">{"'S. C. B.'!$E$207"}</definedName>
    <definedName name="FR" hidden="1">{"'S. C. B.'!$E$207"}</definedName>
    <definedName name="Gastos" localSheetId="15" hidden="1">{#N/A,#N/A,FALSE,"GRAFICO";#N/A,#N/A,FALSE,"CAJA (2)";#N/A,#N/A,FALSE,"TERCEROS-PROMEDIO";#N/A,#N/A,FALSE,"CAJA";#N/A,#N/A,FALSE,"INGRESOS1995-2003";#N/A,#N/A,FALSE,"GASTOS1995-2003"}</definedName>
    <definedName name="Gastos" localSheetId="14"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fdf" localSheetId="15" hidden="1">{#N/A,#N/A,FALSE,"balance";#N/A,#N/A,FALSE,"PYG"}</definedName>
    <definedName name="gfdf" localSheetId="14" hidden="1">{#N/A,#N/A,FALSE,"balance";#N/A,#N/A,FALSE,"PYG"}</definedName>
    <definedName name="gfdf" hidden="1">{#N/A,#N/A,FALSE,"balance";#N/A,#N/A,FALSE,"PYG"}</definedName>
    <definedName name="GGF" localSheetId="15" hidden="1">{#N/A,#N/A,FALSE,"balance";#N/A,#N/A,FALSE,"PYG"}</definedName>
    <definedName name="GGF" localSheetId="14" hidden="1">{#N/A,#N/A,FALSE,"balance";#N/A,#N/A,FALSE,"PYG"}</definedName>
    <definedName name="GGF" hidden="1">{#N/A,#N/A,FALSE,"balance";#N/A,#N/A,FALSE,"PYG"}</definedName>
    <definedName name="ggfa" localSheetId="15" hidden="1">{#N/A,#N/A,FALSE,"balance";#N/A,#N/A,FALSE,"PYG"}</definedName>
    <definedName name="ggfa" localSheetId="14" hidden="1">{#N/A,#N/A,FALSE,"balance";#N/A,#N/A,FALSE,"PYG"}</definedName>
    <definedName name="ggfa" hidden="1">{#N/A,#N/A,FALSE,"balance";#N/A,#N/A,FALSE,"PYG"}</definedName>
    <definedName name="ggggggg" localSheetId="15" hidden="1">{#N/A,#N/A,TRUE,"Cond";#N/A,#N/A,TRUE,"Bce_hold";#N/A,#N/A,TRUE,"eerr_hold";#N/A,#N/A,TRUE,"eerr_prod";#N/A,#N/A,TRUE,"eerr_tipogtos";#N/A,#N/A,TRUE,"Flujo";#N/A,#N/A,TRUE,"Var_Ebit";#N/A,#N/A,TRUE,"Noa";#N/A,#N/A,TRUE,"Var_Noa"}</definedName>
    <definedName name="ggggggg" localSheetId="14" hidden="1">{#N/A,#N/A,TRUE,"Cond";#N/A,#N/A,TRUE,"Bce_hold";#N/A,#N/A,TRUE,"eerr_hold";#N/A,#N/A,TRUE,"eerr_prod";#N/A,#N/A,TRUE,"eerr_tipogtos";#N/A,#N/A,TRUE,"Flujo";#N/A,#N/A,TRUE,"Var_Ebit";#N/A,#N/A,TRUE,"Noa";#N/A,#N/A,TRUE,"Var_Noa"}</definedName>
    <definedName name="ggggggg" hidden="1">{#N/A,#N/A,TRUE,"Cond";#N/A,#N/A,TRUE,"Bce_hold";#N/A,#N/A,TRUE,"eerr_hold";#N/A,#N/A,TRUE,"eerr_prod";#N/A,#N/A,TRUE,"eerr_tipogtos";#N/A,#N/A,TRUE,"Flujo";#N/A,#N/A,TRUE,"Var_Ebit";#N/A,#N/A,TRUE,"Noa";#N/A,#N/A,TRUE,"Var_Noa"}</definedName>
    <definedName name="gh" localSheetId="15" hidden="1">{#N/A,#N/A,TRUE,"TAPA ";"INDICE_CLP",#N/A,TRUE,"Indice";#N/A,#N/A,TRUE,"Cond";#N/A,#N/A,TRUE,"Bce_hold";#N/A,#N/A,TRUE,"eerr_hold";#N/A,#N/A,TRUE,"eerr_prod";#N/A,#N/A,TRUE,"eerr_tipogtos";#N/A,#N/A,TRUE,"Flujo";#N/A,#N/A,TRUE,"Var_Ebit";#N/A,#N/A,TRUE,"Noa";#N/A,#N/A,TRUE,"Var_Noa"}</definedName>
    <definedName name="gh" localSheetId="14" hidden="1">{#N/A,#N/A,TRUE,"TAPA ";"INDICE_CLP",#N/A,TRUE,"Indice";#N/A,#N/A,TRUE,"Cond";#N/A,#N/A,TRUE,"Bce_hold";#N/A,#N/A,TRUE,"eerr_hold";#N/A,#N/A,TRUE,"eerr_prod";#N/A,#N/A,TRUE,"eerr_tipogtos";#N/A,#N/A,TRUE,"Flujo";#N/A,#N/A,TRUE,"Var_Ebit";#N/A,#N/A,TRUE,"Noa";#N/A,#N/A,TRUE,"Var_Noa"}</definedName>
    <definedName name="gh" hidden="1">{#N/A,#N/A,TRUE,"TAPA ";"INDICE_CLP",#N/A,TRUE,"Indice";#N/A,#N/A,TRUE,"Cond";#N/A,#N/A,TRUE,"Bce_hold";#N/A,#N/A,TRUE,"eerr_hold";#N/A,#N/A,TRUE,"eerr_prod";#N/A,#N/A,TRUE,"eerr_tipogtos";#N/A,#N/A,TRUE,"Flujo";#N/A,#N/A,TRUE,"Var_Ebit";#N/A,#N/A,TRUE,"Noa";#N/A,#N/A,TRUE,"Var_Noa"}</definedName>
    <definedName name="gibran" localSheetId="15" hidden="1">{#N/A,#N/A,FALSE,"balance";#N/A,#N/A,FALSE,"PYG"}</definedName>
    <definedName name="gibran" localSheetId="14" hidden="1">{#N/A,#N/A,FALSE,"balance";#N/A,#N/A,FALSE,"PYG"}</definedName>
    <definedName name="gibran" hidden="1">{#N/A,#N/A,FALSE,"balance";#N/A,#N/A,FALSE,"PYG"}</definedName>
    <definedName name="gibranguerrero" localSheetId="15" hidden="1">{#N/A,#N/A,FALSE,"balance";#N/A,#N/A,FALSE,"PYG"}</definedName>
    <definedName name="gibranguerrero" localSheetId="14" hidden="1">{#N/A,#N/A,FALSE,"balance";#N/A,#N/A,FALSE,"PYG"}</definedName>
    <definedName name="gibranguerrero" hidden="1">{#N/A,#N/A,FALSE,"balance";#N/A,#N/A,FALSE,"PYG"}</definedName>
    <definedName name="Gráfico2" localSheetId="15" hidden="1">{#N/A,#N/A,FALSE,"GP";#N/A,#N/A,FALSE,"Summary"}</definedName>
    <definedName name="Gráfico2" localSheetId="14" hidden="1">{#N/A,#N/A,FALSE,"GP";#N/A,#N/A,FALSE,"Summary"}</definedName>
    <definedName name="Gráfico2" hidden="1">{#N/A,#N/A,FALSE,"GP";#N/A,#N/A,FALSE,"Summary"}</definedName>
    <definedName name="gyfdyg" localSheetId="15" hidden="1">{#N/A,#N/A,FALSE,"balance";#N/A,#N/A,FALSE,"PYG"}</definedName>
    <definedName name="gyfdyg" localSheetId="14" hidden="1">{#N/A,#N/A,FALSE,"balance";#N/A,#N/A,FALSE,"PYG"}</definedName>
    <definedName name="gyfdyg" hidden="1">{#N/A,#N/A,FALSE,"balance";#N/A,#N/A,FALSE,"PYG"}</definedName>
    <definedName name="H" localSheetId="15" hidden="1">{"PYGS",#N/A,FALSE,"PYG";"ACTIS",#N/A,FALSE,"BCE_GRAL-ACTIVO";"PASIS",#N/A,FALSE,"BCE_GRAL-PASIVO-PATRIM";"CAJAS",#N/A,FALSE,"CAJA"}</definedName>
    <definedName name="H" localSheetId="14" hidden="1">{"PYGS",#N/A,FALSE,"PYG";"ACTIS",#N/A,FALSE,"BCE_GRAL-ACTIVO";"PASIS",#N/A,FALSE,"BCE_GRAL-PASIVO-PATRIM";"CAJAS",#N/A,FALSE,"CAJA"}</definedName>
    <definedName name="H" hidden="1">{"PYGS",#N/A,FALSE,"PYG";"ACTIS",#N/A,FALSE,"BCE_GRAL-ACTIVO";"PASIS",#N/A,FALSE,"BCE_GRAL-PASIVO-PATRIM";"CAJAS",#N/A,FALSE,"CAJA"}</definedName>
    <definedName name="hcc" localSheetId="15" hidden="1">{#N/A,#N/A,FALSE,"balance";#N/A,#N/A,FALSE,"PYG"}</definedName>
    <definedName name="hcc" localSheetId="14" hidden="1">{#N/A,#N/A,FALSE,"balance";#N/A,#N/A,FALSE,"PYG"}</definedName>
    <definedName name="hcc" hidden="1">{#N/A,#N/A,FALSE,"balance";#N/A,#N/A,FALSE,"PYG"}</definedName>
    <definedName name="HG" localSheetId="15" hidden="1">{#N/A,#N/A,FALSE,"Aging Summary";#N/A,#N/A,FALSE,"Ratio Analysis";#N/A,#N/A,FALSE,"Test 120 Day Accts";#N/A,#N/A,FALSE,"Tickmarks"}</definedName>
    <definedName name="HG" localSheetId="14" hidden="1">{#N/A,#N/A,FALSE,"Aging Summary";#N/A,#N/A,FALSE,"Ratio Analysis";#N/A,#N/A,FALSE,"Test 120 Day Accts";#N/A,#N/A,FALSE,"Tickmarks"}</definedName>
    <definedName name="HG" hidden="1">{#N/A,#N/A,FALSE,"Aging Summary";#N/A,#N/A,FALSE,"Ratio Analysis";#N/A,#N/A,FALSE,"Test 120 Day Accts";#N/A,#N/A,FALSE,"Tickmarks"}</definedName>
    <definedName name="hhhhhh" localSheetId="15" hidden="1">{"PYGT",#N/A,FALSE,"PYG";"ACTIT",#N/A,FALSE,"BCE_GRAL-ACTIVO";"PASIT",#N/A,FALSE,"BCE_GRAL-PASIVO-PATRIM";"CAJAT",#N/A,FALSE,"CAJA"}</definedName>
    <definedName name="hhhhhh" localSheetId="14" hidden="1">{"PYGT",#N/A,FALSE,"PYG";"ACTIT",#N/A,FALSE,"BCE_GRAL-ACTIVO";"PASIT",#N/A,FALSE,"BCE_GRAL-PASIVO-PATRIM";"CAJAT",#N/A,FALSE,"CAJA"}</definedName>
    <definedName name="hhhhhh" hidden="1">{"PYGT",#N/A,FALSE,"PYG";"ACTIT",#N/A,FALSE,"BCE_GRAL-ACTIVO";"PASIT",#N/A,FALSE,"BCE_GRAL-PASIVO-PATRIM";"CAJAT",#N/A,FALSE,"CAJA"}</definedName>
    <definedName name="hhhhhhhhhhh" localSheetId="15" hidden="1">{"PYGS",#N/A,FALSE,"PYG";"ACTIS",#N/A,FALSE,"BCE_GRAL-ACTIVO";"PASIS",#N/A,FALSE,"BCE_GRAL-PASIVO-PATRIM";"CAJAS",#N/A,FALSE,"CAJA"}</definedName>
    <definedName name="hhhhhhhhhhh" localSheetId="14" hidden="1">{"PYGS",#N/A,FALSE,"PYG";"ACTIS",#N/A,FALSE,"BCE_GRAL-ACTIVO";"PASIS",#N/A,FALSE,"BCE_GRAL-PASIVO-PATRIM";"CAJAS",#N/A,FALSE,"CAJA"}</definedName>
    <definedName name="hhhhhhhhhhh" hidden="1">{"PYGS",#N/A,FALSE,"PYG";"ACTIS",#N/A,FALSE,"BCE_GRAL-ACTIVO";"PASIS",#N/A,FALSE,"BCE_GRAL-PASIVO-PATRIM";"CAJAS",#N/A,FALSE,"CAJA"}</definedName>
    <definedName name="hhhhhhhhhhhh" localSheetId="15" hidden="1">{"PYGT",#N/A,FALSE,"PYG";"ACTIT",#N/A,FALSE,"BCE_GRAL-ACTIVO";"PASIT",#N/A,FALSE,"BCE_GRAL-PASIVO-PATRIM";"CAJAT",#N/A,FALSE,"CAJA"}</definedName>
    <definedName name="hhhhhhhhhhhh" localSheetId="14" hidden="1">{"PYGT",#N/A,FALSE,"PYG";"ACTIT",#N/A,FALSE,"BCE_GRAL-ACTIVO";"PASIT",#N/A,FALSE,"BCE_GRAL-PASIVO-PATRIM";"CAJAT",#N/A,FALSE,"CAJA"}</definedName>
    <definedName name="hhhhhhhhhhhh" hidden="1">{"PYGT",#N/A,FALSE,"PYG";"ACTIT",#N/A,FALSE,"BCE_GRAL-ACTIVO";"PASIT",#N/A,FALSE,"BCE_GRAL-PASIVO-PATRIM";"CAJAT",#N/A,FALSE,"CAJA"}</definedName>
    <definedName name="hhjhhh" localSheetId="15" hidden="1">{#N/A,#N/A,TRUE,"TAPA ";"INDICE_CLP",#N/A,TRUE,"Indice";#N/A,#N/A,TRUE,"Cond";#N/A,#N/A,TRUE,"Bce_hold";#N/A,#N/A,TRUE,"eerr_hold";#N/A,#N/A,TRUE,"eerr_prod";#N/A,#N/A,TRUE,"eerr_tipogtos";#N/A,#N/A,TRUE,"Flujo";#N/A,#N/A,TRUE,"Var_Ebit";#N/A,#N/A,TRUE,"Noa";#N/A,#N/A,TRUE,"Var_Noa"}</definedName>
    <definedName name="hhjhhh" localSheetId="14" hidden="1">{#N/A,#N/A,TRUE,"TAPA ";"INDICE_CLP",#N/A,TRUE,"Indice";#N/A,#N/A,TRUE,"Cond";#N/A,#N/A,TRUE,"Bce_hold";#N/A,#N/A,TRUE,"eerr_hold";#N/A,#N/A,TRUE,"eerr_prod";#N/A,#N/A,TRUE,"eerr_tipogtos";#N/A,#N/A,TRUE,"Flujo";#N/A,#N/A,TRUE,"Var_Ebit";#N/A,#N/A,TRUE,"Noa";#N/A,#N/A,TRUE,"Var_Noa"}</definedName>
    <definedName name="hhjhhh" hidden="1">{#N/A,#N/A,TRUE,"TAPA ";"INDICE_CLP",#N/A,TRUE,"Indice";#N/A,#N/A,TRUE,"Cond";#N/A,#N/A,TRUE,"Bce_hold";#N/A,#N/A,TRUE,"eerr_hold";#N/A,#N/A,TRUE,"eerr_prod";#N/A,#N/A,TRUE,"eerr_tipogtos";#N/A,#N/A,TRUE,"Flujo";#N/A,#N/A,TRUE,"Var_Ebit";#N/A,#N/A,TRUE,"Noa";#N/A,#N/A,TRUE,"Var_Noa"}</definedName>
    <definedName name="hjdfhshsh" localSheetId="15" hidden="1">{"INDICE_USD",#N/A,FALSE,"Indice";#N/A,#N/A,FALSE,"Condusd";#N/A,#N/A,FALSE,"Bce_holdusd";#N/A,#N/A,FALSE,"eerr_holdusd";#N/A,#N/A,FALSE,"eerr_produsd";#N/A,#N/A,FALSE,"eerr_tipogtosusd";#N/A,#N/A,FALSE,"Flujousd";#N/A,#N/A,FALSE,"Var_Ebitusd";#N/A,#N/A,FALSE,"Noausd";#N/A,#N/A,FALSE,"Var_Noausd"}</definedName>
    <definedName name="hjdfhshsh" localSheetId="14" hidden="1">{"INDICE_USD",#N/A,FALSE,"Indice";#N/A,#N/A,FALSE,"Condusd";#N/A,#N/A,FALSE,"Bce_holdusd";#N/A,#N/A,FALSE,"eerr_holdusd";#N/A,#N/A,FALSE,"eerr_produsd";#N/A,#N/A,FALSE,"eerr_tipogtosusd";#N/A,#N/A,FALSE,"Flujousd";#N/A,#N/A,FALSE,"Var_Ebitusd";#N/A,#N/A,FALSE,"Noausd";#N/A,#N/A,FALSE,"Var_Noausd"}</definedName>
    <definedName name="hjdfhshsh" hidden="1">{"INDICE_USD",#N/A,FALSE,"Indice";#N/A,#N/A,FALSE,"Condusd";#N/A,#N/A,FALSE,"Bce_holdusd";#N/A,#N/A,FALSE,"eerr_holdusd";#N/A,#N/A,FALSE,"eerr_produsd";#N/A,#N/A,FALSE,"eerr_tipogtosusd";#N/A,#N/A,FALSE,"Flujousd";#N/A,#N/A,FALSE,"Var_Ebitusd";#N/A,#N/A,FALSE,"Noausd";#N/A,#N/A,FALSE,"Var_Noausd"}</definedName>
    <definedName name="hjj" localSheetId="15" hidden="1">{"INDICE_USD",#N/A,FALSE,"Indice";#N/A,#N/A,FALSE,"Condusd";#N/A,#N/A,FALSE,"Bce_holdusd";#N/A,#N/A,FALSE,"eerr_holdusd";#N/A,#N/A,FALSE,"eerr_produsd";#N/A,#N/A,FALSE,"eerr_tipogtosusd";#N/A,#N/A,FALSE,"Flujousd";#N/A,#N/A,FALSE,"Var_Ebitusd";#N/A,#N/A,FALSE,"Noausd";#N/A,#N/A,FALSE,"Var_Noausd"}</definedName>
    <definedName name="hjj" localSheetId="14" hidden="1">{"INDICE_USD",#N/A,FALSE,"Indice";#N/A,#N/A,FALSE,"Condusd";#N/A,#N/A,FALSE,"Bce_holdusd";#N/A,#N/A,FALSE,"eerr_holdusd";#N/A,#N/A,FALSE,"eerr_produsd";#N/A,#N/A,FALSE,"eerr_tipogtosusd";#N/A,#N/A,FALSE,"Flujousd";#N/A,#N/A,FALSE,"Var_Ebitusd";#N/A,#N/A,FALSE,"Noausd";#N/A,#N/A,FALSE,"Var_Noausd"}</definedName>
    <definedName name="hjj" hidden="1">{"INDICE_USD",#N/A,FALSE,"Indice";#N/A,#N/A,FALSE,"Condusd";#N/A,#N/A,FALSE,"Bce_holdusd";#N/A,#N/A,FALSE,"eerr_holdusd";#N/A,#N/A,FALSE,"eerr_produsd";#N/A,#N/A,FALSE,"eerr_tipogtosusd";#N/A,#N/A,FALSE,"Flujousd";#N/A,#N/A,FALSE,"Var_Ebitusd";#N/A,#N/A,FALSE,"Noausd";#N/A,#N/A,FALSE,"Var_Noausd"}</definedName>
    <definedName name="hn.ExtDb" hidden="1">FALSE</definedName>
    <definedName name="hn.ModelType" hidden="1">"DEAL"</definedName>
    <definedName name="hn.ModelVersion" hidden="1">1</definedName>
    <definedName name="hn.NoUpload" hidden="1">0</definedName>
    <definedName name="hoja" localSheetId="15" hidden="1">[1]Assumptions!#REF!</definedName>
    <definedName name="hoja" localSheetId="14" hidden="1">[1]Assumptions!#REF!</definedName>
    <definedName name="hoja" hidden="1">[1]Assumptions!#REF!</definedName>
    <definedName name="HTML_CodePage" hidden="1">1252</definedName>
    <definedName name="HTML_Control" localSheetId="15" hidden="1">{"'S. C. B.'!$E$207"}</definedName>
    <definedName name="HTML_Control" localSheetId="14" hidden="1">{"'S. C. B.'!$E$207"}</definedName>
    <definedName name="HTML_Control" hidden="1">{"'S. C. B.'!$E$207"}</definedName>
    <definedName name="HTML_Description" hidden="1">""</definedName>
    <definedName name="HTML_Email" hidden="1">""</definedName>
    <definedName name="HTML_Header" hidden="1">"S. C. B."</definedName>
    <definedName name="HTML_LastUpdate" hidden="1">"20/6/00"</definedName>
    <definedName name="HTML_LineAfter" hidden="1">FALSE</definedName>
    <definedName name="HTML_LineBefore" hidden="1">FALSE</definedName>
    <definedName name="HTML_Name" hidden="1">"Nery Tuirán"</definedName>
    <definedName name="HTML_OBDlg2" hidden="1">TRUE</definedName>
    <definedName name="HTML_OBDlg4" hidden="1">TRUE</definedName>
    <definedName name="HTML_OS" hidden="1">0</definedName>
    <definedName name="HTML_PathFile" hidden="1">"A:\HTML.htm"</definedName>
    <definedName name="HTML_Title" hidden="1">"FIRMAS COMISIONISTAS"</definedName>
    <definedName name="iiiiiiiiiiiiii" localSheetId="15" hidden="1">{"PYGT",#N/A,FALSE,"PYG";"ACTIT",#N/A,FALSE,"BCE_GRAL-ACTIVO";"PASIT",#N/A,FALSE,"BCE_GRAL-PASIVO-PATRIM";"CAJAT",#N/A,FALSE,"CAJA"}</definedName>
    <definedName name="iiiiiiiiiiiiii" localSheetId="14" hidden="1">{"PYGT",#N/A,FALSE,"PYG";"ACTIT",#N/A,FALSE,"BCE_GRAL-ACTIVO";"PASIT",#N/A,FALSE,"BCE_GRAL-PASIVO-PATRIM";"CAJAT",#N/A,FALSE,"CAJA"}</definedName>
    <definedName name="iiiiiiiiiiiiii" hidden="1">{"PYGT",#N/A,FALSE,"PYG";"ACTIT",#N/A,FALSE,"BCE_GRAL-ACTIVO";"PASIT",#N/A,FALSE,"BCE_GRAL-PASIVO-PATRIM";"CAJAT",#N/A,FALSE,"CAJA"}</definedName>
    <definedName name="ij" localSheetId="15" hidden="1">{#N/A,#N/A,FALSE,"Aging Summary";#N/A,#N/A,FALSE,"Ratio Analysis";#N/A,#N/A,FALSE,"Test 120 Day Accts";#N/A,#N/A,FALSE,"Tickmarks"}</definedName>
    <definedName name="ij" localSheetId="14" hidden="1">{#N/A,#N/A,FALSE,"Aging Summary";#N/A,#N/A,FALSE,"Ratio Analysis";#N/A,#N/A,FALSE,"Test 120 Day Accts";#N/A,#N/A,FALSE,"Tickmarks"}</definedName>
    <definedName name="ij" hidden="1">{#N/A,#N/A,FALSE,"Aging Summary";#N/A,#N/A,FALSE,"Ratio Analysis";#N/A,#N/A,FALSE,"Test 120 Day Accts";#N/A,#N/A,FALSE,"Tickmarks"}</definedName>
    <definedName name="InícioDeSemana">#REF!</definedName>
    <definedName name="inven" localSheetId="15" hidden="1">{#N/A,#N/A,FALSE,"balance";#N/A,#N/A,FALSE,"PYG"}</definedName>
    <definedName name="inven" localSheetId="14" hidden="1">{#N/A,#N/A,FALSE,"balance";#N/A,#N/A,FALSE,"PYG"}</definedName>
    <definedName name="inven" hidden="1">{#N/A,#N/A,FALSE,"balance";#N/A,#N/A,FALSE,"PYG"}</definedName>
    <definedName name="Inven2" localSheetId="15" hidden="1">{#N/A,#N/A,FALSE,"balance";#N/A,#N/A,FALSE,"PYG"}</definedName>
    <definedName name="Inven2" localSheetId="14" hidden="1">{#N/A,#N/A,FALSE,"balance";#N/A,#N/A,FALSE,"PYG"}</definedName>
    <definedName name="Inven2" hidden="1">{#N/A,#N/A,FALSE,"balance";#N/A,#N/A,FALSE,"PYG"}</definedName>
    <definedName name="IsColHidden" hidden="1">FALSE</definedName>
    <definedName name="IsLTMColHidden" hidden="1">FALSE</definedName>
    <definedName name="JE" localSheetId="15" hidden="1">{"'S. C. B.'!$E$207"}</definedName>
    <definedName name="JE" localSheetId="14" hidden="1">{"'S. C. B.'!$E$207"}</definedName>
    <definedName name="JE" hidden="1">{"'S. C. B.'!$E$207"}</definedName>
    <definedName name="jhjj" localSheetId="15" hidden="1">{"'S. C. B.'!$E$207"}</definedName>
    <definedName name="jhjj" localSheetId="14" hidden="1">{"'S. C. B.'!$E$207"}</definedName>
    <definedName name="jhjj" hidden="1">{"'S. C. B.'!$E$207"}</definedName>
    <definedName name="JJAJAJJ" localSheetId="15" hidden="1">{"'S. C. B.'!$E$207"}</definedName>
    <definedName name="JJAJAJJ" localSheetId="14" hidden="1">{"'S. C. B.'!$E$207"}</definedName>
    <definedName name="JJAJAJJ" hidden="1">{"'S. C. B.'!$E$207"}</definedName>
    <definedName name="juan" localSheetId="15" hidden="1">{#N/A,#N/A,FALSE,"balance";#N/A,#N/A,FALSE,"PYG"}</definedName>
    <definedName name="juan" localSheetId="14" hidden="1">{#N/A,#N/A,FALSE,"balance";#N/A,#N/A,FALSE,"PYG"}</definedName>
    <definedName name="juan" hidden="1">{#N/A,#N/A,FALSE,"balance";#N/A,#N/A,FALSE,"PYG"}</definedName>
    <definedName name="JULIO" localSheetId="15" hidden="1">{"'S. C. B.'!$E$207"}</definedName>
    <definedName name="JULIO" localSheetId="14" hidden="1">{"'S. C. B.'!$E$207"}</definedName>
    <definedName name="JULIO" hidden="1">{"'S. C. B.'!$E$207"}</definedName>
    <definedName name="JUNIO" localSheetId="15" hidden="1">{"'S. C. B.'!$E$207"}</definedName>
    <definedName name="JUNIO" localSheetId="14" hidden="1">{"'S. C. B.'!$E$207"}</definedName>
    <definedName name="JUNIO" hidden="1">{"'S. C. B.'!$E$207"}</definedName>
    <definedName name="JV" localSheetId="15" hidden="1">{"'S. C. B.'!$E$207"}</definedName>
    <definedName name="JV" localSheetId="14" hidden="1">{"'S. C. B.'!$E$207"}</definedName>
    <definedName name="JV" hidden="1">{"'S. C. B.'!$E$207"}</definedName>
    <definedName name="K" localSheetId="15" hidden="1">{"PYGT",#N/A,FALSE,"PYG";"ACTIT",#N/A,FALSE,"BCE_GRAL-ACTIVO";"PASIT",#N/A,FALSE,"BCE_GRAL-PASIVO-PATRIM";"CAJAT",#N/A,FALSE,"CAJA"}</definedName>
    <definedName name="K" localSheetId="14" hidden="1">{"PYGT",#N/A,FALSE,"PYG";"ACTIT",#N/A,FALSE,"BCE_GRAL-ACTIVO";"PASIT",#N/A,FALSE,"BCE_GRAL-PASIVO-PATRIM";"CAJAT",#N/A,FALSE,"CAJA"}</definedName>
    <definedName name="K" hidden="1">{"PYGT",#N/A,FALSE,"PYG";"ACTIT",#N/A,FALSE,"BCE_GRAL-ACTIVO";"PASIT",#N/A,FALSE,"BCE_GRAL-PASIVO-PATRIM";"CAJAT",#N/A,FALSE,"CAJA"}</definedName>
    <definedName name="KJ" localSheetId="15" hidden="1">{#N/A,#N/A,FALSE,"Aging Summary";#N/A,#N/A,FALSE,"Ratio Analysis";#N/A,#N/A,FALSE,"Test 120 Day Accts";#N/A,#N/A,FALSE,"Tickmarks"}</definedName>
    <definedName name="KJ" localSheetId="14" hidden="1">{#N/A,#N/A,FALSE,"Aging Summary";#N/A,#N/A,FALSE,"Ratio Analysis";#N/A,#N/A,FALSE,"Test 120 Day Accts";#N/A,#N/A,FALSE,"Tickmarks"}</definedName>
    <definedName name="KJ" hidden="1">{#N/A,#N/A,FALSE,"Aging Summary";#N/A,#N/A,FALSE,"Ratio Analysis";#N/A,#N/A,FALSE,"Test 120 Day Accts";#N/A,#N/A,FALSE,"Tickmarks"}</definedName>
    <definedName name="KK" localSheetId="15" hidden="1">{#N/A,#N/A,FALSE,"Aging Summary";#N/A,#N/A,FALSE,"Ratio Analysis";#N/A,#N/A,FALSE,"Test 120 Day Accts";#N/A,#N/A,FALSE,"Tickmarks"}</definedName>
    <definedName name="KK" localSheetId="14" hidden="1">{#N/A,#N/A,FALSE,"Aging Summary";#N/A,#N/A,FALSE,"Ratio Analysis";#N/A,#N/A,FALSE,"Test 120 Day Accts";#N/A,#N/A,FALSE,"Tickmarks"}</definedName>
    <definedName name="KK" hidden="1">{#N/A,#N/A,FALSE,"Aging Summary";#N/A,#N/A,FALSE,"Ratio Analysis";#N/A,#N/A,FALSE,"Test 120 Day Accts";#N/A,#N/A,FALSE,"Tickmarks"}</definedName>
    <definedName name="kkkkkkkkkkkkkkk" localSheetId="15" hidden="1">{"PYGT",#N/A,FALSE,"PYG";"ACTIT",#N/A,FALSE,"BCE_GRAL-ACTIVO";"PASIT",#N/A,FALSE,"BCE_GRAL-PASIVO-PATRIM";"CAJAT",#N/A,FALSE,"CAJA"}</definedName>
    <definedName name="kkkkkkkkkkkkkkk" localSheetId="14" hidden="1">{"PYGT",#N/A,FALSE,"PYG";"ACTIT",#N/A,FALSE,"BCE_GRAL-ACTIVO";"PASIT",#N/A,FALSE,"BCE_GRAL-PASIVO-PATRIM";"CAJAT",#N/A,FALSE,"CAJA"}</definedName>
    <definedName name="kkkkkkkkkkkkkkk" hidden="1">{"PYGT",#N/A,FALSE,"PYG";"ACTIT",#N/A,FALSE,"BCE_GRAL-ACTIVO";"PASIT",#N/A,FALSE,"BCE_GRAL-PASIVO-PATRIM";"CAJAT",#N/A,FALSE,"CAJA"}</definedName>
    <definedName name="kwhtot" localSheetId="15" hidden="1">{"KWHTONTOTAL",#N/A,FALSE,"KWHTON"}</definedName>
    <definedName name="kwhtot" localSheetId="14" hidden="1">{"KWHTONTOTAL",#N/A,FALSE,"KWHTON"}</definedName>
    <definedName name="kwhtot" hidden="1">{"KWHTONTOTAL",#N/A,FALSE,"KWHTON"}</definedName>
    <definedName name="laslala" localSheetId="15" hidden="1">{#N/A,#N/A,TRUE,"Cond";#N/A,#N/A,TRUE,"Bce_hold";#N/A,#N/A,TRUE,"eerr_hold";#N/A,#N/A,TRUE,"eerr_prod";#N/A,#N/A,TRUE,"eerr_tipogtos";#N/A,#N/A,TRUE,"Flujo";#N/A,#N/A,TRUE,"Var_Ebit";#N/A,#N/A,TRUE,"Noa";#N/A,#N/A,TRUE,"Var_Noa"}</definedName>
    <definedName name="laslala" localSheetId="14" hidden="1">{#N/A,#N/A,TRUE,"Cond";#N/A,#N/A,TRUE,"Bce_hold";#N/A,#N/A,TRUE,"eerr_hold";#N/A,#N/A,TRUE,"eerr_prod";#N/A,#N/A,TRUE,"eerr_tipogtos";#N/A,#N/A,TRUE,"Flujo";#N/A,#N/A,TRUE,"Var_Ebit";#N/A,#N/A,TRUE,"Noa";#N/A,#N/A,TRUE,"Var_Noa"}</definedName>
    <definedName name="laslala" hidden="1">{#N/A,#N/A,TRUE,"Cond";#N/A,#N/A,TRUE,"Bce_hold";#N/A,#N/A,TRUE,"eerr_hold";#N/A,#N/A,TRUE,"eerr_prod";#N/A,#N/A,TRUE,"eerr_tipogtos";#N/A,#N/A,TRUE,"Flujo";#N/A,#N/A,TRUE,"Var_Ebit";#N/A,#N/A,TRUE,"Noa";#N/A,#N/A,TRUE,"Var_Noa"}</definedName>
    <definedName name="LDC" localSheetId="15" hidden="1">{#N/A,#N/A,FALSE,"Aging Summary";#N/A,#N/A,FALSE,"Ratio Analysis";#N/A,#N/A,FALSE,"Test 120 Day Accts";#N/A,#N/A,FALSE,"Tickmarks"}</definedName>
    <definedName name="LDC" localSheetId="14" hidden="1">{#N/A,#N/A,FALSE,"Aging Summary";#N/A,#N/A,FALSE,"Ratio Analysis";#N/A,#N/A,FALSE,"Test 120 Day Accts";#N/A,#N/A,FALSE,"Tickmarks"}</definedName>
    <definedName name="LDC" hidden="1">{#N/A,#N/A,FALSE,"Aging Summary";#N/A,#N/A,FALSE,"Ratio Analysis";#N/A,#N/A,FALSE,"Test 120 Day Accts";#N/A,#N/A,FALSE,"Tickmarks"}</definedName>
    <definedName name="Lista1">[4]ERI!$A$2:$A$4</definedName>
    <definedName name="ListOffset" hidden="1">1</definedName>
    <definedName name="LJ" localSheetId="15" hidden="1">{"'S. C. B.'!$E$207"}</definedName>
    <definedName name="LJ" localSheetId="14" hidden="1">{"'S. C. B.'!$E$207"}</definedName>
    <definedName name="LJ" hidden="1">{"'S. C. B.'!$E$207"}</definedName>
    <definedName name="ll" localSheetId="15" hidden="1">{#N/A,#N/A,FALSE,"Aging Summary";#N/A,#N/A,FALSE,"Ratio Analysis";#N/A,#N/A,FALSE,"Test 120 Day Accts";#N/A,#N/A,FALSE,"Tickmarks"}</definedName>
    <definedName name="ll" localSheetId="14" hidden="1">{#N/A,#N/A,FALSE,"Aging Summary";#N/A,#N/A,FALSE,"Ratio Analysis";#N/A,#N/A,FALSE,"Test 120 Day Accts";#N/A,#N/A,FALSE,"Tickmarks"}</definedName>
    <definedName name="ll" hidden="1">{#N/A,#N/A,FALSE,"Aging Summary";#N/A,#N/A,FALSE,"Ratio Analysis";#N/A,#N/A,FALSE,"Test 120 Day Accts";#N/A,#N/A,FALSE,"Tickmarks"}</definedName>
    <definedName name="LM" localSheetId="15" hidden="1">{#N/A,#N/A,FALSE,"Aging Summary";#N/A,#N/A,FALSE,"Ratio Analysis";#N/A,#N/A,FALSE,"Test 120 Day Accts";#N/A,#N/A,FALSE,"Tickmarks"}</definedName>
    <definedName name="LM" localSheetId="14" hidden="1">{#N/A,#N/A,FALSE,"Aging Summary";#N/A,#N/A,FALSE,"Ratio Analysis";#N/A,#N/A,FALSE,"Test 120 Day Accts";#N/A,#N/A,FALSE,"Tickmarks"}</definedName>
    <definedName name="LM" hidden="1">{#N/A,#N/A,FALSE,"Aging Summary";#N/A,#N/A,FALSE,"Ratio Analysis";#N/A,#N/A,FALSE,"Test 120 Day Accts";#N/A,#N/A,FALSE,"Tickmarks"}</definedName>
    <definedName name="LOGISTICA" localSheetId="15" hidden="1">{"'S. C. B.'!$E$207"}</definedName>
    <definedName name="LOGISTICA" localSheetId="14" hidden="1">{"'S. C. B.'!$E$207"}</definedName>
    <definedName name="LOGISTICA" hidden="1">{"'S. C. B.'!$E$207"}</definedName>
    <definedName name="Luz" localSheetId="15" hidden="1">{#N/A,#N/A,FALSE,"balance";#N/A,#N/A,FALSE,"PYG"}</definedName>
    <definedName name="Luz" localSheetId="14" hidden="1">{#N/A,#N/A,FALSE,"balance";#N/A,#N/A,FALSE,"PYG"}</definedName>
    <definedName name="Luz" hidden="1">{#N/A,#N/A,FALSE,"balance";#N/A,#N/A,FALSE,"PYG"}</definedName>
    <definedName name="mario" localSheetId="15" hidden="1">{#N/A,#N/A,FALSE,"Aging Summary";#N/A,#N/A,FALSE,"Ratio Analysis";#N/A,#N/A,FALSE,"Test 120 Day Accts";#N/A,#N/A,FALSE,"Tickmarks"}</definedName>
    <definedName name="mario" localSheetId="14" hidden="1">{#N/A,#N/A,FALSE,"Aging Summary";#N/A,#N/A,FALSE,"Ratio Analysis";#N/A,#N/A,FALSE,"Test 120 Day Accts";#N/A,#N/A,FALSE,"Tickmarks"}</definedName>
    <definedName name="mario" hidden="1">{#N/A,#N/A,FALSE,"Aging Summary";#N/A,#N/A,FALSE,"Ratio Analysis";#N/A,#N/A,FALSE,"Test 120 Day Accts";#N/A,#N/A,FALSE,"Tickmarks"}</definedName>
    <definedName name="MarkP" localSheetId="15" hidden="1">{#N/A,#N/A,FALSE,"GRAFICO";#N/A,#N/A,FALSE,"CAJA (2)";#N/A,#N/A,FALSE,"TERCEROS-PROMEDIO";#N/A,#N/A,FALSE,"CAJA";#N/A,#N/A,FALSE,"INGRESOS1995-2003";#N/A,#N/A,FALSE,"GASTOS1995-2003"}</definedName>
    <definedName name="MarkP" localSheetId="14"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IOJAKDJKA" localSheetId="15" hidden="1">{"'S. C. B.'!$E$207"}</definedName>
    <definedName name="MIOJAKDJKA" localSheetId="14" hidden="1">{"'S. C. B.'!$E$207"}</definedName>
    <definedName name="MIOJAKDJKA" hidden="1">{"'S. C. B.'!$E$207"}</definedName>
    <definedName name="MMMM" localSheetId="15" hidden="1">{#N/A,#N/A,FALSE,"GRAFICO";#N/A,#N/A,FALSE,"CAJA (2)";#N/A,#N/A,FALSE,"TERCEROS-PROMEDIO";#N/A,#N/A,FALSE,"CAJA";#N/A,#N/A,FALSE,"INGRESOS1995-2003";#N/A,#N/A,FALSE,"GASTOS1995-2003"}</definedName>
    <definedName name="MMMM" localSheetId="14" hidden="1">{#N/A,#N/A,FALSE,"GRAFICO";#N/A,#N/A,FALSE,"CAJA (2)";#N/A,#N/A,FALSE,"TERCEROS-PROMEDIO";#N/A,#N/A,FALSE,"CAJA";#N/A,#N/A,FALSE,"INGRESOS1995-2003";#N/A,#N/A,FALSE,"GASTOS1995-2003"}</definedName>
    <definedName name="MMMM" hidden="1">{#N/A,#N/A,FALSE,"GRAFICO";#N/A,#N/A,FALSE,"CAJA (2)";#N/A,#N/A,FALSE,"TERCEROS-PROMEDIO";#N/A,#N/A,FALSE,"CAJA";#N/A,#N/A,FALSE,"INGRESOS1995-2003";#N/A,#N/A,FALSE,"GASTOS1995-2003"}</definedName>
    <definedName name="MMMMM" localSheetId="15" hidden="1">{"PYGT",#N/A,FALSE,"PYG";"ACTIT",#N/A,FALSE,"BCE_GRAL-ACTIVO";"PASIT",#N/A,FALSE,"BCE_GRAL-PASIVO-PATRIM";"CAJAT",#N/A,FALSE,"CAJA"}</definedName>
    <definedName name="MMMMM" localSheetId="14" hidden="1">{"PYGT",#N/A,FALSE,"PYG";"ACTIT",#N/A,FALSE,"BCE_GRAL-ACTIVO";"PASIT",#N/A,FALSE,"BCE_GRAL-PASIVO-PATRIM";"CAJAT",#N/A,FALSE,"CAJA"}</definedName>
    <definedName name="MMMMM" hidden="1">{"PYGT",#N/A,FALSE,"PYG";"ACTIT",#N/A,FALSE,"BCE_GRAL-ACTIVO";"PASIT",#N/A,FALSE,"BCE_GRAL-PASIVO-PATRIM";"CAJAT",#N/A,FALSE,"CAJA"}</definedName>
    <definedName name="mmmmmmmmmm" localSheetId="15" hidden="1">{"PYGT",#N/A,FALSE,"PYG";"ACTIT",#N/A,FALSE,"BCE_GRAL-ACTIVO";"PASIT",#N/A,FALSE,"BCE_GRAL-PASIVO-PATRIM";"CAJAT",#N/A,FALSE,"CAJA"}</definedName>
    <definedName name="mmmmmmmmmm" localSheetId="14" hidden="1">{"PYGT",#N/A,FALSE,"PYG";"ACTIT",#N/A,FALSE,"BCE_GRAL-ACTIVO";"PASIT",#N/A,FALSE,"BCE_GRAL-PASIVO-PATRIM";"CAJAT",#N/A,FALSE,"CAJA"}</definedName>
    <definedName name="mmmmmmmmmm" hidden="1">{"PYGT",#N/A,FALSE,"PYG";"ACTIT",#N/A,FALSE,"BCE_GRAL-ACTIVO";"PASIT",#N/A,FALSE,"BCE_GRAL-PASIVO-PATRIM";"CAJAT",#N/A,FALSE,"CAJA"}</definedName>
    <definedName name="mmmmmmmmmmmmm" localSheetId="15" hidden="1">{#N/A,#N/A,FALSE,"GRAFICO";#N/A,#N/A,FALSE,"CAJA (2)";#N/A,#N/A,FALSE,"TERCEROS-PROMEDIO";#N/A,#N/A,FALSE,"CAJA";#N/A,#N/A,FALSE,"INGRESOS1995-2003";#N/A,#N/A,FALSE,"GASTOS1995-2003"}</definedName>
    <definedName name="mmmmmmmmmmmmm" localSheetId="14" hidden="1">{#N/A,#N/A,FALSE,"GRAFICO";#N/A,#N/A,FALSE,"CAJA (2)";#N/A,#N/A,FALSE,"TERCEROS-PROMEDIO";#N/A,#N/A,FALSE,"CAJA";#N/A,#N/A,FALSE,"INGRESOS1995-2003";#N/A,#N/A,FALSE,"GASTOS1995-2003"}</definedName>
    <definedName name="mmmmmmmmmmmmm" hidden="1">{#N/A,#N/A,FALSE,"GRAFICO";#N/A,#N/A,FALSE,"CAJA (2)";#N/A,#N/A,FALSE,"TERCEROS-PROMEDIO";#N/A,#N/A,FALSE,"CAJA";#N/A,#N/A,FALSE,"INGRESOS1995-2003";#N/A,#N/A,FALSE,"GASTOS1995-2003"}</definedName>
    <definedName name="mmzjs" localSheetId="15" hidden="1">{#N/A,#N/A,TRUE,"TAPA ";"INDICE_CLP",#N/A,TRUE,"Indice";#N/A,#N/A,TRUE,"Cond";#N/A,#N/A,TRUE,"Bce_hold";#N/A,#N/A,TRUE,"eerr_hold";#N/A,#N/A,TRUE,"eerr_prod";#N/A,#N/A,TRUE,"eerr_tipogtos";#N/A,#N/A,TRUE,"Flujo";#N/A,#N/A,TRUE,"Var_Ebit";#N/A,#N/A,TRUE,"Noa";#N/A,#N/A,TRUE,"Var_Noa"}</definedName>
    <definedName name="mmzjs" localSheetId="14" hidden="1">{#N/A,#N/A,TRUE,"TAPA ";"INDICE_CLP",#N/A,TRUE,"Indice";#N/A,#N/A,TRUE,"Cond";#N/A,#N/A,TRUE,"Bce_hold";#N/A,#N/A,TRUE,"eerr_hold";#N/A,#N/A,TRUE,"eerr_prod";#N/A,#N/A,TRUE,"eerr_tipogtos";#N/A,#N/A,TRUE,"Flujo";#N/A,#N/A,TRUE,"Var_Ebit";#N/A,#N/A,TRUE,"Noa";#N/A,#N/A,TRUE,"Var_Noa"}</definedName>
    <definedName name="mmzjs" hidden="1">{#N/A,#N/A,TRUE,"TAPA ";"INDICE_CLP",#N/A,TRUE,"Indice";#N/A,#N/A,TRUE,"Cond";#N/A,#N/A,TRUE,"Bce_hold";#N/A,#N/A,TRUE,"eerr_hold";#N/A,#N/A,TRUE,"eerr_prod";#N/A,#N/A,TRUE,"eerr_tipogtos";#N/A,#N/A,TRUE,"Flujo";#N/A,#N/A,TRUE,"Var_Ebit";#N/A,#N/A,TRUE,"Noa";#N/A,#N/A,TRUE,"Var_Noa"}</definedName>
    <definedName name="MN" localSheetId="15" hidden="1">{#N/A,#N/A,FALSE,"Aging Summary";#N/A,#N/A,FALSE,"Ratio Analysis";#N/A,#N/A,FALSE,"Test 120 Day Accts";#N/A,#N/A,FALSE,"Tickmarks"}</definedName>
    <definedName name="MN" localSheetId="14" hidden="1">{#N/A,#N/A,FALSE,"Aging Summary";#N/A,#N/A,FALSE,"Ratio Analysis";#N/A,#N/A,FALSE,"Test 120 Day Accts";#N/A,#N/A,FALSE,"Tickmarks"}</definedName>
    <definedName name="MN" hidden="1">{#N/A,#N/A,FALSE,"Aging Summary";#N/A,#N/A,FALSE,"Ratio Analysis";#N/A,#N/A,FALSE,"Test 120 Day Accts";#N/A,#N/A,FALSE,"Tickmarks"}</definedName>
    <definedName name="nada" localSheetId="15" hidden="1">{#N/A,#N/A,TRUE,"Cond";#N/A,#N/A,TRUE,"Bce_hold";#N/A,#N/A,TRUE,"eerr_hold";#N/A,#N/A,TRUE,"eerr_prod";#N/A,#N/A,TRUE,"eerr_tipogtos";#N/A,#N/A,TRUE,"Flujo";#N/A,#N/A,TRUE,"Var_Ebit";#N/A,#N/A,TRUE,"Noa";#N/A,#N/A,TRUE,"Var_Noa"}</definedName>
    <definedName name="nada" localSheetId="14" hidden="1">{#N/A,#N/A,TRUE,"Cond";#N/A,#N/A,TRUE,"Bce_hold";#N/A,#N/A,TRUE,"eerr_hold";#N/A,#N/A,TRUE,"eerr_prod";#N/A,#N/A,TRUE,"eerr_tipogtos";#N/A,#N/A,TRUE,"Flujo";#N/A,#N/A,TRUE,"Var_Ebit";#N/A,#N/A,TRUE,"Noa";#N/A,#N/A,TRUE,"Var_Noa"}</definedName>
    <definedName name="nada" hidden="1">{#N/A,#N/A,TRUE,"Cond";#N/A,#N/A,TRUE,"Bce_hold";#N/A,#N/A,TRUE,"eerr_hold";#N/A,#N/A,TRUE,"eerr_prod";#N/A,#N/A,TRUE,"eerr_tipogtos";#N/A,#N/A,TRUE,"Flujo";#N/A,#N/A,TRUE,"Var_Ebit";#N/A,#N/A,TRUE,"Noa";#N/A,#N/A,TRUE,"Var_Noa"}</definedName>
    <definedName name="nada1" localSheetId="15" hidden="1">{"INDICE_USD",#N/A,FALSE,"Indice";#N/A,#N/A,FALSE,"Condusd";#N/A,#N/A,FALSE,"Bce_holdusd";#N/A,#N/A,FALSE,"eerr_holdusd";#N/A,#N/A,FALSE,"eerr_produsd";#N/A,#N/A,FALSE,"eerr_tipogtosusd";#N/A,#N/A,FALSE,"Flujousd";#N/A,#N/A,FALSE,"Var_Ebitusd";#N/A,#N/A,FALSE,"Noausd";#N/A,#N/A,FALSE,"Var_Noausd"}</definedName>
    <definedName name="nada1" localSheetId="14" hidden="1">{"INDICE_USD",#N/A,FALSE,"Indice";#N/A,#N/A,FALSE,"Condusd";#N/A,#N/A,FALSE,"Bce_holdusd";#N/A,#N/A,FALSE,"eerr_holdusd";#N/A,#N/A,FALSE,"eerr_produsd";#N/A,#N/A,FALSE,"eerr_tipogtosusd";#N/A,#N/A,FALSE,"Flujousd";#N/A,#N/A,FALSE,"Var_Ebitusd";#N/A,#N/A,FALSE,"Noausd";#N/A,#N/A,FALSE,"Var_Noausd"}</definedName>
    <definedName name="nada1" hidden="1">{"INDICE_USD",#N/A,FALSE,"Indice";#N/A,#N/A,FALSE,"Condusd";#N/A,#N/A,FALSE,"Bce_holdusd";#N/A,#N/A,FALSE,"eerr_holdusd";#N/A,#N/A,FALSE,"eerr_produsd";#N/A,#N/A,FALSE,"eerr_tipogtosusd";#N/A,#N/A,FALSE,"Flujousd";#N/A,#N/A,FALSE,"Var_Ebitusd";#N/A,#N/A,FALSE,"Noausd";#N/A,#N/A,FALSE,"Var_Noausd"}</definedName>
    <definedName name="nada101" localSheetId="15" hidden="1">{#N/A,#N/A,TRUE,"Cond";#N/A,#N/A,TRUE,"Bce_hold";#N/A,#N/A,TRUE,"eerr_hold";#N/A,#N/A,TRUE,"eerr_prod";#N/A,#N/A,TRUE,"eerr_tipogtos";#N/A,#N/A,TRUE,"Flujo";#N/A,#N/A,TRUE,"Var_Ebit";#N/A,#N/A,TRUE,"Noa";#N/A,#N/A,TRUE,"Var_Noa"}</definedName>
    <definedName name="nada101" localSheetId="14" hidden="1">{#N/A,#N/A,TRUE,"Cond";#N/A,#N/A,TRUE,"Bce_hold";#N/A,#N/A,TRUE,"eerr_hold";#N/A,#N/A,TRUE,"eerr_prod";#N/A,#N/A,TRUE,"eerr_tipogtos";#N/A,#N/A,TRUE,"Flujo";#N/A,#N/A,TRUE,"Var_Ebit";#N/A,#N/A,TRUE,"Noa";#N/A,#N/A,TRUE,"Var_Noa"}</definedName>
    <definedName name="nada101" hidden="1">{#N/A,#N/A,TRUE,"Cond";#N/A,#N/A,TRUE,"Bce_hold";#N/A,#N/A,TRUE,"eerr_hold";#N/A,#N/A,TRUE,"eerr_prod";#N/A,#N/A,TRUE,"eerr_tipogtos";#N/A,#N/A,TRUE,"Flujo";#N/A,#N/A,TRUE,"Var_Ebit";#N/A,#N/A,TRUE,"Noa";#N/A,#N/A,TRUE,"Var_Noa"}</definedName>
    <definedName name="nada2" localSheetId="15" hidden="1">{"INDICE_USD",#N/A,FALSE,"Indice";#N/A,#N/A,FALSE,"Condusd";#N/A,#N/A,FALSE,"Bce_holdusd";#N/A,#N/A,FALSE,"eerr_holdusd";#N/A,#N/A,FALSE,"eerr_produsd";#N/A,#N/A,FALSE,"eerr_tipogtosusd";#N/A,#N/A,FALSE,"Flujousd";#N/A,#N/A,FALSE,"Var_Ebitusd";#N/A,#N/A,FALSE,"Noausd";#N/A,#N/A,FALSE,"Var_Noausd"}</definedName>
    <definedName name="nada2" localSheetId="14" hidden="1">{"INDICE_USD",#N/A,FALSE,"Indice";#N/A,#N/A,FALSE,"Condusd";#N/A,#N/A,FALSE,"Bce_holdusd";#N/A,#N/A,FALSE,"eerr_holdusd";#N/A,#N/A,FALSE,"eerr_produsd";#N/A,#N/A,FALSE,"eerr_tipogtosusd";#N/A,#N/A,FALSE,"Flujousd";#N/A,#N/A,FALSE,"Var_Ebitusd";#N/A,#N/A,FALSE,"Noausd";#N/A,#N/A,FALSE,"Var_Noausd"}</definedName>
    <definedName name="nada2" hidden="1">{"INDICE_USD",#N/A,FALSE,"Indice";#N/A,#N/A,FALSE,"Condusd";#N/A,#N/A,FALSE,"Bce_holdusd";#N/A,#N/A,FALSE,"eerr_holdusd";#N/A,#N/A,FALSE,"eerr_produsd";#N/A,#N/A,FALSE,"eerr_tipogtosusd";#N/A,#N/A,FALSE,"Flujousd";#N/A,#N/A,FALSE,"Var_Ebitusd";#N/A,#N/A,FALSE,"Noausd";#N/A,#N/A,FALSE,"Var_Noausd"}</definedName>
    <definedName name="nada223" localSheetId="15" hidden="1">{"INDICE_USD",#N/A,FALSE,"Indice";#N/A,#N/A,FALSE,"Condusd";#N/A,#N/A,FALSE,"Bce_holdusd";#N/A,#N/A,FALSE,"eerr_holdusd";#N/A,#N/A,FALSE,"eerr_produsd";#N/A,#N/A,FALSE,"eerr_tipogtosusd";#N/A,#N/A,FALSE,"Flujousd";#N/A,#N/A,FALSE,"Var_Ebitusd";#N/A,#N/A,FALSE,"Noausd";#N/A,#N/A,FALSE,"Var_Noausd"}</definedName>
    <definedName name="nada223" localSheetId="14" hidden="1">{"INDICE_USD",#N/A,FALSE,"Indice";#N/A,#N/A,FALSE,"Condusd";#N/A,#N/A,FALSE,"Bce_holdusd";#N/A,#N/A,FALSE,"eerr_holdusd";#N/A,#N/A,FALSE,"eerr_produsd";#N/A,#N/A,FALSE,"eerr_tipogtosusd";#N/A,#N/A,FALSE,"Flujousd";#N/A,#N/A,FALSE,"Var_Ebitusd";#N/A,#N/A,FALSE,"Noausd";#N/A,#N/A,FALSE,"Var_Noausd"}</definedName>
    <definedName name="nada223" hidden="1">{"INDICE_USD",#N/A,FALSE,"Indice";#N/A,#N/A,FALSE,"Condusd";#N/A,#N/A,FALSE,"Bce_holdusd";#N/A,#N/A,FALSE,"eerr_holdusd";#N/A,#N/A,FALSE,"eerr_produsd";#N/A,#N/A,FALSE,"eerr_tipogtosusd";#N/A,#N/A,FALSE,"Flujousd";#N/A,#N/A,FALSE,"Var_Ebitusd";#N/A,#N/A,FALSE,"Noausd";#N/A,#N/A,FALSE,"Var_Noausd"}</definedName>
    <definedName name="nada3" localSheetId="15" hidden="1">{#N/A,#N/A,TRUE,"Cond";#N/A,#N/A,TRUE,"Bce_hold";#N/A,#N/A,TRUE,"eerr_hold";#N/A,#N/A,TRUE,"eerr_prod";#N/A,#N/A,TRUE,"eerr_tipogtos";#N/A,#N/A,TRUE,"Flujo";#N/A,#N/A,TRUE,"Var_Ebit";#N/A,#N/A,TRUE,"Noa";#N/A,#N/A,TRUE,"Var_Noa"}</definedName>
    <definedName name="nada3" localSheetId="14" hidden="1">{#N/A,#N/A,TRUE,"Cond";#N/A,#N/A,TRUE,"Bce_hold";#N/A,#N/A,TRUE,"eerr_hold";#N/A,#N/A,TRUE,"eerr_prod";#N/A,#N/A,TRUE,"eerr_tipogtos";#N/A,#N/A,TRUE,"Flujo";#N/A,#N/A,TRUE,"Var_Ebit";#N/A,#N/A,TRUE,"Noa";#N/A,#N/A,TRUE,"Var_Noa"}</definedName>
    <definedName name="nada3" hidden="1">{#N/A,#N/A,TRUE,"Cond";#N/A,#N/A,TRUE,"Bce_hold";#N/A,#N/A,TRUE,"eerr_hold";#N/A,#N/A,TRUE,"eerr_prod";#N/A,#N/A,TRUE,"eerr_tipogtos";#N/A,#N/A,TRUE,"Flujo";#N/A,#N/A,TRUE,"Var_Ebit";#N/A,#N/A,TRUE,"Noa";#N/A,#N/A,TRUE,"Var_Noa"}</definedName>
    <definedName name="nada32" localSheetId="15" hidden="1">{#N/A,#N/A,TRUE,"Cond";#N/A,#N/A,TRUE,"Bce_hold";#N/A,#N/A,TRUE,"eerr_hold";#N/A,#N/A,TRUE,"eerr_prod";#N/A,#N/A,TRUE,"eerr_tipogtos";#N/A,#N/A,TRUE,"Flujo";#N/A,#N/A,TRUE,"Var_Ebit";#N/A,#N/A,TRUE,"Noa";#N/A,#N/A,TRUE,"Var_Noa"}</definedName>
    <definedName name="nada32" localSheetId="14" hidden="1">{#N/A,#N/A,TRUE,"Cond";#N/A,#N/A,TRUE,"Bce_hold";#N/A,#N/A,TRUE,"eerr_hold";#N/A,#N/A,TRUE,"eerr_prod";#N/A,#N/A,TRUE,"eerr_tipogtos";#N/A,#N/A,TRUE,"Flujo";#N/A,#N/A,TRUE,"Var_Ebit";#N/A,#N/A,TRUE,"Noa";#N/A,#N/A,TRUE,"Var_Noa"}</definedName>
    <definedName name="nada32" hidden="1">{#N/A,#N/A,TRUE,"Cond";#N/A,#N/A,TRUE,"Bce_hold";#N/A,#N/A,TRUE,"eerr_hold";#N/A,#N/A,TRUE,"eerr_prod";#N/A,#N/A,TRUE,"eerr_tipogtos";#N/A,#N/A,TRUE,"Flujo";#N/A,#N/A,TRUE,"Var_Ebit";#N/A,#N/A,TRUE,"Noa";#N/A,#N/A,TRUE,"Var_Noa"}</definedName>
    <definedName name="nada33" localSheetId="15" hidden="1">{#N/A,#N/A,TRUE,"Cond";#N/A,#N/A,TRUE,"Bce_hold";#N/A,#N/A,TRUE,"eerr_hold";#N/A,#N/A,TRUE,"eerr_prod";#N/A,#N/A,TRUE,"eerr_tipogtos";#N/A,#N/A,TRUE,"Flujo";#N/A,#N/A,TRUE,"Var_Ebit";#N/A,#N/A,TRUE,"Noa";#N/A,#N/A,TRUE,"Var_Noa"}</definedName>
    <definedName name="nada33" localSheetId="14" hidden="1">{#N/A,#N/A,TRUE,"Cond";#N/A,#N/A,TRUE,"Bce_hold";#N/A,#N/A,TRUE,"eerr_hold";#N/A,#N/A,TRUE,"eerr_prod";#N/A,#N/A,TRUE,"eerr_tipogtos";#N/A,#N/A,TRUE,"Flujo";#N/A,#N/A,TRUE,"Var_Ebit";#N/A,#N/A,TRUE,"Noa";#N/A,#N/A,TRUE,"Var_Noa"}</definedName>
    <definedName name="nada33" hidden="1">{#N/A,#N/A,TRUE,"Cond";#N/A,#N/A,TRUE,"Bce_hold";#N/A,#N/A,TRUE,"eerr_hold";#N/A,#N/A,TRUE,"eerr_prod";#N/A,#N/A,TRUE,"eerr_tipogtos";#N/A,#N/A,TRUE,"Flujo";#N/A,#N/A,TRUE,"Var_Ebit";#N/A,#N/A,TRUE,"Noa";#N/A,#N/A,TRUE,"Var_Noa"}</definedName>
    <definedName name="nada4" localSheetId="15" hidden="1">{#N/A,#N/A,TRUE,"TAPA ";"INDICE_CLP",#N/A,TRUE,"Indice";#N/A,#N/A,TRUE,"Cond";#N/A,#N/A,TRUE,"Bce_hold";#N/A,#N/A,TRUE,"eerr_hold";#N/A,#N/A,TRUE,"eerr_prod";#N/A,#N/A,TRUE,"eerr_tipogtos";#N/A,#N/A,TRUE,"Flujo";#N/A,#N/A,TRUE,"Var_Ebit";#N/A,#N/A,TRUE,"Noa";#N/A,#N/A,TRUE,"Var_Noa"}</definedName>
    <definedName name="nada4" localSheetId="14" hidden="1">{#N/A,#N/A,TRUE,"TAPA ";"INDICE_CLP",#N/A,TRUE,"Indice";#N/A,#N/A,TRUE,"Cond";#N/A,#N/A,TRUE,"Bce_hold";#N/A,#N/A,TRUE,"eerr_hold";#N/A,#N/A,TRUE,"eerr_prod";#N/A,#N/A,TRUE,"eerr_tipogtos";#N/A,#N/A,TRUE,"Flujo";#N/A,#N/A,TRUE,"Var_Ebit";#N/A,#N/A,TRUE,"Noa";#N/A,#N/A,TRUE,"Var_Noa"}</definedName>
    <definedName name="nada4" hidden="1">{#N/A,#N/A,TRUE,"TAPA ";"INDICE_CLP",#N/A,TRUE,"Indice";#N/A,#N/A,TRUE,"Cond";#N/A,#N/A,TRUE,"Bce_hold";#N/A,#N/A,TRUE,"eerr_hold";#N/A,#N/A,TRUE,"eerr_prod";#N/A,#N/A,TRUE,"eerr_tipogtos";#N/A,#N/A,TRUE,"Flujo";#N/A,#N/A,TRUE,"Var_Ebit";#N/A,#N/A,TRUE,"Noa";#N/A,#N/A,TRUE,"Var_Noa"}</definedName>
    <definedName name="nada6" localSheetId="15" hidden="1">{"INDICE_USD",#N/A,FALSE,"Indice";#N/A,#N/A,FALSE,"Condusd";#N/A,#N/A,FALSE,"Bce_holdusd";#N/A,#N/A,FALSE,"eerr_holdusd";#N/A,#N/A,FALSE,"eerr_produsd";#N/A,#N/A,FALSE,"eerr_tipogtosusd";#N/A,#N/A,FALSE,"Flujousd";#N/A,#N/A,FALSE,"Var_Ebitusd";#N/A,#N/A,FALSE,"Noausd";#N/A,#N/A,FALSE,"Var_Noausd"}</definedName>
    <definedName name="nada6" localSheetId="14" hidden="1">{"INDICE_USD",#N/A,FALSE,"Indice";#N/A,#N/A,FALSE,"Condusd";#N/A,#N/A,FALSE,"Bce_holdusd";#N/A,#N/A,FALSE,"eerr_holdusd";#N/A,#N/A,FALSE,"eerr_produsd";#N/A,#N/A,FALSE,"eerr_tipogtosusd";#N/A,#N/A,FALSE,"Flujousd";#N/A,#N/A,FALSE,"Var_Ebitusd";#N/A,#N/A,FALSE,"Noausd";#N/A,#N/A,FALSE,"Var_Noausd"}</definedName>
    <definedName name="nada6" hidden="1">{"INDICE_USD",#N/A,FALSE,"Indice";#N/A,#N/A,FALSE,"Condusd";#N/A,#N/A,FALSE,"Bce_holdusd";#N/A,#N/A,FALSE,"eerr_holdusd";#N/A,#N/A,FALSE,"eerr_produsd";#N/A,#N/A,FALSE,"eerr_tipogtosusd";#N/A,#N/A,FALSE,"Flujousd";#N/A,#N/A,FALSE,"Var_Ebitusd";#N/A,#N/A,FALSE,"Noausd";#N/A,#N/A,FALSE,"Var_Noausd"}</definedName>
    <definedName name="nada99" localSheetId="15" hidden="1">{#N/A,#N/A,TRUE,"Cond";#N/A,#N/A,TRUE,"Bce_hold";#N/A,#N/A,TRUE,"eerr_hold";#N/A,#N/A,TRUE,"eerr_prod";#N/A,#N/A,TRUE,"eerr_tipogtos";#N/A,#N/A,TRUE,"Flujo";#N/A,#N/A,TRUE,"Var_Ebit";#N/A,#N/A,TRUE,"Noa";#N/A,#N/A,TRUE,"Var_Noa"}</definedName>
    <definedName name="nada99" localSheetId="14" hidden="1">{#N/A,#N/A,TRUE,"Cond";#N/A,#N/A,TRUE,"Bce_hold";#N/A,#N/A,TRUE,"eerr_hold";#N/A,#N/A,TRUE,"eerr_prod";#N/A,#N/A,TRUE,"eerr_tipogtos";#N/A,#N/A,TRUE,"Flujo";#N/A,#N/A,TRUE,"Var_Ebit";#N/A,#N/A,TRUE,"Noa";#N/A,#N/A,TRUE,"Var_Noa"}</definedName>
    <definedName name="nada99" hidden="1">{#N/A,#N/A,TRUE,"Cond";#N/A,#N/A,TRUE,"Bce_hold";#N/A,#N/A,TRUE,"eerr_hold";#N/A,#N/A,TRUE,"eerr_prod";#N/A,#N/A,TRUE,"eerr_tipogtos";#N/A,#N/A,TRUE,"Flujo";#N/A,#N/A,TRUE,"Var_Ebit";#N/A,#N/A,TRUE,"Noa";#N/A,#N/A,TRUE,"Var_Noa"}</definedName>
    <definedName name="NNN" localSheetId="15" hidden="1">{"PYGS",#N/A,FALSE,"PYG";"ACTIS",#N/A,FALSE,"BCE_GRAL-ACTIVO";"PASIS",#N/A,FALSE,"BCE_GRAL-PASIVO-PATRIM";"CAJAS",#N/A,FALSE,"CAJA"}</definedName>
    <definedName name="NNN" localSheetId="14" hidden="1">{"PYGS",#N/A,FALSE,"PYG";"ACTIS",#N/A,FALSE,"BCE_GRAL-ACTIVO";"PASIS",#N/A,FALSE,"BCE_GRAL-PASIVO-PATRIM";"CAJAS",#N/A,FALSE,"CAJA"}</definedName>
    <definedName name="NNN" hidden="1">{"PYGS",#N/A,FALSE,"PYG";"ACTIS",#N/A,FALSE,"BCE_GRAL-ACTIVO";"PASIS",#N/A,FALSE,"BCE_GRAL-PASIVO-PATRIM";"CAJAS",#N/A,FALSE,"CAJA"}</definedName>
    <definedName name="NNNN" localSheetId="15" hidden="1">{"PYGT",#N/A,FALSE,"PYG";"ACTIT",#N/A,FALSE,"BCE_GRAL-ACTIVO";"PASIT",#N/A,FALSE,"BCE_GRAL-PASIVO-PATRIM";"CAJAT",#N/A,FALSE,"CAJA"}</definedName>
    <definedName name="NNNN" localSheetId="14" hidden="1">{"PYGT",#N/A,FALSE,"PYG";"ACTIT",#N/A,FALSE,"BCE_GRAL-ACTIVO";"PASIT",#N/A,FALSE,"BCE_GRAL-PASIVO-PATRIM";"CAJAT",#N/A,FALSE,"CAJA"}</definedName>
    <definedName name="NNNN" hidden="1">{"PYGT",#N/A,FALSE,"PYG";"ACTIT",#N/A,FALSE,"BCE_GRAL-ACTIVO";"PASIT",#N/A,FALSE,"BCE_GRAL-PASIVO-PATRIM";"CAJAT",#N/A,FALSE,"CAJA"}</definedName>
    <definedName name="NNNNN" localSheetId="15" hidden="1">{"PYGT",#N/A,FALSE,"PYG";"ACTIT",#N/A,FALSE,"BCE_GRAL-ACTIVO";"PASIT",#N/A,FALSE,"BCE_GRAL-PASIVO-PATRIM";"CAJAT",#N/A,FALSE,"CAJA"}</definedName>
    <definedName name="NNNNN" localSheetId="14" hidden="1">{"PYGT",#N/A,FALSE,"PYG";"ACTIT",#N/A,FALSE,"BCE_GRAL-ACTIVO";"PASIT",#N/A,FALSE,"BCE_GRAL-PASIVO-PATRIM";"CAJAT",#N/A,FALSE,"CAJA"}</definedName>
    <definedName name="NNNNN" hidden="1">{"PYGT",#N/A,FALSE,"PYG";"ACTIT",#N/A,FALSE,"BCE_GRAL-ACTIVO";"PASIT",#N/A,FALSE,"BCE_GRAL-PASIVO-PATRIM";"CAJAT",#N/A,FALSE,"CAJA"}</definedName>
    <definedName name="NóminaConfidencial" localSheetId="15" hidden="1">{#N/A,#N/A,FALSE,"Aging Summary";#N/A,#N/A,FALSE,"Ratio Analysis";#N/A,#N/A,FALSE,"Test 120 Day Accts";#N/A,#N/A,FALSE,"Tickmarks"}</definedName>
    <definedName name="NóminaConfidencial" localSheetId="14" hidden="1">{#N/A,#N/A,FALSE,"Aging Summary";#N/A,#N/A,FALSE,"Ratio Analysis";#N/A,#N/A,FALSE,"Test 120 Day Accts";#N/A,#N/A,FALSE,"Tickmarks"}</definedName>
    <definedName name="NóminaConfidencial" hidden="1">{#N/A,#N/A,FALSE,"Aging Summary";#N/A,#N/A,FALSE,"Ratio Analysis";#N/A,#N/A,FALSE,"Test 120 Day Accts";#N/A,#N/A,FALSE,"Tickmarks"}</definedName>
    <definedName name="nsda21s" localSheetId="15" hidden="1">{#N/A,#N/A,TRUE,"TAPA ";"INDICE_CLP",#N/A,TRUE,"Indice";#N/A,#N/A,TRUE,"Cond";#N/A,#N/A,TRUE,"Bce_hold";#N/A,#N/A,TRUE,"eerr_hold";#N/A,#N/A,TRUE,"eerr_prod";#N/A,#N/A,TRUE,"eerr_tipogtos";#N/A,#N/A,TRUE,"Flujo";#N/A,#N/A,TRUE,"Var_Ebit";#N/A,#N/A,TRUE,"Noa";#N/A,#N/A,TRUE,"Var_Noa"}</definedName>
    <definedName name="nsda21s" localSheetId="14" hidden="1">{#N/A,#N/A,TRUE,"TAPA ";"INDICE_CLP",#N/A,TRUE,"Indice";#N/A,#N/A,TRUE,"Cond";#N/A,#N/A,TRUE,"Bce_hold";#N/A,#N/A,TRUE,"eerr_hold";#N/A,#N/A,TRUE,"eerr_prod";#N/A,#N/A,TRUE,"eerr_tipogtos";#N/A,#N/A,TRUE,"Flujo";#N/A,#N/A,TRUE,"Var_Ebit";#N/A,#N/A,TRUE,"Noa";#N/A,#N/A,TRUE,"Var_Noa"}</definedName>
    <definedName name="nsda21s" hidden="1">{#N/A,#N/A,TRUE,"TAPA ";"INDICE_CLP",#N/A,TRUE,"Indice";#N/A,#N/A,TRUE,"Cond";#N/A,#N/A,TRUE,"Bce_hold";#N/A,#N/A,TRUE,"eerr_hold";#N/A,#N/A,TRUE,"eerr_prod";#N/A,#N/A,TRUE,"eerr_tipogtos";#N/A,#N/A,TRUE,"Flujo";#N/A,#N/A,TRUE,"Var_Ebit";#N/A,#N/A,TRUE,"Noa";#N/A,#N/A,TRUE,"Var_Noa"}</definedName>
    <definedName name="nzhshs" localSheetId="15" hidden="1">{"INDICE_USD",#N/A,FALSE,"Indice";#N/A,#N/A,FALSE,"Condusd";#N/A,#N/A,FALSE,"Bce_holdusd";#N/A,#N/A,FALSE,"eerr_holdusd";#N/A,#N/A,FALSE,"eerr_produsd";#N/A,#N/A,FALSE,"eerr_tipogtosusd";#N/A,#N/A,FALSE,"Flujousd";#N/A,#N/A,FALSE,"Var_Ebitusd";#N/A,#N/A,FALSE,"Noausd";#N/A,#N/A,FALSE,"Var_Noausd"}</definedName>
    <definedName name="nzhshs" localSheetId="14" hidden="1">{"INDICE_USD",#N/A,FALSE,"Indice";#N/A,#N/A,FALSE,"Condusd";#N/A,#N/A,FALSE,"Bce_holdusd";#N/A,#N/A,FALSE,"eerr_holdusd";#N/A,#N/A,FALSE,"eerr_produsd";#N/A,#N/A,FALSE,"eerr_tipogtosusd";#N/A,#N/A,FALSE,"Flujousd";#N/A,#N/A,FALSE,"Var_Ebitusd";#N/A,#N/A,FALSE,"Noausd";#N/A,#N/A,FALSE,"Var_Noausd"}</definedName>
    <definedName name="nzhshs" hidden="1">{"INDICE_USD",#N/A,FALSE,"Indice";#N/A,#N/A,FALSE,"Condusd";#N/A,#N/A,FALSE,"Bce_holdusd";#N/A,#N/A,FALSE,"eerr_holdusd";#N/A,#N/A,FALSE,"eerr_produsd";#N/A,#N/A,FALSE,"eerr_tipogtosusd";#N/A,#N/A,FALSE,"Flujousd";#N/A,#N/A,FALSE,"Var_Ebitusd";#N/A,#N/A,FALSE,"Noausd";#N/A,#N/A,FALSE,"Var_Noausd"}</definedName>
    <definedName name="ñl" localSheetId="15" hidden="1">{#N/A,#N/A,FALSE,"Aging Summary";#N/A,#N/A,FALSE,"Ratio Analysis";#N/A,#N/A,FALSE,"Test 120 Day Accts";#N/A,#N/A,FALSE,"Tickmarks"}</definedName>
    <definedName name="ñl" localSheetId="14" hidden="1">{#N/A,#N/A,FALSE,"Aging Summary";#N/A,#N/A,FALSE,"Ratio Analysis";#N/A,#N/A,FALSE,"Test 120 Day Accts";#N/A,#N/A,FALSE,"Tickmarks"}</definedName>
    <definedName name="ñl" hidden="1">{#N/A,#N/A,FALSE,"Aging Summary";#N/A,#N/A,FALSE,"Ratio Analysis";#N/A,#N/A,FALSE,"Test 120 Day Accts";#N/A,#N/A,FALSE,"Tickmarks"}</definedName>
    <definedName name="o" localSheetId="15" hidden="1">{#N/A,#N/A,FALSE,"balance";#N/A,#N/A,FALSE,"PYG"}</definedName>
    <definedName name="o" localSheetId="14" hidden="1">{#N/A,#N/A,FALSE,"balance";#N/A,#N/A,FALSE,"PYG"}</definedName>
    <definedName name="o" hidden="1">{#N/A,#N/A,FALSE,"balance";#N/A,#N/A,FALSE,"PYG"}</definedName>
    <definedName name="OCT" localSheetId="15" hidden="1">{#N/A,#N/A,FALSE,"BL&amp;GPA";#N/A,#N/A,FALSE,"Summary";#N/A,#N/A,FALSE,"hts"}</definedName>
    <definedName name="OCT" localSheetId="14" hidden="1">{#N/A,#N/A,FALSE,"BL&amp;GPA";#N/A,#N/A,FALSE,"Summary";#N/A,#N/A,FALSE,"hts"}</definedName>
    <definedName name="OCT" hidden="1">{#N/A,#N/A,FALSE,"BL&amp;GPA";#N/A,#N/A,FALSE,"Summary";#N/A,#N/A,FALSE,"hts"}</definedName>
    <definedName name="oi" localSheetId="15" hidden="1">{#N/A,#N/A,TRUE,"Cond";#N/A,#N/A,TRUE,"Bce_hold";#N/A,#N/A,TRUE,"eerr_hold";#N/A,#N/A,TRUE,"eerr_prod";#N/A,#N/A,TRUE,"eerr_tipogtos";#N/A,#N/A,TRUE,"Flujo";#N/A,#N/A,TRUE,"Var_Ebit";#N/A,#N/A,TRUE,"Noa";#N/A,#N/A,TRUE,"Var_Noa"}</definedName>
    <definedName name="oi" localSheetId="14" hidden="1">{#N/A,#N/A,TRUE,"Cond";#N/A,#N/A,TRUE,"Bce_hold";#N/A,#N/A,TRUE,"eerr_hold";#N/A,#N/A,TRUE,"eerr_prod";#N/A,#N/A,TRUE,"eerr_tipogtos";#N/A,#N/A,TRUE,"Flujo";#N/A,#N/A,TRUE,"Var_Ebit";#N/A,#N/A,TRUE,"Noa";#N/A,#N/A,TRUE,"Var_Noa"}</definedName>
    <definedName name="oi" hidden="1">{#N/A,#N/A,TRUE,"Cond";#N/A,#N/A,TRUE,"Bce_hold";#N/A,#N/A,TRUE,"eerr_hold";#N/A,#N/A,TRUE,"eerr_prod";#N/A,#N/A,TRUE,"eerr_tipogtos";#N/A,#N/A,TRUE,"Flujo";#N/A,#N/A,TRUE,"Var_Ebit";#N/A,#N/A,TRUE,"Noa";#N/A,#N/A,TRUE,"Var_Noa"}</definedName>
    <definedName name="ok" localSheetId="15" hidden="1">{#N/A,#N/A,FALSE,"balance";#N/A,#N/A,FALSE,"PYG"}</definedName>
    <definedName name="ok" localSheetId="14" hidden="1">{#N/A,#N/A,FALSE,"balance";#N/A,#N/A,FALSE,"PYG"}</definedName>
    <definedName name="ok" hidden="1">{#N/A,#N/A,FALSE,"balance";#N/A,#N/A,FALSE,"PYG"}</definedName>
    <definedName name="OLOCASUTO" localSheetId="15" hidden="1">{#N/A,#N/A,FALSE,"balance";#N/A,#N/A,FALSE,"PYG"}</definedName>
    <definedName name="OLOCASUTO" localSheetId="14" hidden="1">{#N/A,#N/A,FALSE,"balance";#N/A,#N/A,FALSE,"PYG"}</definedName>
    <definedName name="OLOCASUTO" hidden="1">{#N/A,#N/A,FALSE,"balance";#N/A,#N/A,FALSE,"PYG"}</definedName>
    <definedName name="onven" localSheetId="15" hidden="1">{#N/A,#N/A,FALSE,"balance";#N/A,#N/A,FALSE,"PYG"}</definedName>
    <definedName name="onven" localSheetId="14" hidden="1">{#N/A,#N/A,FALSE,"balance";#N/A,#N/A,FALSE,"PYG"}</definedName>
    <definedName name="onven" hidden="1">{#N/A,#N/A,FALSE,"balance";#N/A,#N/A,FALSE,"PYG"}</definedName>
    <definedName name="particulares1" localSheetId="15" hidden="1">{#N/A,#N/A,FALSE,"Aging Summary";#N/A,#N/A,FALSE,"Ratio Analysis";#N/A,#N/A,FALSE,"Test 120 Day Accts";#N/A,#N/A,FALSE,"Tickmarks"}</definedName>
    <definedName name="particulares1" localSheetId="14" hidden="1">{#N/A,#N/A,FALSE,"Aging Summary";#N/A,#N/A,FALSE,"Ratio Analysis";#N/A,#N/A,FALSE,"Test 120 Day Accts";#N/A,#N/A,FALSE,"Tickmarks"}</definedName>
    <definedName name="particulares1" hidden="1">{#N/A,#N/A,FALSE,"Aging Summary";#N/A,#N/A,FALSE,"Ratio Analysis";#N/A,#N/A,FALSE,"Test 120 Day Accts";#N/A,#N/A,FALSE,"Tickmarks"}</definedName>
    <definedName name="pintada" localSheetId="15" hidden="1">{#N/A,#N/A,FALSE,"balance";#N/A,#N/A,FALSE,"PYG"}</definedName>
    <definedName name="pintada" localSheetId="14" hidden="1">{#N/A,#N/A,FALSE,"balance";#N/A,#N/A,FALSE,"PYG"}</definedName>
    <definedName name="pintada" hidden="1">{#N/A,#N/A,FALSE,"balance";#N/A,#N/A,FALSE,"PYG"}</definedName>
    <definedName name="pl" localSheetId="15" hidden="1">{#N/A,#N/A,FALSE,"Aging Summary";#N/A,#N/A,FALSE,"Ratio Analysis";#N/A,#N/A,FALSE,"Test 120 Day Accts";#N/A,#N/A,FALSE,"Tickmarks"}</definedName>
    <definedName name="pl" localSheetId="14" hidden="1">{#N/A,#N/A,FALSE,"Aging Summary";#N/A,#N/A,FALSE,"Ratio Analysis";#N/A,#N/A,FALSE,"Test 120 Day Accts";#N/A,#N/A,FALSE,"Tickmarks"}</definedName>
    <definedName name="pl" hidden="1">{#N/A,#N/A,FALSE,"Aging Summary";#N/A,#N/A,FALSE,"Ratio Analysis";#N/A,#N/A,FALSE,"Test 120 Day Accts";#N/A,#N/A,FALSE,"Tickmarks"}</definedName>
    <definedName name="pop" hidden="1">'[5]dic 1999'!$AF$7:$AF$11</definedName>
    <definedName name="pp" localSheetId="15" hidden="1">{#N/A,#N/A,FALSE,"balance";#N/A,#N/A,FALSE,"PYG"}</definedName>
    <definedName name="pp" localSheetId="14" hidden="1">{#N/A,#N/A,FALSE,"balance";#N/A,#N/A,FALSE,"PYG"}</definedName>
    <definedName name="pp" hidden="1">{#N/A,#N/A,FALSE,"balance";#N/A,#N/A,FALSE,"PYG"}</definedName>
    <definedName name="PRODUCTO" localSheetId="15" hidden="1">{#N/A,#N/A,FALSE,"balance";#N/A,#N/A,FALSE,"PYG"}</definedName>
    <definedName name="PRODUCTO" localSheetId="14" hidden="1">{#N/A,#N/A,FALSE,"balance";#N/A,#N/A,FALSE,"PYG"}</definedName>
    <definedName name="PRODUCTO" hidden="1">{#N/A,#N/A,FALSE,"balance";#N/A,#N/A,FALSE,"PYG"}</definedName>
    <definedName name="PYG" localSheetId="15" hidden="1">{#N/A,#N/A,FALSE,"balance";#N/A,#N/A,FALSE,"PYG"}</definedName>
    <definedName name="PYG" localSheetId="14" hidden="1">{#N/A,#N/A,FALSE,"balance";#N/A,#N/A,FALSE,"PYG"}</definedName>
    <definedName name="PYG" hidden="1">{#N/A,#N/A,FALSE,"balance";#N/A,#N/A,FALSE,"PYG"}</definedName>
    <definedName name="q" localSheetId="15" hidden="1">{#N/A,#N/A,FALSE,"Aging Summary";#N/A,#N/A,FALSE,"Ratio Analysis";#N/A,#N/A,FALSE,"Test 120 Day Accts";#N/A,#N/A,FALSE,"Tickmarks"}</definedName>
    <definedName name="q" localSheetId="14" hidden="1">{#N/A,#N/A,FALSE,"Aging Summary";#N/A,#N/A,FALSE,"Ratio Analysis";#N/A,#N/A,FALSE,"Test 120 Day Accts";#N/A,#N/A,FALSE,"Tickmarks"}</definedName>
    <definedName name="q" hidden="1">{#N/A,#N/A,FALSE,"Aging Summary";#N/A,#N/A,FALSE,"Ratio Analysis";#N/A,#N/A,FALSE,"Test 120 Day Accts";#N/A,#N/A,FALSE,"Tickmarks"}</definedName>
    <definedName name="qq" localSheetId="15" hidden="1">{#N/A,#N/A,FALSE,"balance";#N/A,#N/A,FALSE,"PYG"}</definedName>
    <definedName name="qq" localSheetId="14" hidden="1">{#N/A,#N/A,FALSE,"balance";#N/A,#N/A,FALSE,"PYG"}</definedName>
    <definedName name="qq" hidden="1">{#N/A,#N/A,FALSE,"balance";#N/A,#N/A,FALSE,"PYG"}</definedName>
    <definedName name="QQQQQQQ" localSheetId="15" hidden="1">#REF!</definedName>
    <definedName name="QQQQQQQ" localSheetId="14" hidden="1">#REF!</definedName>
    <definedName name="QQQQQQQ" hidden="1">#REF!</definedName>
    <definedName name="re" localSheetId="15" hidden="1">{#N/A,#N/A,FALSE,"balance";#N/A,#N/A,FALSE,"PYG"}</definedName>
    <definedName name="re" localSheetId="14" hidden="1">{#N/A,#N/A,FALSE,"balance";#N/A,#N/A,FALSE,"PYG"}</definedName>
    <definedName name="re" hidden="1">{#N/A,#N/A,FALSE,"balance";#N/A,#N/A,FALSE,"PYG"}</definedName>
    <definedName name="REA" localSheetId="15" hidden="1">{"'S. C. B.'!$E$207"}</definedName>
    <definedName name="REA" localSheetId="14" hidden="1">{"'S. C. B.'!$E$207"}</definedName>
    <definedName name="REA" hidden="1">{"'S. C. B.'!$E$207"}</definedName>
    <definedName name="reajuste" localSheetId="15" hidden="1">{"'S. C. B.'!$E$207"}</definedName>
    <definedName name="reajuste" localSheetId="14" hidden="1">{"'S. C. B.'!$E$207"}</definedName>
    <definedName name="reajuste" hidden="1">{"'S. C. B.'!$E$207"}</definedName>
    <definedName name="RENTA" localSheetId="15" hidden="1">{"'S. C. B.'!$E$207"}</definedName>
    <definedName name="RENTA" localSheetId="14" hidden="1">{"'S. C. B.'!$E$207"}</definedName>
    <definedName name="RENTA" hidden="1">{"'S. C. B.'!$E$207"}</definedName>
    <definedName name="RESUMEN" localSheetId="15" hidden="1">{"'S. C. B.'!$E$207"}</definedName>
    <definedName name="RESUMEN" localSheetId="14" hidden="1">{"'S. C. B.'!$E$207"}</definedName>
    <definedName name="RESUMEN" hidden="1">{"'S. C. B.'!$E$207"}</definedName>
    <definedName name="RF" localSheetId="15" hidden="1">{#N/A,#N/A,FALSE,"Aging Summary";#N/A,#N/A,FALSE,"Ratio Analysis";#N/A,#N/A,FALSE,"Test 120 Day Accts";#N/A,#N/A,FALSE,"Tickmarks"}</definedName>
    <definedName name="RF" localSheetId="14" hidden="1">{#N/A,#N/A,FALSE,"Aging Summary";#N/A,#N/A,FALSE,"Ratio Analysis";#N/A,#N/A,FALSE,"Test 120 Day Accts";#N/A,#N/A,FALSE,"Tickmarks"}</definedName>
    <definedName name="RF" hidden="1">{#N/A,#N/A,FALSE,"Aging Summary";#N/A,#N/A,FALSE,"Ratio Analysis";#N/A,#N/A,FALSE,"Test 120 Day Accts";#N/A,#N/A,FALSE,"Tickmarks"}</definedName>
    <definedName name="rfg" localSheetId="15" hidden="1">{#N/A,#N/A,TRUE,"TAPA ";"INDICE_CLP",#N/A,TRUE,"Indice";#N/A,#N/A,TRUE,"Cond";#N/A,#N/A,TRUE,"Bce_hold";#N/A,#N/A,TRUE,"eerr_hold";#N/A,#N/A,TRUE,"eerr_prod";#N/A,#N/A,TRUE,"eerr_tipogtos";#N/A,#N/A,TRUE,"Flujo";#N/A,#N/A,TRUE,"Var_Ebit";#N/A,#N/A,TRUE,"Noa";#N/A,#N/A,TRUE,"Var_Noa"}</definedName>
    <definedName name="rfg" localSheetId="14" hidden="1">{#N/A,#N/A,TRUE,"TAPA ";"INDICE_CLP",#N/A,TRUE,"Indice";#N/A,#N/A,TRUE,"Cond";#N/A,#N/A,TRUE,"Bce_hold";#N/A,#N/A,TRUE,"eerr_hold";#N/A,#N/A,TRUE,"eerr_prod";#N/A,#N/A,TRUE,"eerr_tipogtos";#N/A,#N/A,TRUE,"Flujo";#N/A,#N/A,TRUE,"Var_Ebit";#N/A,#N/A,TRUE,"Noa";#N/A,#N/A,TRUE,"Var_Noa"}</definedName>
    <definedName name="rfg" hidden="1">{#N/A,#N/A,TRUE,"TAPA ";"INDICE_CLP",#N/A,TRUE,"Indice";#N/A,#N/A,TRUE,"Cond";#N/A,#N/A,TRUE,"Bce_hold";#N/A,#N/A,TRUE,"eerr_hold";#N/A,#N/A,TRUE,"eerr_prod";#N/A,#N/A,TRUE,"eerr_tipogtos";#N/A,#N/A,TRUE,"Flujo";#N/A,#N/A,TRUE,"Var_Ebit";#N/A,#N/A,TRUE,"Noa";#N/A,#N/A,TRUE,"Var_Noa"}</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141597</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TRUE</definedName>
    <definedName name="RiskUseMultipleCPUs" hidden="1">FALSE</definedName>
    <definedName name="rrrrrrrrrrr" localSheetId="15" hidden="1">{#N/A,#N/A,FALSE,"GRAFICO";#N/A,#N/A,FALSE,"CAJA (2)";#N/A,#N/A,FALSE,"TERCEROS-PROMEDIO";#N/A,#N/A,FALSE,"CAJA";#N/A,#N/A,FALSE,"INGRESOS1995-2003";#N/A,#N/A,FALSE,"GASTOS1995-2003"}</definedName>
    <definedName name="rrrrrrrrrrr" localSheetId="14" hidden="1">{#N/A,#N/A,FALSE,"GRAFICO";#N/A,#N/A,FALSE,"CAJA (2)";#N/A,#N/A,FALSE,"TERCEROS-PROMEDIO";#N/A,#N/A,FALSE,"CAJA";#N/A,#N/A,FALSE,"INGRESOS1995-2003";#N/A,#N/A,FALSE,"GASTOS1995-2003"}</definedName>
    <definedName name="rrrrrrrrrrr" hidden="1">{#N/A,#N/A,FALSE,"GRAFICO";#N/A,#N/A,FALSE,"CAJA (2)";#N/A,#N/A,FALSE,"TERCEROS-PROMEDIO";#N/A,#N/A,FALSE,"CAJA";#N/A,#N/A,FALSE,"INGRESOS1995-2003";#N/A,#N/A,FALSE,"GASTOS1995-2003"}</definedName>
    <definedName name="RT" localSheetId="15" hidden="1">{"'S. C. B.'!$E$207"}</definedName>
    <definedName name="RT" localSheetId="14" hidden="1">{"'S. C. B.'!$E$207"}</definedName>
    <definedName name="RT" hidden="1">{"'S. C. B.'!$E$207"}</definedName>
    <definedName name="s" localSheetId="15" hidden="1">{#N/A,#N/A,FALSE,"balance";#N/A,#N/A,FALSE,"PYG"}</definedName>
    <definedName name="s" localSheetId="14" hidden="1">{#N/A,#N/A,FALSE,"balance";#N/A,#N/A,FALSE,"PYG"}</definedName>
    <definedName name="s" hidden="1">{#N/A,#N/A,FALSE,"balance";#N/A,#N/A,FALSE,"PYG"}</definedName>
    <definedName name="sadadd" localSheetId="15" hidden="1">{#N/A,#N/A,TRUE,"Cond";#N/A,#N/A,TRUE,"Bce_hold";#N/A,#N/A,TRUE,"eerr_hold";#N/A,#N/A,TRUE,"eerr_prod";#N/A,#N/A,TRUE,"eerr_tipogtos";#N/A,#N/A,TRUE,"Flujo";#N/A,#N/A,TRUE,"Var_Ebit";#N/A,#N/A,TRUE,"Noa";#N/A,#N/A,TRUE,"Var_Noa"}</definedName>
    <definedName name="sadadd" localSheetId="14" hidden="1">{#N/A,#N/A,TRUE,"Cond";#N/A,#N/A,TRUE,"Bce_hold";#N/A,#N/A,TRUE,"eerr_hold";#N/A,#N/A,TRUE,"eerr_prod";#N/A,#N/A,TRUE,"eerr_tipogtos";#N/A,#N/A,TRUE,"Flujo";#N/A,#N/A,TRUE,"Var_Ebit";#N/A,#N/A,TRUE,"Noa";#N/A,#N/A,TRUE,"Var_Noa"}</definedName>
    <definedName name="sadadd" hidden="1">{#N/A,#N/A,TRUE,"Cond";#N/A,#N/A,TRUE,"Bce_hold";#N/A,#N/A,TRUE,"eerr_hold";#N/A,#N/A,TRUE,"eerr_prod";#N/A,#N/A,TRUE,"eerr_tipogtos";#N/A,#N/A,TRUE,"Flujo";#N/A,#N/A,TRUE,"Var_Ebit";#N/A,#N/A,TRUE,"Noa";#N/A,#N/A,TRUE,"Var_Noa"}</definedName>
    <definedName name="SAPBEXhrIndnt" hidden="1">1</definedName>
    <definedName name="SAPBEXrevision" hidden="1">1</definedName>
    <definedName name="SAPBEXsysID" hidden="1">"BWP"</definedName>
    <definedName name="SAPBEXwbID" hidden="1">"3PAIY8A0PAFUN0NVJ1AMBH10D"</definedName>
    <definedName name="sjjsjs" localSheetId="15" hidden="1">{#N/A,#N/A,TRUE,"TAPA ";"INDICE_CLP",#N/A,TRUE,"Indice";#N/A,#N/A,TRUE,"Cond";#N/A,#N/A,TRUE,"Bce_hold";#N/A,#N/A,TRUE,"eerr_hold";#N/A,#N/A,TRUE,"eerr_prod";#N/A,#N/A,TRUE,"eerr_tipogtos";#N/A,#N/A,TRUE,"Flujo";#N/A,#N/A,TRUE,"Var_Ebit";#N/A,#N/A,TRUE,"Noa";#N/A,#N/A,TRUE,"Var_Noa"}</definedName>
    <definedName name="sjjsjs" localSheetId="14" hidden="1">{#N/A,#N/A,TRUE,"TAPA ";"INDICE_CLP",#N/A,TRUE,"Indice";#N/A,#N/A,TRUE,"Cond";#N/A,#N/A,TRUE,"Bce_hold";#N/A,#N/A,TRUE,"eerr_hold";#N/A,#N/A,TRUE,"eerr_prod";#N/A,#N/A,TRUE,"eerr_tipogtos";#N/A,#N/A,TRUE,"Flujo";#N/A,#N/A,TRUE,"Var_Ebit";#N/A,#N/A,TRUE,"Noa";#N/A,#N/A,TRUE,"Var_Noa"}</definedName>
    <definedName name="sjjsjs" hidden="1">{#N/A,#N/A,TRUE,"TAPA ";"INDICE_CLP",#N/A,TRUE,"Indice";#N/A,#N/A,TRUE,"Cond";#N/A,#N/A,TRUE,"Bce_hold";#N/A,#N/A,TRUE,"eerr_hold";#N/A,#N/A,TRUE,"eerr_prod";#N/A,#N/A,TRUE,"eerr_tipogtos";#N/A,#N/A,TRUE,"Flujo";#N/A,#N/A,TRUE,"Var_Ebit";#N/A,#N/A,TRUE,"Noa";#N/A,#N/A,TRUE,"Var_Noa"}</definedName>
    <definedName name="sjjskjs" localSheetId="15" hidden="1">{"INDICE_USD",#N/A,FALSE,"Indice";#N/A,#N/A,FALSE,"Condusd";#N/A,#N/A,FALSE,"Bce_holdusd";#N/A,#N/A,FALSE,"eerr_holdusd";#N/A,#N/A,FALSE,"eerr_produsd";#N/A,#N/A,FALSE,"eerr_tipogtosusd";#N/A,#N/A,FALSE,"Flujousd";#N/A,#N/A,FALSE,"Var_Ebitusd";#N/A,#N/A,FALSE,"Noausd";#N/A,#N/A,FALSE,"Var_Noausd"}</definedName>
    <definedName name="sjjskjs" localSheetId="14" hidden="1">{"INDICE_USD",#N/A,FALSE,"Indice";#N/A,#N/A,FALSE,"Condusd";#N/A,#N/A,FALSE,"Bce_holdusd";#N/A,#N/A,FALSE,"eerr_holdusd";#N/A,#N/A,FALSE,"eerr_produsd";#N/A,#N/A,FALSE,"eerr_tipogtosusd";#N/A,#N/A,FALSE,"Flujousd";#N/A,#N/A,FALSE,"Var_Ebitusd";#N/A,#N/A,FALSE,"Noausd";#N/A,#N/A,FALSE,"Var_Noausd"}</definedName>
    <definedName name="sjjskjs" hidden="1">{"INDICE_USD",#N/A,FALSE,"Indice";#N/A,#N/A,FALSE,"Condusd";#N/A,#N/A,FALSE,"Bce_holdusd";#N/A,#N/A,FALSE,"eerr_holdusd";#N/A,#N/A,FALSE,"eerr_produsd";#N/A,#N/A,FALSE,"eerr_tipogtosusd";#N/A,#N/A,FALSE,"Flujousd";#N/A,#N/A,FALSE,"Var_Ebitusd";#N/A,#N/A,FALSE,"Noausd";#N/A,#N/A,FALSE,"Var_Noausd"}</definedName>
    <definedName name="sksssd" localSheetId="15" hidden="1">{#N/A,#N/A,TRUE,"Cond";#N/A,#N/A,TRUE,"Bce_hold";#N/A,#N/A,TRUE,"eerr_hold";#N/A,#N/A,TRUE,"eerr_prod";#N/A,#N/A,TRUE,"eerr_tipogtos";#N/A,#N/A,TRUE,"Flujo";#N/A,#N/A,TRUE,"Var_Ebit";#N/A,#N/A,TRUE,"Noa";#N/A,#N/A,TRUE,"Var_Noa"}</definedName>
    <definedName name="sksssd" localSheetId="14" hidden="1">{#N/A,#N/A,TRUE,"Cond";#N/A,#N/A,TRUE,"Bce_hold";#N/A,#N/A,TRUE,"eerr_hold";#N/A,#N/A,TRUE,"eerr_prod";#N/A,#N/A,TRUE,"eerr_tipogtos";#N/A,#N/A,TRUE,"Flujo";#N/A,#N/A,TRUE,"Var_Ebit";#N/A,#N/A,TRUE,"Noa";#N/A,#N/A,TRUE,"Var_Noa"}</definedName>
    <definedName name="sksssd" hidden="1">{#N/A,#N/A,TRUE,"Cond";#N/A,#N/A,TRUE,"Bce_hold";#N/A,#N/A,TRUE,"eerr_hold";#N/A,#N/A,TRUE,"eerr_prod";#N/A,#N/A,TRUE,"eerr_tipogtos";#N/A,#N/A,TRUE,"Flujo";#N/A,#N/A,TRUE,"Var_Ebit";#N/A,#N/A,TRUE,"Noa";#N/A,#N/A,TRUE,"Var_Noa"}</definedName>
    <definedName name="slslkdkd" localSheetId="15" hidden="1">{"INDICE_USD",#N/A,FALSE,"Indice";#N/A,#N/A,FALSE,"Condusd";#N/A,#N/A,FALSE,"Bce_holdusd";#N/A,#N/A,FALSE,"eerr_holdusd";#N/A,#N/A,FALSE,"eerr_produsd";#N/A,#N/A,FALSE,"eerr_tipogtosusd";#N/A,#N/A,FALSE,"Flujousd";#N/A,#N/A,FALSE,"Var_Ebitusd";#N/A,#N/A,FALSE,"Noausd";#N/A,#N/A,FALSE,"Var_Noausd"}</definedName>
    <definedName name="slslkdkd" localSheetId="14" hidden="1">{"INDICE_USD",#N/A,FALSE,"Indice";#N/A,#N/A,FALSE,"Condusd";#N/A,#N/A,FALSE,"Bce_holdusd";#N/A,#N/A,FALSE,"eerr_holdusd";#N/A,#N/A,FALSE,"eerr_produsd";#N/A,#N/A,FALSE,"eerr_tipogtosusd";#N/A,#N/A,FALSE,"Flujousd";#N/A,#N/A,FALSE,"Var_Ebitusd";#N/A,#N/A,FALSE,"Noausd";#N/A,#N/A,FALSE,"Var_Noausd"}</definedName>
    <definedName name="slslkdkd" hidden="1">{"INDICE_USD",#N/A,FALSE,"Indice";#N/A,#N/A,FALSE,"Condusd";#N/A,#N/A,FALSE,"Bce_holdusd";#N/A,#N/A,FALSE,"eerr_holdusd";#N/A,#N/A,FALSE,"eerr_produsd";#N/A,#N/A,FALSE,"eerr_tipogtosusd";#N/A,#N/A,FALSE,"Flujousd";#N/A,#N/A,FALSE,"Var_Ebitusd";#N/A,#N/A,FALSE,"Noausd";#N/A,#N/A,FALSE,"Var_Noausd"}</definedName>
    <definedName name="slslslsl" localSheetId="15" hidden="1">{"INDICE_USD",#N/A,FALSE,"Indice";#N/A,#N/A,FALSE,"Condusd";#N/A,#N/A,FALSE,"Bce_holdusd";#N/A,#N/A,FALSE,"eerr_holdusd";#N/A,#N/A,FALSE,"eerr_produsd";#N/A,#N/A,FALSE,"eerr_tipogtosusd";#N/A,#N/A,FALSE,"Flujousd";#N/A,#N/A,FALSE,"Var_Ebitusd";#N/A,#N/A,FALSE,"Noausd";#N/A,#N/A,FALSE,"Var_Noausd"}</definedName>
    <definedName name="slslslsl" localSheetId="14" hidden="1">{"INDICE_USD",#N/A,FALSE,"Indice";#N/A,#N/A,FALSE,"Condusd";#N/A,#N/A,FALSE,"Bce_holdusd";#N/A,#N/A,FALSE,"eerr_holdusd";#N/A,#N/A,FALSE,"eerr_produsd";#N/A,#N/A,FALSE,"eerr_tipogtosusd";#N/A,#N/A,FALSE,"Flujousd";#N/A,#N/A,FALSE,"Var_Ebitusd";#N/A,#N/A,FALSE,"Noausd";#N/A,#N/A,FALSE,"Var_Noausd"}</definedName>
    <definedName name="slslslsl" hidden="1">{"INDICE_USD",#N/A,FALSE,"Indice";#N/A,#N/A,FALSE,"Condusd";#N/A,#N/A,FALSE,"Bce_holdusd";#N/A,#N/A,FALSE,"eerr_holdusd";#N/A,#N/A,FALSE,"eerr_produsd";#N/A,#N/A,FALSE,"eerr_tipogtosusd";#N/A,#N/A,FALSE,"Flujousd";#N/A,#N/A,FALSE,"Var_Ebitusd";#N/A,#N/A,FALSE,"Noausd";#N/A,#N/A,FALSE,"Var_Noausd"}</definedName>
    <definedName name="smmaj" localSheetId="15" hidden="1">{"INDICE_USD",#N/A,FALSE,"Indice";#N/A,#N/A,FALSE,"Condusd";#N/A,#N/A,FALSE,"Bce_holdusd";#N/A,#N/A,FALSE,"eerr_holdusd";#N/A,#N/A,FALSE,"eerr_produsd";#N/A,#N/A,FALSE,"eerr_tipogtosusd";#N/A,#N/A,FALSE,"Flujousd";#N/A,#N/A,FALSE,"Var_Ebitusd";#N/A,#N/A,FALSE,"Noausd";#N/A,#N/A,FALSE,"Var_Noausd"}</definedName>
    <definedName name="smmaj" localSheetId="14" hidden="1">{"INDICE_USD",#N/A,FALSE,"Indice";#N/A,#N/A,FALSE,"Condusd";#N/A,#N/A,FALSE,"Bce_holdusd";#N/A,#N/A,FALSE,"eerr_holdusd";#N/A,#N/A,FALSE,"eerr_produsd";#N/A,#N/A,FALSE,"eerr_tipogtosusd";#N/A,#N/A,FALSE,"Flujousd";#N/A,#N/A,FALSE,"Var_Ebitusd";#N/A,#N/A,FALSE,"Noausd";#N/A,#N/A,FALSE,"Var_Noausd"}</definedName>
    <definedName name="smmaj" hidden="1">{"INDICE_USD",#N/A,FALSE,"Indice";#N/A,#N/A,FALSE,"Condusd";#N/A,#N/A,FALSE,"Bce_holdusd";#N/A,#N/A,FALSE,"eerr_holdusd";#N/A,#N/A,FALSE,"eerr_produsd";#N/A,#N/A,FALSE,"eerr_tipogtosusd";#N/A,#N/A,FALSE,"Flujousd";#N/A,#N/A,FALSE,"Var_Ebitusd";#N/A,#N/A,FALSE,"Noausd";#N/A,#N/A,FALSE,"Var_Noausd"}</definedName>
    <definedName name="smmsmsms" localSheetId="15" hidden="1">{"INDICE_USD",#N/A,FALSE,"Indice";#N/A,#N/A,FALSE,"Condusd";#N/A,#N/A,FALSE,"Bce_holdusd";#N/A,#N/A,FALSE,"eerr_holdusd";#N/A,#N/A,FALSE,"eerr_produsd";#N/A,#N/A,FALSE,"eerr_tipogtosusd";#N/A,#N/A,FALSE,"Flujousd";#N/A,#N/A,FALSE,"Var_Ebitusd";#N/A,#N/A,FALSE,"Noausd";#N/A,#N/A,FALSE,"Var_Noausd"}</definedName>
    <definedName name="smmsmsms" localSheetId="14" hidden="1">{"INDICE_USD",#N/A,FALSE,"Indice";#N/A,#N/A,FALSE,"Condusd";#N/A,#N/A,FALSE,"Bce_holdusd";#N/A,#N/A,FALSE,"eerr_holdusd";#N/A,#N/A,FALSE,"eerr_produsd";#N/A,#N/A,FALSE,"eerr_tipogtosusd";#N/A,#N/A,FALSE,"Flujousd";#N/A,#N/A,FALSE,"Var_Ebitusd";#N/A,#N/A,FALSE,"Noausd";#N/A,#N/A,FALSE,"Var_Noausd"}</definedName>
    <definedName name="smmsmsms" hidden="1">{"INDICE_USD",#N/A,FALSE,"Indice";#N/A,#N/A,FALSE,"Condusd";#N/A,#N/A,FALSE,"Bce_holdusd";#N/A,#N/A,FALSE,"eerr_holdusd";#N/A,#N/A,FALSE,"eerr_produsd";#N/A,#N/A,FALSE,"eerr_tipogtosusd";#N/A,#N/A,FALSE,"Flujousd";#N/A,#N/A,FALSE,"Var_Ebitusd";#N/A,#N/A,FALSE,"Noausd";#N/A,#N/A,FALSE,"Var_Noausd"}</definedName>
    <definedName name="smmssaa" localSheetId="15" hidden="1">{#N/A,#N/A,TRUE,"Cond";#N/A,#N/A,TRUE,"Bce_hold";#N/A,#N/A,TRUE,"eerr_hold";#N/A,#N/A,TRUE,"eerr_prod";#N/A,#N/A,TRUE,"eerr_tipogtos";#N/A,#N/A,TRUE,"Flujo";#N/A,#N/A,TRUE,"Var_Ebit";#N/A,#N/A,TRUE,"Noa";#N/A,#N/A,TRUE,"Var_Noa"}</definedName>
    <definedName name="smmssaa" localSheetId="14" hidden="1">{#N/A,#N/A,TRUE,"Cond";#N/A,#N/A,TRUE,"Bce_hold";#N/A,#N/A,TRUE,"eerr_hold";#N/A,#N/A,TRUE,"eerr_prod";#N/A,#N/A,TRUE,"eerr_tipogtos";#N/A,#N/A,TRUE,"Flujo";#N/A,#N/A,TRUE,"Var_Ebit";#N/A,#N/A,TRUE,"Noa";#N/A,#N/A,TRUE,"Var_Noa"}</definedName>
    <definedName name="smmssaa" hidden="1">{#N/A,#N/A,TRUE,"Cond";#N/A,#N/A,TRUE,"Bce_hold";#N/A,#N/A,TRUE,"eerr_hold";#N/A,#N/A,TRUE,"eerr_prod";#N/A,#N/A,TRUE,"eerr_tipogtos";#N/A,#N/A,TRUE,"Flujo";#N/A,#N/A,TRUE,"Var_Ebit";#N/A,#N/A,TRUE,"Noa";#N/A,#N/A,TRUE,"Var_Noa"}</definedName>
    <definedName name="sñalskd" localSheetId="15" hidden="1">{#N/A,#N/A,TRUE,"TAPA ";"INDICE_CLP",#N/A,TRUE,"Indice";#N/A,#N/A,TRUE,"Cond";#N/A,#N/A,TRUE,"Bce_hold";#N/A,#N/A,TRUE,"eerr_hold";#N/A,#N/A,TRUE,"eerr_prod";#N/A,#N/A,TRUE,"eerr_tipogtos";#N/A,#N/A,TRUE,"Flujo";#N/A,#N/A,TRUE,"Var_Ebit";#N/A,#N/A,TRUE,"Noa";#N/A,#N/A,TRUE,"Var_Noa"}</definedName>
    <definedName name="sñalskd" localSheetId="14" hidden="1">{#N/A,#N/A,TRUE,"TAPA ";"INDICE_CLP",#N/A,TRUE,"Indice";#N/A,#N/A,TRUE,"Cond";#N/A,#N/A,TRUE,"Bce_hold";#N/A,#N/A,TRUE,"eerr_hold";#N/A,#N/A,TRUE,"eerr_prod";#N/A,#N/A,TRUE,"eerr_tipogtos";#N/A,#N/A,TRUE,"Flujo";#N/A,#N/A,TRUE,"Var_Ebit";#N/A,#N/A,TRUE,"Noa";#N/A,#N/A,TRUE,"Var_Noa"}</definedName>
    <definedName name="sñalskd" hidden="1">{#N/A,#N/A,TRUE,"TAPA ";"INDICE_CLP",#N/A,TRUE,"Indice";#N/A,#N/A,TRUE,"Cond";#N/A,#N/A,TRUE,"Bce_hold";#N/A,#N/A,TRUE,"eerr_hold";#N/A,#N/A,TRUE,"eerr_prod";#N/A,#N/A,TRUE,"eerr_tipogtos";#N/A,#N/A,TRUE,"Flujo";#N/A,#N/A,TRUE,"Var_Ebit";#N/A,#N/A,TRUE,"Noa";#N/A,#N/A,TRUE,"Var_Noa"}</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mp" hidden="1">#NULL!</definedName>
    <definedName name="solver_tol" hidden="1">0.05</definedName>
    <definedName name="solver_typ" hidden="1">1</definedName>
    <definedName name="solver_val" hidden="1">999999999</definedName>
    <definedName name="ssaaaaaa" localSheetId="15" hidden="1">{"INDICE_USD",#N/A,FALSE,"Indice";#N/A,#N/A,FALSE,"Condusd";#N/A,#N/A,FALSE,"Bce_holdusd";#N/A,#N/A,FALSE,"eerr_holdusd";#N/A,#N/A,FALSE,"eerr_produsd";#N/A,#N/A,FALSE,"eerr_tipogtosusd";#N/A,#N/A,FALSE,"Flujousd";#N/A,#N/A,FALSE,"Var_Ebitusd";#N/A,#N/A,FALSE,"Noausd";#N/A,#N/A,FALSE,"Var_Noausd"}</definedName>
    <definedName name="ssaaaaaa" localSheetId="14" hidden="1">{"INDICE_USD",#N/A,FALSE,"Indice";#N/A,#N/A,FALSE,"Condusd";#N/A,#N/A,FALSE,"Bce_holdusd";#N/A,#N/A,FALSE,"eerr_holdusd";#N/A,#N/A,FALSE,"eerr_produsd";#N/A,#N/A,FALSE,"eerr_tipogtosusd";#N/A,#N/A,FALSE,"Flujousd";#N/A,#N/A,FALSE,"Var_Ebitusd";#N/A,#N/A,FALSE,"Noausd";#N/A,#N/A,FALSE,"Var_Noausd"}</definedName>
    <definedName name="ssaaaaaa" hidden="1">{"INDICE_USD",#N/A,FALSE,"Indice";#N/A,#N/A,FALSE,"Condusd";#N/A,#N/A,FALSE,"Bce_holdusd";#N/A,#N/A,FALSE,"eerr_holdusd";#N/A,#N/A,FALSE,"eerr_produsd";#N/A,#N/A,FALSE,"eerr_tipogtosusd";#N/A,#N/A,FALSE,"Flujousd";#N/A,#N/A,FALSE,"Var_Ebitusd";#N/A,#N/A,FALSE,"Noausd";#N/A,#N/A,FALSE,"Var_Noausd"}</definedName>
    <definedName name="ssnwhs" localSheetId="15" hidden="1">{#N/A,#N/A,TRUE,"TAPA ";"INDICE_CLP",#N/A,TRUE,"Indice";#N/A,#N/A,TRUE,"Cond";#N/A,#N/A,TRUE,"Bce_hold";#N/A,#N/A,TRUE,"eerr_hold";#N/A,#N/A,TRUE,"eerr_prod";#N/A,#N/A,TRUE,"eerr_tipogtos";#N/A,#N/A,TRUE,"Flujo";#N/A,#N/A,TRUE,"Var_Ebit";#N/A,#N/A,TRUE,"Noa";#N/A,#N/A,TRUE,"Var_Noa"}</definedName>
    <definedName name="ssnwhs" localSheetId="14" hidden="1">{#N/A,#N/A,TRUE,"TAPA ";"INDICE_CLP",#N/A,TRUE,"Indice";#N/A,#N/A,TRUE,"Cond";#N/A,#N/A,TRUE,"Bce_hold";#N/A,#N/A,TRUE,"eerr_hold";#N/A,#N/A,TRUE,"eerr_prod";#N/A,#N/A,TRUE,"eerr_tipogtos";#N/A,#N/A,TRUE,"Flujo";#N/A,#N/A,TRUE,"Var_Ebit";#N/A,#N/A,TRUE,"Noa";#N/A,#N/A,TRUE,"Var_Noa"}</definedName>
    <definedName name="ssnwhs" hidden="1">{#N/A,#N/A,TRUE,"TAPA ";"INDICE_CLP",#N/A,TRUE,"Indice";#N/A,#N/A,TRUE,"Cond";#N/A,#N/A,TRUE,"Bce_hold";#N/A,#N/A,TRUE,"eerr_hold";#N/A,#N/A,TRUE,"eerr_prod";#N/A,#N/A,TRUE,"eerr_tipogtos";#N/A,#N/A,TRUE,"Flujo";#N/A,#N/A,TRUE,"Var_Ebit";#N/A,#N/A,TRUE,"Noa";#N/A,#N/A,TRUE,"Var_Noa"}</definedName>
    <definedName name="SSS" localSheetId="15" hidden="1">#REF!</definedName>
    <definedName name="SSS" localSheetId="14" hidden="1">#REF!</definedName>
    <definedName name="SSS" hidden="1">#REF!</definedName>
    <definedName name="sssnna" localSheetId="15" hidden="1">{"INDICE_USD",#N/A,FALSE,"Indice";#N/A,#N/A,FALSE,"Condusd";#N/A,#N/A,FALSE,"Bce_holdusd";#N/A,#N/A,FALSE,"eerr_holdusd";#N/A,#N/A,FALSE,"eerr_produsd";#N/A,#N/A,FALSE,"eerr_tipogtosusd";#N/A,#N/A,FALSE,"Flujousd";#N/A,#N/A,FALSE,"Var_Ebitusd";#N/A,#N/A,FALSE,"Noausd";#N/A,#N/A,FALSE,"Var_Noausd"}</definedName>
    <definedName name="sssnna" localSheetId="14" hidden="1">{"INDICE_USD",#N/A,FALSE,"Indice";#N/A,#N/A,FALSE,"Condusd";#N/A,#N/A,FALSE,"Bce_holdusd";#N/A,#N/A,FALSE,"eerr_holdusd";#N/A,#N/A,FALSE,"eerr_produsd";#N/A,#N/A,FALSE,"eerr_tipogtosusd";#N/A,#N/A,FALSE,"Flujousd";#N/A,#N/A,FALSE,"Var_Ebitusd";#N/A,#N/A,FALSE,"Noausd";#N/A,#N/A,FALSE,"Var_Noausd"}</definedName>
    <definedName name="sssnna" hidden="1">{"INDICE_USD",#N/A,FALSE,"Indice";#N/A,#N/A,FALSE,"Condusd";#N/A,#N/A,FALSE,"Bce_holdusd";#N/A,#N/A,FALSE,"eerr_holdusd";#N/A,#N/A,FALSE,"eerr_produsd";#N/A,#N/A,FALSE,"eerr_tipogtosusd";#N/A,#N/A,FALSE,"Flujousd";#N/A,#N/A,FALSE,"Var_Ebitusd";#N/A,#N/A,FALSE,"Noausd";#N/A,#N/A,FALSE,"Var_Noausd"}</definedName>
    <definedName name="ssss" localSheetId="15" hidden="1">{#N/A,#N/A,TRUE,"TAPA ";"INDICE_CLP",#N/A,TRUE,"Indice";#N/A,#N/A,TRUE,"Cond";#N/A,#N/A,TRUE,"Bce_hold";#N/A,#N/A,TRUE,"eerr_hold";#N/A,#N/A,TRUE,"eerr_prod";#N/A,#N/A,TRUE,"eerr_tipogtos";#N/A,#N/A,TRUE,"Flujo";#N/A,#N/A,TRUE,"Var_Ebit";#N/A,#N/A,TRUE,"Noa";#N/A,#N/A,TRUE,"Var_Noa"}</definedName>
    <definedName name="ssss" localSheetId="14" hidden="1">{#N/A,#N/A,TRUE,"TAPA ";"INDICE_CLP",#N/A,TRUE,"Indice";#N/A,#N/A,TRUE,"Cond";#N/A,#N/A,TRUE,"Bce_hold";#N/A,#N/A,TRUE,"eerr_hold";#N/A,#N/A,TRUE,"eerr_prod";#N/A,#N/A,TRUE,"eerr_tipogtos";#N/A,#N/A,TRUE,"Flujo";#N/A,#N/A,TRUE,"Var_Ebit";#N/A,#N/A,TRUE,"Noa";#N/A,#N/A,TRUE,"Var_Noa"}</definedName>
    <definedName name="ssss" hidden="1">{#N/A,#N/A,TRUE,"TAPA ";"INDICE_CLP",#N/A,TRUE,"Indice";#N/A,#N/A,TRUE,"Cond";#N/A,#N/A,TRUE,"Bce_hold";#N/A,#N/A,TRUE,"eerr_hold";#N/A,#N/A,TRUE,"eerr_prod";#N/A,#N/A,TRUE,"eerr_tipogtos";#N/A,#N/A,TRUE,"Flujo";#N/A,#N/A,TRUE,"Var_Ebit";#N/A,#N/A,TRUE,"Noa";#N/A,#N/A,TRUE,"Var_Noa"}</definedName>
    <definedName name="sssss" localSheetId="15" hidden="1">{"INDICE_USD",#N/A,FALSE,"Indice";#N/A,#N/A,FALSE,"Condusd";#N/A,#N/A,FALSE,"Bce_holdusd";#N/A,#N/A,FALSE,"eerr_holdusd";#N/A,#N/A,FALSE,"eerr_produsd";#N/A,#N/A,FALSE,"eerr_tipogtosusd";#N/A,#N/A,FALSE,"Flujousd";#N/A,#N/A,FALSE,"Var_Ebitusd";#N/A,#N/A,FALSE,"Noausd";#N/A,#N/A,FALSE,"Var_Noausd"}</definedName>
    <definedName name="sssss" localSheetId="14" hidden="1">{"INDICE_USD",#N/A,FALSE,"Indice";#N/A,#N/A,FALSE,"Condusd";#N/A,#N/A,FALSE,"Bce_holdusd";#N/A,#N/A,FALSE,"eerr_holdusd";#N/A,#N/A,FALSE,"eerr_produsd";#N/A,#N/A,FALSE,"eerr_tipogtosusd";#N/A,#N/A,FALSE,"Flujousd";#N/A,#N/A,FALSE,"Var_Ebitusd";#N/A,#N/A,FALSE,"Noausd";#N/A,#N/A,FALSE,"Var_Noausd"}</definedName>
    <definedName name="sssss" hidden="1">{"INDICE_USD",#N/A,FALSE,"Indice";#N/A,#N/A,FALSE,"Condusd";#N/A,#N/A,FALSE,"Bce_holdusd";#N/A,#N/A,FALSE,"eerr_holdusd";#N/A,#N/A,FALSE,"eerr_produsd";#N/A,#N/A,FALSE,"eerr_tipogtosusd";#N/A,#N/A,FALSE,"Flujousd";#N/A,#N/A,FALSE,"Var_Ebitusd";#N/A,#N/A,FALSE,"Noausd";#N/A,#N/A,FALSE,"Var_Noausd"}</definedName>
    <definedName name="sssssssssss" localSheetId="15" hidden="1">{#N/A,#N/A,FALSE,"GRAFICO";#N/A,#N/A,FALSE,"CAJA (2)";#N/A,#N/A,FALSE,"TERCEROS-PROMEDIO";#N/A,#N/A,FALSE,"CAJA";#N/A,#N/A,FALSE,"INGRESOS1995-2003";#N/A,#N/A,FALSE,"GASTOS1995-2003"}</definedName>
    <definedName name="sssssssssss" localSheetId="14" hidden="1">{#N/A,#N/A,FALSE,"GRAFICO";#N/A,#N/A,FALSE,"CAJA (2)";#N/A,#N/A,FALSE,"TERCEROS-PROMEDIO";#N/A,#N/A,FALSE,"CAJA";#N/A,#N/A,FALSE,"INGRESOS1995-2003";#N/A,#N/A,FALSE,"GASTOS1995-2003"}</definedName>
    <definedName name="sssssssssss" hidden="1">{#N/A,#N/A,FALSE,"GRAFICO";#N/A,#N/A,FALSE,"CAJA (2)";#N/A,#N/A,FALSE,"TERCEROS-PROMEDIO";#N/A,#N/A,FALSE,"CAJA";#N/A,#N/A,FALSE,"INGRESOS1995-2003";#N/A,#N/A,FALSE,"GASTOS1995-2003"}</definedName>
    <definedName name="t" localSheetId="15" hidden="1">{"'S. C. B.'!$E$207"}</definedName>
    <definedName name="t" localSheetId="14" hidden="1">{"'S. C. B.'!$E$207"}</definedName>
    <definedName name="t" hidden="1">{"'S. C. B.'!$E$207"}</definedName>
    <definedName name="TC" localSheetId="15" hidden="1">{#N/A,#N/A,FALSE,"GRAFICO";#N/A,#N/A,FALSE,"CAJA (2)";#N/A,#N/A,FALSE,"TERCEROS-PROMEDIO";#N/A,#N/A,FALSE,"CAJA";#N/A,#N/A,FALSE,"INGRESOS1995-2003";#N/A,#N/A,FALSE,"GASTOS1995-2003"}</definedName>
    <definedName name="TC" localSheetId="14" hidden="1">{#N/A,#N/A,FALSE,"GRAFICO";#N/A,#N/A,FALSE,"CAJA (2)";#N/A,#N/A,FALSE,"TERCEROS-PROMEDIO";#N/A,#N/A,FALSE,"CAJA";#N/A,#N/A,FALSE,"INGRESOS1995-2003";#N/A,#N/A,FALSE,"GASTOS1995-2003"}</definedName>
    <definedName name="TC" hidden="1">{#N/A,#N/A,FALSE,"GRAFICO";#N/A,#N/A,FALSE,"CAJA (2)";#N/A,#N/A,FALSE,"TERCEROS-PROMEDIO";#N/A,#N/A,FALSE,"CAJA";#N/A,#N/A,FALSE,"INGRESOS1995-2003";#N/A,#N/A,FALSE,"GASTOS1995-2003"}</definedName>
    <definedName name="TESV" localSheetId="15" hidden="1">{"'S. C. B.'!$E$207"}</definedName>
    <definedName name="TESV" localSheetId="14" hidden="1">{"'S. C. B.'!$E$207"}</definedName>
    <definedName name="TESV" hidden="1">{"'S. C. B.'!$E$207"}</definedName>
    <definedName name="TextRefCopyRangeCount" hidden="1">2</definedName>
    <definedName name="tid" localSheetId="15" hidden="1">{"'S. C. B.'!$E$207"}</definedName>
    <definedName name="tid" localSheetId="14" hidden="1">{"'S. C. B.'!$E$207"}</definedName>
    <definedName name="tid" hidden="1">{"'S. C. B.'!$E$207"}</definedName>
    <definedName name="TONELADA" localSheetId="15" hidden="1">{#N/A,#N/A,FALSE,"balance";#N/A,#N/A,FALSE,"PYG"}</definedName>
    <definedName name="TONELADA" localSheetId="14" hidden="1">{#N/A,#N/A,FALSE,"balance";#N/A,#N/A,FALSE,"PYG"}</definedName>
    <definedName name="TONELADA" hidden="1">{#N/A,#N/A,FALSE,"balance";#N/A,#N/A,FALSE,"PYG"}</definedName>
    <definedName name="TONELADAS" localSheetId="15" hidden="1">{#N/A,#N/A,FALSE,"balance";#N/A,#N/A,FALSE,"PYG"}</definedName>
    <definedName name="TONELADAS" localSheetId="14" hidden="1">{#N/A,#N/A,FALSE,"balance";#N/A,#N/A,FALSE,"PYG"}</definedName>
    <definedName name="TONELADAS" hidden="1">{#N/A,#N/A,FALSE,"balance";#N/A,#N/A,FALSE,"PYG"}</definedName>
    <definedName name="treeList" hidden="1">"10000000000000000000000000000000000000000000000000000000000000000000000000000000000000000000000000000000000000000000000000000000000000000000000000000000000000000000000000000000000000000000000000000000"</definedName>
    <definedName name="Triunfo" localSheetId="15" hidden="1">{#N/A,#N/A,FALSE,"balance";#N/A,#N/A,FALSE,"PYG"}</definedName>
    <definedName name="Triunfo" localSheetId="14" hidden="1">{#N/A,#N/A,FALSE,"balance";#N/A,#N/A,FALSE,"PYG"}</definedName>
    <definedName name="Triunfo" hidden="1">{#N/A,#N/A,FALSE,"balance";#N/A,#N/A,FALSE,"PYG"}</definedName>
    <definedName name="TTT" localSheetId="15" hidden="1">{"KWHTONTOTAL",#N/A,FALSE,"KWHTON"}</definedName>
    <definedName name="TTT" localSheetId="14" hidden="1">{"KWHTONTOTAL",#N/A,FALSE,"KWHTON"}</definedName>
    <definedName name="TTT" hidden="1">{"KWHTONTOTAL",#N/A,FALSE,"KWHTON"}</definedName>
    <definedName name="tttttttt" localSheetId="15" hidden="1">{"PYGT",#N/A,FALSE,"PYG";"ACTIT",#N/A,FALSE,"BCE_GRAL-ACTIVO";"PASIT",#N/A,FALSE,"BCE_GRAL-PASIVO-PATRIM";"CAJAT",#N/A,FALSE,"CAJA"}</definedName>
    <definedName name="tttttttt" localSheetId="14" hidden="1">{"PYGT",#N/A,FALSE,"PYG";"ACTIT",#N/A,FALSE,"BCE_GRAL-ACTIVO";"PASIT",#N/A,FALSE,"BCE_GRAL-PASIVO-PATRIM";"CAJAT",#N/A,FALSE,"CAJA"}</definedName>
    <definedName name="tttttttt" hidden="1">{"PYGT",#N/A,FALSE,"PYG";"ACTIT",#N/A,FALSE,"BCE_GRAL-ACTIVO";"PASIT",#N/A,FALSE,"BCE_GRAL-PASIVO-PATRIM";"CAJAT",#N/A,FALSE,"CAJA"}</definedName>
    <definedName name="ttttttttttt" localSheetId="15" hidden="1">{"PYGT",#N/A,FALSE,"PYG";"ACTIT",#N/A,FALSE,"BCE_GRAL-ACTIVO";"PASIT",#N/A,FALSE,"BCE_GRAL-PASIVO-PATRIM";"CAJAT",#N/A,FALSE,"CAJA"}</definedName>
    <definedName name="ttttttttttt" localSheetId="14" hidden="1">{"PYGT",#N/A,FALSE,"PYG";"ACTIT",#N/A,FALSE,"BCE_GRAL-ACTIVO";"PASIT",#N/A,FALSE,"BCE_GRAL-PASIVO-PATRIM";"CAJAT",#N/A,FALSE,"CAJA"}</definedName>
    <definedName name="ttttttttttt" hidden="1">{"PYGT",#N/A,FALSE,"PYG";"ACTIT",#N/A,FALSE,"BCE_GRAL-ACTIVO";"PASIT",#N/A,FALSE,"BCE_GRAL-PASIVO-PATRIM";"CAJAT",#N/A,FALSE,"CAJA"}</definedName>
    <definedName name="ttttttttttttt" localSheetId="15" hidden="1">{"PYGT",#N/A,FALSE,"PYG";"ACTIT",#N/A,FALSE,"BCE_GRAL-ACTIVO";"PASIT",#N/A,FALSE,"BCE_GRAL-PASIVO-PATRIM";"CAJAT",#N/A,FALSE,"CAJA"}</definedName>
    <definedName name="ttttttttttttt" localSheetId="14" hidden="1">{"PYGT",#N/A,FALSE,"PYG";"ACTIT",#N/A,FALSE,"BCE_GRAL-ACTIVO";"PASIT",#N/A,FALSE,"BCE_GRAL-PASIVO-PATRIM";"CAJAT",#N/A,FALSE,"CAJA"}</definedName>
    <definedName name="ttttttttttttt" hidden="1">{"PYGT",#N/A,FALSE,"PYG";"ACTIT",#N/A,FALSE,"BCE_GRAL-ACTIVO";"PASIT",#N/A,FALSE,"BCE_GRAL-PASIVO-PATRIM";"CAJAT",#N/A,FALSE,"CAJA"}</definedName>
    <definedName name="u" localSheetId="15" hidden="1">{#N/A,#N/A,TRUE,"Cond";#N/A,#N/A,TRUE,"Bce_hold";#N/A,#N/A,TRUE,"eerr_hold";#N/A,#N/A,TRUE,"eerr_prod";#N/A,#N/A,TRUE,"eerr_tipogtos";#N/A,#N/A,TRUE,"Flujo";#N/A,#N/A,TRUE,"Var_Ebit";#N/A,#N/A,TRUE,"Noa";#N/A,#N/A,TRUE,"Var_Noa"}</definedName>
    <definedName name="u" localSheetId="14" hidden="1">{#N/A,#N/A,TRUE,"Cond";#N/A,#N/A,TRUE,"Bce_hold";#N/A,#N/A,TRUE,"eerr_hold";#N/A,#N/A,TRUE,"eerr_prod";#N/A,#N/A,TRUE,"eerr_tipogtos";#N/A,#N/A,TRUE,"Flujo";#N/A,#N/A,TRUE,"Var_Ebit";#N/A,#N/A,TRUE,"Noa";#N/A,#N/A,TRUE,"Var_Noa"}</definedName>
    <definedName name="u" hidden="1">{#N/A,#N/A,TRUE,"Cond";#N/A,#N/A,TRUE,"Bce_hold";#N/A,#N/A,TRUE,"eerr_hold";#N/A,#N/A,TRUE,"eerr_prod";#N/A,#N/A,TRUE,"eerr_tipogtos";#N/A,#N/A,TRUE,"Flujo";#N/A,#N/A,TRUE,"Var_Ebit";#N/A,#N/A,TRUE,"Noa";#N/A,#N/A,TRUE,"Var_Noa"}</definedName>
    <definedName name="Ua" localSheetId="15" hidden="1">{#N/A,#N/A,FALSE,"balance";#N/A,#N/A,FALSE,"PYG"}</definedName>
    <definedName name="Ua" localSheetId="14" hidden="1">{#N/A,#N/A,FALSE,"balance";#N/A,#N/A,FALSE,"PYG"}</definedName>
    <definedName name="Ua" hidden="1">{#N/A,#N/A,FALSE,"balance";#N/A,#N/A,FALSE,"PYG"}</definedName>
    <definedName name="ui" localSheetId="15" hidden="1">{#N/A,#N/A,TRUE,"Cond";#N/A,#N/A,TRUE,"Bce_hold";#N/A,#N/A,TRUE,"eerr_hold";#N/A,#N/A,TRUE,"eerr_prod";#N/A,#N/A,TRUE,"eerr_tipogtos";#N/A,#N/A,TRUE,"Flujo";#N/A,#N/A,TRUE,"Var_Ebit";#N/A,#N/A,TRUE,"Noa";#N/A,#N/A,TRUE,"Var_Noa"}</definedName>
    <definedName name="ui" localSheetId="14" hidden="1">{#N/A,#N/A,TRUE,"Cond";#N/A,#N/A,TRUE,"Bce_hold";#N/A,#N/A,TRUE,"eerr_hold";#N/A,#N/A,TRUE,"eerr_prod";#N/A,#N/A,TRUE,"eerr_tipogtos";#N/A,#N/A,TRUE,"Flujo";#N/A,#N/A,TRUE,"Var_Ebit";#N/A,#N/A,TRUE,"Noa";#N/A,#N/A,TRUE,"Var_Noa"}</definedName>
    <definedName name="ui" hidden="1">{#N/A,#N/A,TRUE,"Cond";#N/A,#N/A,TRUE,"Bce_hold";#N/A,#N/A,TRUE,"eerr_hold";#N/A,#N/A,TRUE,"eerr_prod";#N/A,#N/A,TRUE,"eerr_tipogtos";#N/A,#N/A,TRUE,"Flujo";#N/A,#N/A,TRUE,"Var_Ebit";#N/A,#N/A,TRUE,"Noa";#N/A,#N/A,TRUE,"Var_Noa"}</definedName>
    <definedName name="VENTA" localSheetId="15" hidden="1">{"'S. C. B.'!$E$207"}</definedName>
    <definedName name="VENTA" localSheetId="14" hidden="1">{"'S. C. B.'!$E$207"}</definedName>
    <definedName name="VENTA" hidden="1">{"'S. C. B.'!$E$207"}</definedName>
    <definedName name="VENTAS" localSheetId="15" hidden="1">{"'S. C. B.'!$E$207"}</definedName>
    <definedName name="VENTAS" localSheetId="14" hidden="1">{"'S. C. B.'!$E$207"}</definedName>
    <definedName name="VENTAS" hidden="1">{"'S. C. B.'!$E$207"}</definedName>
    <definedName name="VTA" localSheetId="15" hidden="1">{"'S. C. B.'!$E$207"}</definedName>
    <definedName name="VTA" localSheetId="14" hidden="1">{"'S. C. B.'!$E$207"}</definedName>
    <definedName name="VTA" hidden="1">{"'S. C. B.'!$E$207"}</definedName>
    <definedName name="vvvv" localSheetId="15" hidden="1">{#N/A,#N/A,FALSE,"balance";#N/A,#N/A,FALSE,"PYG"}</definedName>
    <definedName name="vvvv" localSheetId="14" hidden="1">{#N/A,#N/A,FALSE,"balance";#N/A,#N/A,FALSE,"PYG"}</definedName>
    <definedName name="vvvv" hidden="1">{#N/A,#N/A,FALSE,"balance";#N/A,#N/A,FALSE,"PYG"}</definedName>
    <definedName name="w" localSheetId="15" hidden="1">{#N/A,#N/A,FALSE,"Aging Summary";#N/A,#N/A,FALSE,"Ratio Analysis";#N/A,#N/A,FALSE,"Test 120 Day Accts";#N/A,#N/A,FALSE,"Tickmarks"}</definedName>
    <definedName name="w" localSheetId="14" hidden="1">{#N/A,#N/A,FALSE,"Aging Summary";#N/A,#N/A,FALSE,"Ratio Analysis";#N/A,#N/A,FALSE,"Test 120 Day Accts";#N/A,#N/A,FALSE,"Tickmarks"}</definedName>
    <definedName name="w"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1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15" hidden="1">{#N/A,#N/A,FALSE,"BL&amp;GPA";#N/A,#N/A,FALSE,"Summary";#N/A,#N/A,FALSE,"hts"}</definedName>
    <definedName name="wrn.all." localSheetId="14" hidden="1">{#N/A,#N/A,FALSE,"BL&amp;GPA";#N/A,#N/A,FALSE,"Summary";#N/A,#N/A,FALSE,"hts"}</definedName>
    <definedName name="wrn.all." hidden="1">{#N/A,#N/A,FALSE,"BL&amp;GPA";#N/A,#N/A,FALSE,"Summary";#N/A,#N/A,FALSE,"hts"}</definedName>
    <definedName name="WRN.ALL.2" localSheetId="15" hidden="1">{#N/A,#N/A,FALSE,"BL&amp;GPA";#N/A,#N/A,FALSE,"Summary";#N/A,#N/A,FALSE,"hts"}</definedName>
    <definedName name="WRN.ALL.2" localSheetId="14" hidden="1">{#N/A,#N/A,FALSE,"BL&amp;GPA";#N/A,#N/A,FALSE,"Summary";#N/A,#N/A,FALSE,"hts"}</definedName>
    <definedName name="WRN.ALL.2" hidden="1">{#N/A,#N/A,FALSE,"BL&amp;GPA";#N/A,#N/A,FALSE,"Summary";#N/A,#N/A,FALSE,"hts"}</definedName>
    <definedName name="wrn.Financ_polchem." localSheetId="15" hidden="1">{#N/A,#N/A,TRUE,"Cond";#N/A,#N/A,TRUE,"Bce_hold";#N/A,#N/A,TRUE,"eerr_hold";#N/A,#N/A,TRUE,"eerr_prod";#N/A,#N/A,TRUE,"eerr_tipogtos";#N/A,#N/A,TRUE,"Flujo";#N/A,#N/A,TRUE,"Var_Ebit";#N/A,#N/A,TRUE,"Noa";#N/A,#N/A,TRUE,"Var_Noa"}</definedName>
    <definedName name="wrn.Financ_polchem." localSheetId="14" hidden="1">{#N/A,#N/A,TRUE,"Cond";#N/A,#N/A,TRUE,"Bce_hold";#N/A,#N/A,TRUE,"eerr_hold";#N/A,#N/A,TRUE,"eerr_prod";#N/A,#N/A,TRUE,"eerr_tipogtos";#N/A,#N/A,TRUE,"Flujo";#N/A,#N/A,TRUE,"Var_Ebit";#N/A,#N/A,TRUE,"Noa";#N/A,#N/A,TRUE,"Var_Noa"}</definedName>
    <definedName name="wrn.Financ_polchem." hidden="1">{#N/A,#N/A,TRUE,"Cond";#N/A,#N/A,TRUE,"Bce_hold";#N/A,#N/A,TRUE,"eerr_hold";#N/A,#N/A,TRUE,"eerr_prod";#N/A,#N/A,TRUE,"eerr_tipogtos";#N/A,#N/A,TRUE,"Flujo";#N/A,#N/A,TRUE,"Var_Ebit";#N/A,#N/A,TRUE,"Noa";#N/A,#N/A,TRUE,"Var_Noa"}</definedName>
    <definedName name="wrn.indirectostotal." localSheetId="15" hidden="1">{"idirectoskwh",#N/A,FALSE,"INDIRECTOS"}</definedName>
    <definedName name="wrn.indirectostotal." localSheetId="14" hidden="1">{"idirectoskwh",#N/A,FALSE,"INDIRECTOS"}</definedName>
    <definedName name="wrn.indirectostotal." hidden="1">{"idirectoskwh",#N/A,FALSE,"INDIRECTOS"}</definedName>
    <definedName name="wrn.Inf_CLP." localSheetId="15" hidden="1">{#N/A,#N/A,TRUE,"TAPA ";"INDICE_CLP",#N/A,TRUE,"Indice";#N/A,#N/A,TRUE,"Cond";#N/A,#N/A,TRUE,"Bce_hold";#N/A,#N/A,TRUE,"eerr_hold";#N/A,#N/A,TRUE,"eerr_prod";#N/A,#N/A,TRUE,"eerr_tipogtos";#N/A,#N/A,TRUE,"Flujo";#N/A,#N/A,TRUE,"Var_Ebit";#N/A,#N/A,TRUE,"Noa";#N/A,#N/A,TRUE,"Var_Noa"}</definedName>
    <definedName name="wrn.Inf_CLP." localSheetId="14" hidden="1">{#N/A,#N/A,TRUE,"TAPA ";"INDICE_CLP",#N/A,TRUE,"Indice";#N/A,#N/A,TRUE,"Cond";#N/A,#N/A,TRUE,"Bce_hold";#N/A,#N/A,TRUE,"eerr_hold";#N/A,#N/A,TRUE,"eerr_prod";#N/A,#N/A,TRUE,"eerr_tipogtos";#N/A,#N/A,TRUE,"Flujo";#N/A,#N/A,TRUE,"Var_Ebit";#N/A,#N/A,TRUE,"Noa";#N/A,#N/A,TRUE,"Var_Noa"}</definedName>
    <definedName name="wrn.Inf_CLP." hidden="1">{#N/A,#N/A,TRUE,"TAPA ";"INDICE_CLP",#N/A,TRUE,"Indice";#N/A,#N/A,TRUE,"Cond";#N/A,#N/A,TRUE,"Bce_hold";#N/A,#N/A,TRUE,"eerr_hold";#N/A,#N/A,TRUE,"eerr_prod";#N/A,#N/A,TRUE,"eerr_tipogtos";#N/A,#N/A,TRUE,"Flujo";#N/A,#N/A,TRUE,"Var_Ebit";#N/A,#N/A,TRUE,"Noa";#N/A,#N/A,TRUE,"Var_Noa"}</definedName>
    <definedName name="wrn.INF_USD." localSheetId="15" hidden="1">{"INDICE_USD",#N/A,FALSE,"Indice";#N/A,#N/A,FALSE,"Condusd";#N/A,#N/A,FALSE,"Bce_holdusd";#N/A,#N/A,FALSE,"eerr_holdusd";#N/A,#N/A,FALSE,"eerr_produsd";#N/A,#N/A,FALSE,"eerr_tipogtosusd";#N/A,#N/A,FALSE,"Flujousd";#N/A,#N/A,FALSE,"Var_Ebitusd";#N/A,#N/A,FALSE,"Noausd";#N/A,#N/A,FALSE,"Var_Noausd"}</definedName>
    <definedName name="wrn.INF_USD." localSheetId="14" hidden="1">{"INDICE_USD",#N/A,FALSE,"Indice";#N/A,#N/A,FALSE,"Condusd";#N/A,#N/A,FALSE,"Bce_holdusd";#N/A,#N/A,FALSE,"eerr_holdusd";#N/A,#N/A,FALSE,"eerr_produsd";#N/A,#N/A,FALSE,"eerr_tipogtosusd";#N/A,#N/A,FALSE,"Flujousd";#N/A,#N/A,FALSE,"Var_Ebitusd";#N/A,#N/A,FALSE,"Noausd";#N/A,#N/A,FALSE,"Var_Noausd"}</definedName>
    <definedName name="wrn.INF_USD." hidden="1">{"INDICE_USD",#N/A,FALSE,"Indice";#N/A,#N/A,FALSE,"Condusd";#N/A,#N/A,FALSE,"Bce_holdusd";#N/A,#N/A,FALSE,"eerr_holdusd";#N/A,#N/A,FALSE,"eerr_produsd";#N/A,#N/A,FALSE,"eerr_tipogtosusd";#N/A,#N/A,FALSE,"Flujousd";#N/A,#N/A,FALSE,"Var_Ebitusd";#N/A,#N/A,FALSE,"Noausd";#N/A,#N/A,FALSE,"Var_Noausd"}</definedName>
    <definedName name="wrn.junta." localSheetId="15" hidden="1">{#N/A,#N/A,FALSE,"balance";#N/A,#N/A,FALSE,"PYG"}</definedName>
    <definedName name="wrn.junta." localSheetId="14" hidden="1">{#N/A,#N/A,FALSE,"balance";#N/A,#N/A,FALSE,"PYG"}</definedName>
    <definedName name="wrn.junta." hidden="1">{#N/A,#N/A,FALSE,"balance";#N/A,#N/A,FALSE,"PYG"}</definedName>
    <definedName name="wrn.junta.2" localSheetId="15" hidden="1">{#N/A,#N/A,FALSE,"balance";#N/A,#N/A,FALSE,"PYG"}</definedName>
    <definedName name="wrn.junta.2" localSheetId="14" hidden="1">{#N/A,#N/A,FALSE,"balance";#N/A,#N/A,FALSE,"PYG"}</definedName>
    <definedName name="wrn.junta.2" hidden="1">{#N/A,#N/A,FALSE,"balance";#N/A,#N/A,FALSE,"PYG"}</definedName>
    <definedName name="wrn.KWHTOTAL." localSheetId="15" hidden="1">{"KWHTONTOTAL",#N/A,FALSE,"KWHTON"}</definedName>
    <definedName name="wrn.KWHTOTAL." localSheetId="14" hidden="1">{"KWHTONTOTAL",#N/A,FALSE,"KWHTON"}</definedName>
    <definedName name="wrn.KWHTOTAL." hidden="1">{"KWHTONTOTAL",#N/A,FALSE,"KWHTON"}</definedName>
    <definedName name="wrn.print._.rept.." localSheetId="15" hidden="1">{#N/A,#N/A,FALSE,"GP";#N/A,#N/A,FALSE,"Summary"}</definedName>
    <definedName name="wrn.print._.rept.." localSheetId="14" hidden="1">{#N/A,#N/A,FALSE,"GP";#N/A,#N/A,FALSE,"Summary"}</definedName>
    <definedName name="wrn.print._.rept.." hidden="1">{#N/A,#N/A,FALSE,"GP";#N/A,#N/A,FALSE,"Summary"}</definedName>
    <definedName name="wrn.PROYEC." localSheetId="15" hidden="1">{#N/A,#N/A,FALSE,"GRAFICO";#N/A,#N/A,FALSE,"CAJA (2)";#N/A,#N/A,FALSE,"TERCEROS-PROMEDIO";#N/A,#N/A,FALSE,"CAJA";#N/A,#N/A,FALSE,"INGRESOS1995-2003";#N/A,#N/A,FALSE,"GASTOS1995-2003"}</definedName>
    <definedName name="wrn.PROYEC." localSheetId="14"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SENCILLO." localSheetId="15" hidden="1">{"PYGS",#N/A,FALSE,"PYG";"ACTIS",#N/A,FALSE,"BCE_GRAL-ACTIVO";"PASIS",#N/A,FALSE,"BCE_GRAL-PASIVO-PATRIM";"CAJAS",#N/A,FALSE,"CAJA"}</definedName>
    <definedName name="wrn.SENCILLO." localSheetId="14"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15" hidden="1">{"PYGT",#N/A,FALSE,"PYG";"ACTIT",#N/A,FALSE,"BCE_GRAL-ACTIVO";"PASIT",#N/A,FALSE,"BCE_GRAL-PASIVO-PATRIM";"CAJAT",#N/A,FALSE,"CAJA"}</definedName>
    <definedName name="wrn.TOTAL." localSheetId="14" hidden="1">{"PYGT",#N/A,FALSE,"PYG";"ACTIT",#N/A,FALSE,"BCE_GRAL-ACTIVO";"PASIT",#N/A,FALSE,"BCE_GRAL-PASIVO-PATRIM";"CAJAT",#N/A,FALSE,"CAJA"}</definedName>
    <definedName name="wrn.TOTAL." hidden="1">{"PYGT",#N/A,FALSE,"PYG";"ACTIT",#N/A,FALSE,"BCE_GRAL-ACTIVO";"PASIT",#N/A,FALSE,"BCE_GRAL-PASIVO-PATRIM";"CAJAT",#N/A,FALSE,"CAJA"}</definedName>
    <definedName name="Wrn_print._rept_2" localSheetId="15" hidden="1">{#N/A,#N/A,FALSE,"GP";#N/A,#N/A,FALSE,"Summary"}</definedName>
    <definedName name="Wrn_print._rept_2" localSheetId="14" hidden="1">{#N/A,#N/A,FALSE,"GP";#N/A,#N/A,FALSE,"Summary"}</definedName>
    <definedName name="Wrn_print._rept_2" hidden="1">{#N/A,#N/A,FALSE,"GP";#N/A,#N/A,FALSE,"Summary"}</definedName>
    <definedName name="WWWW" localSheetId="15" hidden="1">{"KWHTONTOTAL",#N/A,FALSE,"KWHTON"}</definedName>
    <definedName name="WWWW" localSheetId="14" hidden="1">{"KWHTONTOTAL",#N/A,FALSE,"KWHTON"}</definedName>
    <definedName name="WWWW" hidden="1">{"KWHTONTOTAL",#N/A,FALSE,"KWHTON"}</definedName>
    <definedName name="wwwwww" localSheetId="15" hidden="1">{#N/A,#N/A,TRUE,"Cond";#N/A,#N/A,TRUE,"Bce_hold";#N/A,#N/A,TRUE,"eerr_hold";#N/A,#N/A,TRUE,"eerr_prod";#N/A,#N/A,TRUE,"eerr_tipogtos";#N/A,#N/A,TRUE,"Flujo";#N/A,#N/A,TRUE,"Var_Ebit";#N/A,#N/A,TRUE,"Noa";#N/A,#N/A,TRUE,"Var_Noa"}</definedName>
    <definedName name="wwwwww" localSheetId="14" hidden="1">{#N/A,#N/A,TRUE,"Cond";#N/A,#N/A,TRUE,"Bce_hold";#N/A,#N/A,TRUE,"eerr_hold";#N/A,#N/A,TRUE,"eerr_prod";#N/A,#N/A,TRUE,"eerr_tipogtos";#N/A,#N/A,TRUE,"Flujo";#N/A,#N/A,TRUE,"Var_Ebit";#N/A,#N/A,TRUE,"Noa";#N/A,#N/A,TRUE,"Var_Noa"}</definedName>
    <definedName name="wwwwww" hidden="1">{#N/A,#N/A,TRUE,"Cond";#N/A,#N/A,TRUE,"Bce_hold";#N/A,#N/A,TRUE,"eerr_hold";#N/A,#N/A,TRUE,"eerr_prod";#N/A,#N/A,TRUE,"eerr_tipogtos";#N/A,#N/A,TRUE,"Flujo";#N/A,#N/A,TRUE,"Var_Ebit";#N/A,#N/A,TRUE,"Noa";#N/A,#N/A,TRUE,"Var_Noa"}</definedName>
    <definedName name="xchk" localSheetId="15" hidden="1">{#N/A,#N/A,FALSE,"balance";#N/A,#N/A,FALSE,"PYG"}</definedName>
    <definedName name="xchk" localSheetId="14" hidden="1">{#N/A,#N/A,FALSE,"balance";#N/A,#N/A,FALSE,"PYG"}</definedName>
    <definedName name="xchk" hidden="1">{#N/A,#N/A,FALSE,"balance";#N/A,#N/A,FALSE,"PYG"}</definedName>
    <definedName name="XREF_COLUMN_1" localSheetId="15" hidden="1">#REF!</definedName>
    <definedName name="XREF_COLUMN_1" localSheetId="14" hidden="1">#REF!</definedName>
    <definedName name="XREF_COLUMN_1" hidden="1">#REF!</definedName>
    <definedName name="XRefActiveRow" localSheetId="15" hidden="1">#REF!</definedName>
    <definedName name="XRefActiveRow" localSheetId="14" hidden="1">#REF!</definedName>
    <definedName name="XRefActiveRow" hidden="1">#REF!</definedName>
    <definedName name="XRefColumnsCount" hidden="1">1</definedName>
    <definedName name="XRefCopyRangeCount" hidden="1">1</definedName>
    <definedName name="XRefPasteRangeCount" hidden="1">1</definedName>
    <definedName name="XXX" localSheetId="15" hidden="1">{#N/A,#N/A,FALSE,"balance";#N/A,#N/A,FALSE,"PYG"}</definedName>
    <definedName name="XXX" localSheetId="14" hidden="1">{#N/A,#N/A,FALSE,"balance";#N/A,#N/A,FALSE,"PYG"}</definedName>
    <definedName name="XXX" hidden="1">{#N/A,#N/A,FALSE,"balance";#N/A,#N/A,FALSE,"PYG"}</definedName>
    <definedName name="XXXX" localSheetId="15" hidden="1">{#N/A,#N/A,FALSE,"Aging Summary";#N/A,#N/A,FALSE,"Ratio Analysis";#N/A,#N/A,FALSE,"Test 120 Day Accts";#N/A,#N/A,FALSE,"Tickmarks"}</definedName>
    <definedName name="XXXX" localSheetId="14" hidden="1">{#N/A,#N/A,FALSE,"Aging Summary";#N/A,#N/A,FALSE,"Ratio Analysis";#N/A,#N/A,FALSE,"Test 120 Day Accts";#N/A,#N/A,FALSE,"Tickmarks"}</definedName>
    <definedName name="XXXX" hidden="1">{#N/A,#N/A,FALSE,"Aging Summary";#N/A,#N/A,FALSE,"Ratio Analysis";#N/A,#N/A,FALSE,"Test 120 Day Accts";#N/A,#N/A,FALSE,"Tickmarks"}</definedName>
    <definedName name="xxxxxx" localSheetId="15" hidden="1">{#N/A,#N/A,FALSE,"Aging Summary";#N/A,#N/A,FALSE,"Ratio Analysis";#N/A,#N/A,FALSE,"Test 120 Day Accts";#N/A,#N/A,FALSE,"Tickmarks"}</definedName>
    <definedName name="xxxxxx" localSheetId="14" hidden="1">{#N/A,#N/A,FALSE,"Aging Summary";#N/A,#N/A,FALSE,"Ratio Analysis";#N/A,#N/A,FALSE,"Test 120 Day Accts";#N/A,#N/A,FALSE,"Tickmarks"}</definedName>
    <definedName name="xxxxxx" hidden="1">{#N/A,#N/A,FALSE,"Aging Summary";#N/A,#N/A,FALSE,"Ratio Analysis";#N/A,#N/A,FALSE,"Test 120 Day Accts";#N/A,#N/A,FALSE,"Tickmarks"}</definedName>
    <definedName name="xxxxxxxxxxxx" localSheetId="15" hidden="1">{#N/A,#N/A,FALSE,"Aging Summary";#N/A,#N/A,FALSE,"Ratio Analysis";#N/A,#N/A,FALSE,"Test 120 Day Accts";#N/A,#N/A,FALSE,"Tickmarks"}</definedName>
    <definedName name="xxxxxxxxxxxx" localSheetId="14" hidden="1">{#N/A,#N/A,FALSE,"Aging Summary";#N/A,#N/A,FALSE,"Ratio Analysis";#N/A,#N/A,FALSE,"Test 120 Day Accts";#N/A,#N/A,FALSE,"Tickmarks"}</definedName>
    <definedName name="xxxxxxxxxxxx" hidden="1">{#N/A,#N/A,FALSE,"Aging Summary";#N/A,#N/A,FALSE,"Ratio Analysis";#N/A,#N/A,FALSE,"Test 120 Day Accts";#N/A,#N/A,FALSE,"Tickmarks"}</definedName>
    <definedName name="YO" localSheetId="15" hidden="1">{#N/A,#N/A,FALSE,"GRAFICO";#N/A,#N/A,FALSE,"CAJA (2)";#N/A,#N/A,FALSE,"TERCEROS-PROMEDIO";#N/A,#N/A,FALSE,"CAJA";#N/A,#N/A,FALSE,"INGRESOS1995-2003";#N/A,#N/A,FALSE,"GASTOS1995-2003"}</definedName>
    <definedName name="YO" localSheetId="14"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uftfyf" localSheetId="15" hidden="1">{#N/A,#N/A,FALSE,"balance";#N/A,#N/A,FALSE,"PYG"}</definedName>
    <definedName name="yuftfyf" localSheetId="14" hidden="1">{#N/A,#N/A,FALSE,"balance";#N/A,#N/A,FALSE,"PYG"}</definedName>
    <definedName name="yuftfyf" hidden="1">{#N/A,#N/A,FALSE,"balance";#N/A,#N/A,FALSE,"PYG"}</definedName>
    <definedName name="yugdnk" localSheetId="15" hidden="1">{#N/A,#N/A,FALSE,"balance";#N/A,#N/A,FALSE,"PYG"}</definedName>
    <definedName name="yugdnk" localSheetId="14" hidden="1">{#N/A,#N/A,FALSE,"balance";#N/A,#N/A,FALSE,"PYG"}</definedName>
    <definedName name="yugdnk" hidden="1">{#N/A,#N/A,FALSE,"balance";#N/A,#N/A,FALSE,"PYG"}</definedName>
    <definedName name="YY" localSheetId="15" hidden="1">{#N/A,#N/A,FALSE,"GRAFICO";#N/A,#N/A,FALSE,"CAJA (2)";#N/A,#N/A,FALSE,"TERCEROS-PROMEDIO";#N/A,#N/A,FALSE,"CAJA";#N/A,#N/A,FALSE,"INGRESOS1995-2003";#N/A,#N/A,FALSE,"GASTOS1995-2003"}</definedName>
    <definedName name="YY" localSheetId="14" hidden="1">{#N/A,#N/A,FALSE,"GRAFICO";#N/A,#N/A,FALSE,"CAJA (2)";#N/A,#N/A,FALSE,"TERCEROS-PROMEDIO";#N/A,#N/A,FALSE,"CAJA";#N/A,#N/A,FALSE,"INGRESOS1995-2003";#N/A,#N/A,FALSE,"GASTOS1995-2003"}</definedName>
    <definedName name="YY" hidden="1">{#N/A,#N/A,FALSE,"GRAFICO";#N/A,#N/A,FALSE,"CAJA (2)";#N/A,#N/A,FALSE,"TERCEROS-PROMEDIO";#N/A,#N/A,FALSE,"CAJA";#N/A,#N/A,FALSE,"INGRESOS1995-2003";#N/A,#N/A,FALSE,"GASTOS1995-2003"}</definedName>
    <definedName name="YYYY" localSheetId="15" hidden="1">{#N/A,#N/A,FALSE,"GRAFICO";#N/A,#N/A,FALSE,"CAJA (2)";#N/A,#N/A,FALSE,"TERCEROS-PROMEDIO";#N/A,#N/A,FALSE,"CAJA";#N/A,#N/A,FALSE,"INGRESOS1995-2003";#N/A,#N/A,FALSE,"GASTOS1995-2003"}</definedName>
    <definedName name="YYYY" localSheetId="14" hidden="1">{#N/A,#N/A,FALSE,"GRAFICO";#N/A,#N/A,FALSE,"CAJA (2)";#N/A,#N/A,FALSE,"TERCEROS-PROMEDIO";#N/A,#N/A,FALSE,"CAJA";#N/A,#N/A,FALSE,"INGRESOS1995-2003";#N/A,#N/A,FALSE,"GASTOS1995-2003"}</definedName>
    <definedName name="YYYY" hidden="1">{#N/A,#N/A,FALSE,"GRAFICO";#N/A,#N/A,FALSE,"CAJA (2)";#N/A,#N/A,FALSE,"TERCEROS-PROMEDIO";#N/A,#N/A,FALSE,"CAJA";#N/A,#N/A,FALSE,"INGRESOS1995-2003";#N/A,#N/A,FALSE,"GASTOS1995-2003"}</definedName>
    <definedName name="yyyyyy" localSheetId="15" hidden="1">{"PYGS",#N/A,FALSE,"PYG";"ACTIS",#N/A,FALSE,"BCE_GRAL-ACTIVO";"PASIS",#N/A,FALSE,"BCE_GRAL-PASIVO-PATRIM";"CAJAS",#N/A,FALSE,"CAJA"}</definedName>
    <definedName name="yyyyyy" localSheetId="14" hidden="1">{"PYGS",#N/A,FALSE,"PYG";"ACTIS",#N/A,FALSE,"BCE_GRAL-ACTIVO";"PASIS",#N/A,FALSE,"BCE_GRAL-PASIVO-PATRIM";"CAJAS",#N/A,FALSE,"CAJA"}</definedName>
    <definedName name="yyyyyy" hidden="1">{"PYGS",#N/A,FALSE,"PYG";"ACTIS",#N/A,FALSE,"BCE_GRAL-ACTIVO";"PASIS",#N/A,FALSE,"BCE_GRAL-PASIVO-PATRIM";"CAJAS",#N/A,FALSE,"CAJA"}</definedName>
    <definedName name="yyyyyyyyyyyyyyy" localSheetId="15" hidden="1">{#N/A,#N/A,FALSE,"GRAFICO";#N/A,#N/A,FALSE,"CAJA (2)";#N/A,#N/A,FALSE,"TERCEROS-PROMEDIO";#N/A,#N/A,FALSE,"CAJA";#N/A,#N/A,FALSE,"INGRESOS1995-2003";#N/A,#N/A,FALSE,"GASTOS1995-2003"}</definedName>
    <definedName name="yyyyyyyyyyyyyyy" localSheetId="14" hidden="1">{#N/A,#N/A,FALSE,"GRAFICO";#N/A,#N/A,FALSE,"CAJA (2)";#N/A,#N/A,FALSE,"TERCEROS-PROMEDIO";#N/A,#N/A,FALSE,"CAJA";#N/A,#N/A,FALSE,"INGRESOS1995-2003";#N/A,#N/A,FALSE,"GASTOS1995-2003"}</definedName>
    <definedName name="yyyyyyyyyyyyyyy" hidden="1">{#N/A,#N/A,FALSE,"GRAFICO";#N/A,#N/A,FALSE,"CAJA (2)";#N/A,#N/A,FALSE,"TERCEROS-PROMEDIO";#N/A,#N/A,FALSE,"CAJA";#N/A,#N/A,FALSE,"INGRESOS1995-2003";#N/A,#N/A,FALSE,"GASTOS1995-2003"}</definedName>
    <definedName name="zmmxjd" localSheetId="15" hidden="1">{#N/A,#N/A,TRUE,"Cond";#N/A,#N/A,TRUE,"Bce_hold";#N/A,#N/A,TRUE,"eerr_hold";#N/A,#N/A,TRUE,"eerr_prod";#N/A,#N/A,TRUE,"eerr_tipogtos";#N/A,#N/A,TRUE,"Flujo";#N/A,#N/A,TRUE,"Var_Ebit";#N/A,#N/A,TRUE,"Noa";#N/A,#N/A,TRUE,"Var_Noa"}</definedName>
    <definedName name="zmmxjd" localSheetId="14" hidden="1">{#N/A,#N/A,TRUE,"Cond";#N/A,#N/A,TRUE,"Bce_hold";#N/A,#N/A,TRUE,"eerr_hold";#N/A,#N/A,TRUE,"eerr_prod";#N/A,#N/A,TRUE,"eerr_tipogtos";#N/A,#N/A,TRUE,"Flujo";#N/A,#N/A,TRUE,"Var_Ebit";#N/A,#N/A,TRUE,"Noa";#N/A,#N/A,TRUE,"Var_Noa"}</definedName>
    <definedName name="zmmxjd" hidden="1">{#N/A,#N/A,TRUE,"Cond";#N/A,#N/A,TRUE,"Bce_hold";#N/A,#N/A,TRUE,"eerr_hold";#N/A,#N/A,TRUE,"eerr_prod";#N/A,#N/A,TRUE,"eerr_tipogtos";#N/A,#N/A,TRUE,"Flujo";#N/A,#N/A,TRUE,"Var_Ebit";#N/A,#N/A,TRUE,"Noa";#N/A,#N/A,TRUE,"Var_Noa"}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6" i="88" l="1"/>
  <c r="E76" i="88"/>
  <c r="F7" i="88"/>
  <c r="E7" i="88"/>
  <c r="BY57" i="2" l="1"/>
  <c r="C2" i="27"/>
  <c r="B2" i="27"/>
  <c r="AF27" i="11"/>
  <c r="AF24" i="11"/>
  <c r="AB31" i="11"/>
  <c r="AA31" i="11"/>
  <c r="AE27" i="11"/>
  <c r="AE24" i="11"/>
  <c r="G51" i="81" l="1"/>
  <c r="G50" i="81"/>
  <c r="G34" i="81"/>
  <c r="G33" i="81"/>
  <c r="K17" i="75"/>
  <c r="K16" i="75"/>
  <c r="K9" i="75"/>
  <c r="K8" i="75"/>
  <c r="B59" i="74"/>
  <c r="CG65" i="2"/>
  <c r="CH64" i="2"/>
  <c r="CG64" i="2"/>
  <c r="BS85" i="1"/>
  <c r="BR85" i="1"/>
  <c r="CG59" i="2"/>
  <c r="CH58" i="2"/>
  <c r="CG58" i="2"/>
  <c r="BY59" i="2"/>
  <c r="D94" i="8"/>
  <c r="K64" i="8"/>
  <c r="G64" i="8"/>
  <c r="I64" i="8" s="1"/>
  <c r="F64" i="8"/>
  <c r="G59" i="8"/>
  <c r="G58" i="8"/>
  <c r="I58" i="8" s="1"/>
  <c r="K55" i="8"/>
  <c r="G55" i="8"/>
  <c r="I55" i="8" s="1"/>
  <c r="F55" i="8"/>
  <c r="G50" i="8"/>
  <c r="I50" i="8" s="1"/>
  <c r="K49" i="8"/>
  <c r="G49" i="8"/>
  <c r="I49" i="8" s="1"/>
  <c r="F49" i="8"/>
  <c r="G48" i="8"/>
  <c r="I48" i="8" s="1"/>
  <c r="K47" i="8"/>
  <c r="G47" i="8"/>
  <c r="I47" i="8" s="1"/>
  <c r="F47" i="8"/>
  <c r="J46" i="8"/>
  <c r="E46" i="8"/>
  <c r="F46" i="8" s="1"/>
  <c r="C46" i="8"/>
  <c r="K46" i="8" s="1"/>
  <c r="I45" i="8"/>
  <c r="I42" i="8"/>
  <c r="I38" i="8"/>
  <c r="G38" i="8"/>
  <c r="K37" i="8"/>
  <c r="G37" i="8"/>
  <c r="I37" i="8" s="1"/>
  <c r="F37" i="8"/>
  <c r="K36" i="8"/>
  <c r="G36" i="8"/>
  <c r="I36" i="8" s="1"/>
  <c r="F36" i="8"/>
  <c r="J35" i="8"/>
  <c r="E35" i="8"/>
  <c r="C35" i="8"/>
  <c r="K35" i="8" s="1"/>
  <c r="G33" i="8"/>
  <c r="I33" i="8" s="1"/>
  <c r="K32" i="8"/>
  <c r="G32" i="8"/>
  <c r="I32" i="8" s="1"/>
  <c r="F32" i="8"/>
  <c r="K31" i="8"/>
  <c r="I31" i="8"/>
  <c r="G31" i="8"/>
  <c r="F31" i="8"/>
  <c r="G30" i="8"/>
  <c r="I30" i="8" s="1"/>
  <c r="F30" i="8"/>
  <c r="K29" i="8"/>
  <c r="G29" i="8"/>
  <c r="I29" i="8" s="1"/>
  <c r="F29" i="8"/>
  <c r="K28" i="8"/>
  <c r="I28" i="8"/>
  <c r="G28" i="8"/>
  <c r="F28" i="8"/>
  <c r="J27" i="8"/>
  <c r="E27" i="8"/>
  <c r="C27" i="8"/>
  <c r="G27" i="8" s="1"/>
  <c r="C24" i="8"/>
  <c r="C40" i="8" s="1"/>
  <c r="K22" i="8"/>
  <c r="G22" i="8"/>
  <c r="I22" i="8" s="1"/>
  <c r="F22" i="8"/>
  <c r="G21" i="8"/>
  <c r="I21" i="8" s="1"/>
  <c r="K20" i="8"/>
  <c r="G20" i="8"/>
  <c r="I20" i="8" s="1"/>
  <c r="F20" i="8"/>
  <c r="K19" i="8"/>
  <c r="G19" i="8"/>
  <c r="I19" i="8" s="1"/>
  <c r="F19" i="8"/>
  <c r="K18" i="8"/>
  <c r="J18" i="8"/>
  <c r="E18" i="8"/>
  <c r="C18" i="8"/>
  <c r="G18" i="8" s="1"/>
  <c r="I17" i="8"/>
  <c r="K16" i="8"/>
  <c r="G16" i="8"/>
  <c r="I16" i="8" s="1"/>
  <c r="F16" i="8"/>
  <c r="I15" i="8"/>
  <c r="G15" i="8"/>
  <c r="F15" i="8"/>
  <c r="K14" i="8"/>
  <c r="G14" i="8"/>
  <c r="I14" i="8" s="1"/>
  <c r="F14" i="8"/>
  <c r="K13" i="8"/>
  <c r="G13" i="8"/>
  <c r="I13" i="8" s="1"/>
  <c r="F13" i="8"/>
  <c r="K12" i="8"/>
  <c r="I12" i="8"/>
  <c r="G12" i="8"/>
  <c r="F12" i="8"/>
  <c r="K11" i="8"/>
  <c r="G11" i="8"/>
  <c r="I11" i="8" s="1"/>
  <c r="F11" i="8"/>
  <c r="J10" i="8"/>
  <c r="J24" i="8" s="1"/>
  <c r="G10" i="8"/>
  <c r="E10" i="8"/>
  <c r="F10" i="8" s="1"/>
  <c r="C10" i="8"/>
  <c r="CF59" i="2"/>
  <c r="CE59" i="2"/>
  <c r="CD59" i="2"/>
  <c r="CA59" i="2"/>
  <c r="CH59" i="2" s="1"/>
  <c r="BW59" i="2"/>
  <c r="C52" i="8" l="1"/>
  <c r="C41" i="8"/>
  <c r="C43" i="8"/>
  <c r="I18" i="8"/>
  <c r="J40" i="8"/>
  <c r="J25" i="8"/>
  <c r="I27" i="8"/>
  <c r="I10" i="8"/>
  <c r="K10" i="8"/>
  <c r="F27" i="8"/>
  <c r="G46" i="8"/>
  <c r="I46" i="8" s="1"/>
  <c r="F18" i="8"/>
  <c r="K24" i="8"/>
  <c r="K27" i="8"/>
  <c r="F35" i="8"/>
  <c r="C25" i="8"/>
  <c r="G35" i="8"/>
  <c r="I35" i="8" s="1"/>
  <c r="E24" i="8"/>
  <c r="G24" i="8"/>
  <c r="J41" i="8" l="1"/>
  <c r="J43" i="8"/>
  <c r="J44" i="8" s="1"/>
  <c r="J52" i="8"/>
  <c r="J57" i="8" s="1"/>
  <c r="J60" i="8" s="1"/>
  <c r="C44" i="8"/>
  <c r="K40" i="8"/>
  <c r="K41" i="8" s="1"/>
  <c r="E40" i="8"/>
  <c r="E25" i="8"/>
  <c r="I24" i="8"/>
  <c r="F24" i="8"/>
  <c r="G25" i="8"/>
  <c r="C57" i="8"/>
  <c r="K52" i="8"/>
  <c r="J61" i="8" l="1"/>
  <c r="J65" i="8"/>
  <c r="C60" i="8"/>
  <c r="K57" i="8"/>
  <c r="I25" i="8"/>
  <c r="E52" i="8"/>
  <c r="E41" i="8"/>
  <c r="E43" i="8"/>
  <c r="F40" i="8"/>
  <c r="G40" i="8"/>
  <c r="I40" i="8" s="1"/>
  <c r="K43" i="8"/>
  <c r="K44" i="8" s="1"/>
  <c r="J94" i="8" l="1"/>
  <c r="J66" i="8"/>
  <c r="E44" i="8"/>
  <c r="I43" i="8"/>
  <c r="F43" i="8"/>
  <c r="G43" i="8"/>
  <c r="G41" i="8"/>
  <c r="I41" i="8" s="1"/>
  <c r="F52" i="8"/>
  <c r="E57" i="8"/>
  <c r="G52" i="8"/>
  <c r="I52" i="8" s="1"/>
  <c r="C65" i="8"/>
  <c r="C61" i="8"/>
  <c r="K60" i="8"/>
  <c r="G44" i="8" l="1"/>
  <c r="I44" i="8" s="1"/>
  <c r="C94" i="8"/>
  <c r="C66" i="8"/>
  <c r="K65" i="8"/>
  <c r="F57" i="8"/>
  <c r="E60" i="8"/>
  <c r="G57" i="8"/>
  <c r="I57" i="8" s="1"/>
  <c r="E65" i="8" l="1"/>
  <c r="F60" i="8"/>
  <c r="E61" i="8"/>
  <c r="G61" i="8" s="1"/>
  <c r="G60" i="8"/>
  <c r="I60" i="8" s="1"/>
  <c r="F65" i="8" l="1"/>
  <c r="E94" i="8"/>
  <c r="E66" i="8"/>
  <c r="G66" i="8" s="1"/>
  <c r="G65" i="8"/>
  <c r="I65" i="8" s="1"/>
  <c r="B5" i="27" l="1"/>
  <c r="C32" i="76" l="1"/>
  <c r="B32" i="76"/>
  <c r="C37" i="12" l="1"/>
  <c r="D45" i="12"/>
  <c r="H65" i="86"/>
  <c r="G65" i="86"/>
  <c r="H7" i="86"/>
  <c r="G7" i="86"/>
  <c r="F7" i="86"/>
  <c r="E7" i="86"/>
  <c r="D61" i="86"/>
  <c r="C61" i="86"/>
  <c r="D48" i="86"/>
  <c r="F49" i="86" s="1"/>
  <c r="C48" i="86"/>
  <c r="E49" i="86" s="1"/>
  <c r="D21" i="86"/>
  <c r="D29" i="86" s="1"/>
  <c r="C21" i="86"/>
  <c r="C29" i="86" s="1"/>
  <c r="D32" i="86" l="1"/>
  <c r="F32" i="86" s="1"/>
  <c r="F29" i="86"/>
  <c r="C32" i="86"/>
  <c r="E32" i="86" s="1"/>
  <c r="E29" i="86"/>
  <c r="D62" i="86"/>
  <c r="D65" i="86" s="1"/>
  <c r="E21" i="86"/>
  <c r="F21" i="86"/>
  <c r="E62" i="86"/>
  <c r="F62" i="86"/>
  <c r="C62" i="86" l="1"/>
  <c r="C65" i="86" s="1"/>
  <c r="A45" i="81" l="1"/>
  <c r="A37" i="81"/>
  <c r="A28" i="81"/>
  <c r="A20" i="81"/>
  <c r="A11" i="81"/>
  <c r="A3" i="81"/>
  <c r="F51" i="81"/>
  <c r="E51" i="81"/>
  <c r="D51" i="81"/>
  <c r="C51" i="81"/>
  <c r="B51" i="81"/>
  <c r="F50" i="81"/>
  <c r="H50" i="81" s="1"/>
  <c r="E50" i="81"/>
  <c r="D50" i="81"/>
  <c r="C50" i="81"/>
  <c r="B50" i="81"/>
  <c r="G49" i="81"/>
  <c r="F49" i="81"/>
  <c r="E49" i="81"/>
  <c r="D49" i="81"/>
  <c r="C49" i="81"/>
  <c r="B49" i="81"/>
  <c r="G48" i="81"/>
  <c r="F48" i="81"/>
  <c r="E48" i="81"/>
  <c r="D48" i="81"/>
  <c r="C48" i="81"/>
  <c r="B48" i="81"/>
  <c r="G47" i="81"/>
  <c r="F47" i="81"/>
  <c r="E47" i="81"/>
  <c r="D47" i="81"/>
  <c r="C47" i="81"/>
  <c r="B47" i="81"/>
  <c r="G46" i="81"/>
  <c r="F46" i="81"/>
  <c r="E46" i="81"/>
  <c r="D46" i="81"/>
  <c r="C46" i="81"/>
  <c r="B46" i="81"/>
  <c r="C43" i="81"/>
  <c r="G43" i="81"/>
  <c r="F43" i="81"/>
  <c r="E43" i="81"/>
  <c r="D43" i="81"/>
  <c r="B43" i="81"/>
  <c r="G42" i="81"/>
  <c r="F42" i="81"/>
  <c r="E42" i="81"/>
  <c r="D42" i="81"/>
  <c r="C42" i="81"/>
  <c r="B42" i="81"/>
  <c r="G41" i="81"/>
  <c r="F41" i="81"/>
  <c r="E41" i="81"/>
  <c r="D41" i="81"/>
  <c r="C41" i="81"/>
  <c r="B41" i="81"/>
  <c r="G40" i="81"/>
  <c r="F40" i="81"/>
  <c r="E40" i="81"/>
  <c r="D40" i="81"/>
  <c r="C40" i="81"/>
  <c r="B40" i="81"/>
  <c r="G39" i="81"/>
  <c r="F39" i="81"/>
  <c r="E39" i="81"/>
  <c r="D39" i="81"/>
  <c r="C39" i="81"/>
  <c r="B39" i="81"/>
  <c r="G38" i="81"/>
  <c r="F38" i="81"/>
  <c r="E38" i="81"/>
  <c r="D38" i="81"/>
  <c r="C38" i="81"/>
  <c r="B38" i="81"/>
  <c r="H38" i="81"/>
  <c r="F34" i="81"/>
  <c r="E34" i="81"/>
  <c r="D34" i="81"/>
  <c r="C34" i="81"/>
  <c r="B34" i="81"/>
  <c r="F33" i="81"/>
  <c r="E33" i="81"/>
  <c r="D33" i="81"/>
  <c r="C33" i="81"/>
  <c r="B33" i="81"/>
  <c r="G32" i="81"/>
  <c r="F32" i="81"/>
  <c r="E32" i="81"/>
  <c r="D32" i="81"/>
  <c r="C32" i="81"/>
  <c r="B32" i="81"/>
  <c r="G31" i="81"/>
  <c r="F31" i="81"/>
  <c r="E31" i="81"/>
  <c r="D31" i="81"/>
  <c r="C31" i="81"/>
  <c r="B31" i="81"/>
  <c r="G30" i="81"/>
  <c r="F30" i="81"/>
  <c r="E30" i="81"/>
  <c r="D30" i="81"/>
  <c r="C30" i="81"/>
  <c r="B30" i="81"/>
  <c r="B29" i="81"/>
  <c r="G29" i="81"/>
  <c r="F29" i="81"/>
  <c r="E29" i="81"/>
  <c r="D29" i="81"/>
  <c r="C29" i="81"/>
  <c r="G26" i="81"/>
  <c r="F26" i="81"/>
  <c r="E26" i="81"/>
  <c r="D26" i="81"/>
  <c r="C26" i="81"/>
  <c r="B26" i="81"/>
  <c r="G25" i="81"/>
  <c r="F25" i="81"/>
  <c r="E25" i="81"/>
  <c r="D25" i="81"/>
  <c r="C25" i="81"/>
  <c r="B25" i="81"/>
  <c r="G24" i="81"/>
  <c r="F24" i="81"/>
  <c r="E24" i="81"/>
  <c r="D24" i="81"/>
  <c r="C24" i="81"/>
  <c r="B24" i="81"/>
  <c r="G23" i="81"/>
  <c r="F23" i="81"/>
  <c r="E23" i="81"/>
  <c r="D23" i="81"/>
  <c r="C23" i="81"/>
  <c r="B23" i="81"/>
  <c r="G22" i="81"/>
  <c r="F22" i="81"/>
  <c r="E22" i="81"/>
  <c r="D22" i="81"/>
  <c r="C22" i="81"/>
  <c r="B22" i="81"/>
  <c r="G21" i="81"/>
  <c r="F21" i="81"/>
  <c r="E21" i="81"/>
  <c r="D21" i="81"/>
  <c r="C21" i="81"/>
  <c r="B21" i="81"/>
  <c r="V30" i="84"/>
  <c r="U30" i="84"/>
  <c r="S30" i="84"/>
  <c r="R30" i="84"/>
  <c r="N30" i="84"/>
  <c r="M30" i="84"/>
  <c r="K30" i="84"/>
  <c r="J30" i="84"/>
  <c r="G30" i="84"/>
  <c r="F30" i="84"/>
  <c r="D30" i="84"/>
  <c r="C30" i="84"/>
  <c r="V28" i="84"/>
  <c r="U28" i="84"/>
  <c r="S28" i="84"/>
  <c r="R28" i="84"/>
  <c r="N28" i="84"/>
  <c r="M28" i="84"/>
  <c r="K28" i="84"/>
  <c r="J28" i="84"/>
  <c r="G28" i="84"/>
  <c r="F28" i="84"/>
  <c r="D28" i="84"/>
  <c r="C28" i="84"/>
  <c r="AB27" i="84"/>
  <c r="AB30" i="84" s="1"/>
  <c r="X27" i="84"/>
  <c r="AA27" i="84" s="1"/>
  <c r="W27" i="84"/>
  <c r="T27" i="84"/>
  <c r="P27" i="84"/>
  <c r="O27" i="84"/>
  <c r="L27" i="84"/>
  <c r="H27" i="84"/>
  <c r="E27" i="84"/>
  <c r="V25" i="84"/>
  <c r="U25" i="84"/>
  <c r="S25" i="84"/>
  <c r="R25" i="84"/>
  <c r="N25" i="84"/>
  <c r="M25" i="84"/>
  <c r="K25" i="84"/>
  <c r="J25" i="84"/>
  <c r="G25" i="84"/>
  <c r="F25" i="84"/>
  <c r="D25" i="84"/>
  <c r="C25" i="84"/>
  <c r="AB24" i="84"/>
  <c r="X24" i="84"/>
  <c r="AA24" i="84" s="1"/>
  <c r="W24" i="84"/>
  <c r="T24" i="84"/>
  <c r="P24" i="84"/>
  <c r="O24" i="84"/>
  <c r="L24" i="84"/>
  <c r="H24" i="84"/>
  <c r="E24" i="84"/>
  <c r="V22" i="84"/>
  <c r="U22" i="84"/>
  <c r="S22" i="84"/>
  <c r="R22" i="84"/>
  <c r="N22" i="84"/>
  <c r="M22" i="84"/>
  <c r="K22" i="84"/>
  <c r="J22" i="84"/>
  <c r="G22" i="84"/>
  <c r="F22" i="84"/>
  <c r="D22" i="84"/>
  <c r="C22" i="84"/>
  <c r="AB21" i="84"/>
  <c r="X21" i="84"/>
  <c r="AA21" i="84" s="1"/>
  <c r="W21" i="84"/>
  <c r="T21" i="84"/>
  <c r="P21" i="84"/>
  <c r="O21" i="84"/>
  <c r="L21" i="84"/>
  <c r="H21" i="84"/>
  <c r="E21" i="84"/>
  <c r="V19" i="84"/>
  <c r="U19" i="84"/>
  <c r="S19" i="84"/>
  <c r="R19" i="84"/>
  <c r="N19" i="84"/>
  <c r="M19" i="84"/>
  <c r="K19" i="84"/>
  <c r="J19" i="84"/>
  <c r="G19" i="84"/>
  <c r="F19" i="84"/>
  <c r="D19" i="84"/>
  <c r="C19" i="84"/>
  <c r="Z18" i="84"/>
  <c r="AB18" i="84" s="1"/>
  <c r="X18" i="84"/>
  <c r="AA18" i="84" s="1"/>
  <c r="W18" i="84"/>
  <c r="T18" i="84"/>
  <c r="P18" i="84"/>
  <c r="O18" i="84"/>
  <c r="L18" i="84"/>
  <c r="H18" i="84"/>
  <c r="E18" i="84"/>
  <c r="V16" i="84"/>
  <c r="U16" i="84"/>
  <c r="S16" i="84"/>
  <c r="R16" i="84"/>
  <c r="N16" i="84"/>
  <c r="M16" i="84"/>
  <c r="K16" i="84"/>
  <c r="J16" i="84"/>
  <c r="G16" i="84"/>
  <c r="F16" i="84"/>
  <c r="D16" i="84"/>
  <c r="C16" i="84"/>
  <c r="AB15" i="84"/>
  <c r="AA15" i="84"/>
  <c r="W15" i="84"/>
  <c r="T15" i="84"/>
  <c r="P15" i="84"/>
  <c r="O15" i="84"/>
  <c r="L15" i="84"/>
  <c r="H15" i="84"/>
  <c r="E15" i="84"/>
  <c r="Z13" i="84"/>
  <c r="AB13" i="84" s="1"/>
  <c r="X13" i="84"/>
  <c r="AA13" i="84" s="1"/>
  <c r="W13" i="84"/>
  <c r="T13" i="84"/>
  <c r="P13" i="84"/>
  <c r="O13" i="84"/>
  <c r="L13" i="84"/>
  <c r="H13" i="84"/>
  <c r="E13" i="84"/>
  <c r="AB11" i="84"/>
  <c r="AA11" i="84"/>
  <c r="Z11" i="84"/>
  <c r="X11" i="84"/>
  <c r="V11" i="84"/>
  <c r="U11" i="84"/>
  <c r="S11" i="84"/>
  <c r="R11" i="84"/>
  <c r="N11" i="84"/>
  <c r="M11" i="84"/>
  <c r="K11" i="84"/>
  <c r="J11" i="84"/>
  <c r="G11" i="84"/>
  <c r="F11" i="84"/>
  <c r="H51" i="81" l="1"/>
  <c r="H49" i="81"/>
  <c r="H48" i="81"/>
  <c r="H47" i="81"/>
  <c r="H46" i="81"/>
  <c r="H43" i="81"/>
  <c r="H42" i="81"/>
  <c r="H41" i="81"/>
  <c r="H40" i="81"/>
  <c r="H39" i="81"/>
  <c r="AA25" i="84"/>
  <c r="AC13" i="84"/>
  <c r="AC24" i="84"/>
  <c r="AA22" i="84"/>
  <c r="AC21" i="84"/>
  <c r="AA19" i="84"/>
  <c r="AC18" i="84"/>
  <c r="AB19" i="84"/>
  <c r="AA16" i="84"/>
  <c r="AA28" i="84"/>
  <c r="AA30" i="84"/>
  <c r="AB16" i="84"/>
  <c r="AC15" i="84"/>
  <c r="AB22" i="84"/>
  <c r="AB25" i="84"/>
  <c r="AB28" i="84"/>
  <c r="AC27" i="84"/>
  <c r="H34" i="81" l="1"/>
  <c r="H32" i="81"/>
  <c r="H31" i="81"/>
  <c r="H29" i="81"/>
  <c r="H26" i="81"/>
  <c r="H23" i="81"/>
  <c r="D17" i="43"/>
  <c r="H25" i="81" l="1"/>
  <c r="H30" i="81"/>
  <c r="H21" i="81"/>
  <c r="H33" i="81"/>
  <c r="H24" i="81"/>
  <c r="H22" i="81"/>
  <c r="C17" i="43"/>
  <c r="D15" i="43" l="1"/>
  <c r="C15" i="43"/>
  <c r="C46" i="74"/>
  <c r="C45" i="74"/>
  <c r="B45" i="74"/>
  <c r="C37" i="74"/>
  <c r="B36" i="74"/>
  <c r="C25" i="74"/>
  <c r="C24" i="74"/>
  <c r="C22" i="74"/>
  <c r="C21" i="74"/>
  <c r="C20" i="74"/>
  <c r="C19" i="74"/>
  <c r="B26" i="74"/>
  <c r="B24" i="74"/>
  <c r="B22" i="74"/>
  <c r="B21" i="74"/>
  <c r="B20" i="74"/>
  <c r="B19" i="74"/>
  <c r="C11" i="74"/>
  <c r="C10" i="74"/>
  <c r="C8" i="74"/>
  <c r="B11" i="74"/>
  <c r="B9" i="74"/>
  <c r="B8" i="74"/>
  <c r="C57" i="72"/>
  <c r="C56" i="72"/>
  <c r="C55" i="72"/>
  <c r="B57" i="72"/>
  <c r="B56" i="72"/>
  <c r="B55" i="72"/>
  <c r="C43" i="72"/>
  <c r="B43" i="72"/>
  <c r="C34" i="72"/>
  <c r="B34" i="72"/>
  <c r="C25" i="72"/>
  <c r="C24" i="72"/>
  <c r="B25" i="72"/>
  <c r="B24" i="72"/>
  <c r="C51" i="72"/>
  <c r="C49" i="72"/>
  <c r="C48" i="72"/>
  <c r="C41" i="72"/>
  <c r="C40" i="72"/>
  <c r="C32" i="72"/>
  <c r="C31" i="72"/>
  <c r="C22" i="72"/>
  <c r="C21" i="72"/>
  <c r="C20" i="72"/>
  <c r="C18" i="72"/>
  <c r="C17" i="72"/>
  <c r="B49" i="72"/>
  <c r="B51" i="72"/>
  <c r="B48" i="72"/>
  <c r="B41" i="72"/>
  <c r="B40" i="72"/>
  <c r="B32" i="72"/>
  <c r="B31" i="72"/>
  <c r="B22" i="72"/>
  <c r="B21" i="72"/>
  <c r="B20" i="72"/>
  <c r="B18" i="72"/>
  <c r="B17" i="72"/>
  <c r="C11" i="72"/>
  <c r="B11" i="72"/>
  <c r="C9" i="72"/>
  <c r="C8" i="72"/>
  <c r="C7" i="72"/>
  <c r="B9" i="72"/>
  <c r="B8" i="72"/>
  <c r="B7" i="72"/>
  <c r="D32" i="16"/>
  <c r="E28" i="16"/>
  <c r="E18" i="16"/>
  <c r="E16" i="16"/>
  <c r="E13" i="16"/>
  <c r="E9" i="16"/>
  <c r="E25" i="14"/>
  <c r="D34" i="12" l="1"/>
  <c r="D13" i="12" l="1"/>
  <c r="C43" i="12"/>
  <c r="G17" i="81" l="1"/>
  <c r="F17" i="81"/>
  <c r="E17" i="81"/>
  <c r="D17" i="81"/>
  <c r="C17" i="81"/>
  <c r="B17" i="81"/>
  <c r="G16" i="81"/>
  <c r="F16" i="81"/>
  <c r="E16" i="81"/>
  <c r="D16" i="81"/>
  <c r="C16" i="81"/>
  <c r="B16" i="81"/>
  <c r="F15" i="81"/>
  <c r="E15" i="81"/>
  <c r="D15" i="81"/>
  <c r="C15" i="81"/>
  <c r="B15" i="81"/>
  <c r="G15" i="81"/>
  <c r="G14" i="81"/>
  <c r="F14" i="81"/>
  <c r="E14" i="81"/>
  <c r="D14" i="81"/>
  <c r="C14" i="81"/>
  <c r="B14" i="81"/>
  <c r="G13" i="81"/>
  <c r="F13" i="81"/>
  <c r="E13" i="81"/>
  <c r="D13" i="81"/>
  <c r="C13" i="81"/>
  <c r="B13" i="81"/>
  <c r="E12" i="81"/>
  <c r="G12" i="81"/>
  <c r="F12" i="81"/>
  <c r="D12" i="81"/>
  <c r="C12" i="81"/>
  <c r="B12" i="81"/>
  <c r="G9" i="81"/>
  <c r="F9" i="81"/>
  <c r="E9" i="81"/>
  <c r="D9" i="81"/>
  <c r="C9" i="81"/>
  <c r="B9" i="81"/>
  <c r="G8" i="81"/>
  <c r="F8" i="81"/>
  <c r="E8" i="81"/>
  <c r="D8" i="81"/>
  <c r="C8" i="81"/>
  <c r="B8" i="81"/>
  <c r="E7" i="81"/>
  <c r="G7" i="81"/>
  <c r="F7" i="81"/>
  <c r="D7" i="81"/>
  <c r="C7" i="81"/>
  <c r="B7" i="81"/>
  <c r="D6" i="81"/>
  <c r="C6" i="81"/>
  <c r="B6" i="81"/>
  <c r="G6" i="81"/>
  <c r="F6" i="81"/>
  <c r="E6" i="81"/>
  <c r="G5" i="81"/>
  <c r="F5" i="81"/>
  <c r="E5" i="81"/>
  <c r="D5" i="81"/>
  <c r="C5" i="81"/>
  <c r="B5" i="81"/>
  <c r="G4" i="81"/>
  <c r="F4" i="81"/>
  <c r="E4" i="81"/>
  <c r="D4" i="81"/>
  <c r="C4" i="81"/>
  <c r="B4" i="81"/>
  <c r="V30" i="83"/>
  <c r="U30" i="83"/>
  <c r="S30" i="83"/>
  <c r="R30" i="83"/>
  <c r="N30" i="83"/>
  <c r="M30" i="83"/>
  <c r="K30" i="83"/>
  <c r="J30" i="83"/>
  <c r="G30" i="83"/>
  <c r="F30" i="83"/>
  <c r="D30" i="83"/>
  <c r="C30" i="83"/>
  <c r="V28" i="83"/>
  <c r="U28" i="83"/>
  <c r="S28" i="83"/>
  <c r="R28" i="83"/>
  <c r="N28" i="83"/>
  <c r="M28" i="83"/>
  <c r="K28" i="83"/>
  <c r="J28" i="83"/>
  <c r="G28" i="83"/>
  <c r="F28" i="83"/>
  <c r="D28" i="83"/>
  <c r="C28" i="83"/>
  <c r="AA27" i="83"/>
  <c r="Z27" i="83"/>
  <c r="AB27" i="83" s="1"/>
  <c r="W27" i="83"/>
  <c r="T27" i="83"/>
  <c r="P27" i="83"/>
  <c r="O27" i="83"/>
  <c r="L27" i="83"/>
  <c r="H27" i="83"/>
  <c r="E27" i="83"/>
  <c r="V25" i="83"/>
  <c r="U25" i="83"/>
  <c r="S25" i="83"/>
  <c r="R25" i="83"/>
  <c r="N25" i="83"/>
  <c r="M25" i="83"/>
  <c r="K25" i="83"/>
  <c r="J25" i="83"/>
  <c r="G25" i="83"/>
  <c r="F25" i="83"/>
  <c r="D25" i="83"/>
  <c r="C25" i="83"/>
  <c r="Z24" i="83"/>
  <c r="AB24" i="83" s="1"/>
  <c r="X24" i="83"/>
  <c r="AA24" i="83" s="1"/>
  <c r="W24" i="83"/>
  <c r="T24" i="83"/>
  <c r="P24" i="83"/>
  <c r="O24" i="83"/>
  <c r="L24" i="83"/>
  <c r="H24" i="83"/>
  <c r="E24" i="83"/>
  <c r="V22" i="83"/>
  <c r="U22" i="83"/>
  <c r="S22" i="83"/>
  <c r="R22" i="83"/>
  <c r="N22" i="83"/>
  <c r="M22" i="83"/>
  <c r="K22" i="83"/>
  <c r="J22" i="83"/>
  <c r="G22" i="83"/>
  <c r="F22" i="83"/>
  <c r="D22" i="83"/>
  <c r="C22" i="83"/>
  <c r="AA21" i="83"/>
  <c r="Z21" i="83"/>
  <c r="AB21" i="83" s="1"/>
  <c r="W21" i="83"/>
  <c r="T21" i="83"/>
  <c r="P21" i="83"/>
  <c r="O21" i="83"/>
  <c r="L21" i="83"/>
  <c r="H21" i="83"/>
  <c r="E21" i="83"/>
  <c r="V19" i="83"/>
  <c r="U19" i="83"/>
  <c r="S19" i="83"/>
  <c r="R19" i="83"/>
  <c r="N19" i="83"/>
  <c r="M19" i="83"/>
  <c r="K19" i="83"/>
  <c r="J19" i="83"/>
  <c r="G19" i="83"/>
  <c r="F19" i="83"/>
  <c r="D19" i="83"/>
  <c r="C19" i="83"/>
  <c r="Z18" i="83"/>
  <c r="AB18" i="83" s="1"/>
  <c r="X18" i="83"/>
  <c r="AA18" i="83" s="1"/>
  <c r="W18" i="83"/>
  <c r="T18" i="83"/>
  <c r="P18" i="83"/>
  <c r="O18" i="83"/>
  <c r="L18" i="83"/>
  <c r="H18" i="83"/>
  <c r="E18" i="83"/>
  <c r="V16" i="83"/>
  <c r="U16" i="83"/>
  <c r="S16" i="83"/>
  <c r="R16" i="83"/>
  <c r="N16" i="83"/>
  <c r="M16" i="83"/>
  <c r="K16" i="83"/>
  <c r="J16" i="83"/>
  <c r="G16" i="83"/>
  <c r="F16" i="83"/>
  <c r="D16" i="83"/>
  <c r="C16" i="83"/>
  <c r="AB15" i="83"/>
  <c r="AA15" i="83"/>
  <c r="W15" i="83"/>
  <c r="T15" i="83"/>
  <c r="P15" i="83"/>
  <c r="O15" i="83"/>
  <c r="L15" i="83"/>
  <c r="H15" i="83"/>
  <c r="E15" i="83"/>
  <c r="Z13" i="83"/>
  <c r="AB13" i="83" s="1"/>
  <c r="X13" i="83"/>
  <c r="AA13" i="83" s="1"/>
  <c r="W13" i="83"/>
  <c r="T13" i="83"/>
  <c r="P13" i="83"/>
  <c r="O13" i="83"/>
  <c r="L13" i="83"/>
  <c r="H13" i="83"/>
  <c r="E13" i="83"/>
  <c r="AB11" i="83"/>
  <c r="AA11" i="83"/>
  <c r="Z11" i="83"/>
  <c r="X11" i="83"/>
  <c r="V11" i="83"/>
  <c r="U11" i="83"/>
  <c r="S11" i="83"/>
  <c r="R11" i="83"/>
  <c r="N11" i="83"/>
  <c r="M11" i="83"/>
  <c r="K11" i="83"/>
  <c r="J11" i="83"/>
  <c r="G11" i="83"/>
  <c r="F11" i="83"/>
  <c r="AC13" i="83" l="1"/>
  <c r="AA25" i="83"/>
  <c r="AB25" i="83"/>
  <c r="AC24" i="83"/>
  <c r="AB22" i="83"/>
  <c r="AC21" i="83"/>
  <c r="AA22" i="83"/>
  <c r="AA19" i="83"/>
  <c r="AB19" i="83"/>
  <c r="AC18" i="83"/>
  <c r="AA16" i="83"/>
  <c r="AB30" i="83"/>
  <c r="AB28" i="83"/>
  <c r="AC27" i="83"/>
  <c r="AB16" i="83"/>
  <c r="AA30" i="83"/>
  <c r="AC15" i="83"/>
  <c r="AA28" i="83"/>
  <c r="H17" i="81" l="1"/>
  <c r="H13" i="81"/>
  <c r="H9" i="81"/>
  <c r="H8" i="81"/>
  <c r="H7" i="81"/>
  <c r="H6" i="81"/>
  <c r="H5" i="81"/>
  <c r="H4" i="81"/>
  <c r="V28" i="11"/>
  <c r="U28" i="11"/>
  <c r="S28" i="11"/>
  <c r="R28" i="11"/>
  <c r="N28" i="11"/>
  <c r="M28" i="11"/>
  <c r="K28" i="11"/>
  <c r="J28" i="11"/>
  <c r="G28" i="11"/>
  <c r="F28" i="11"/>
  <c r="D28" i="11"/>
  <c r="C28" i="11"/>
  <c r="X27" i="11"/>
  <c r="W27" i="11"/>
  <c r="T27" i="11"/>
  <c r="P27" i="11"/>
  <c r="O27" i="11"/>
  <c r="L27" i="11"/>
  <c r="H27" i="11"/>
  <c r="E27" i="11"/>
  <c r="V25" i="11"/>
  <c r="U25" i="11"/>
  <c r="S25" i="11"/>
  <c r="R25" i="11"/>
  <c r="N25" i="11"/>
  <c r="M25" i="11"/>
  <c r="K25" i="11"/>
  <c r="J25" i="11"/>
  <c r="G25" i="11"/>
  <c r="F25" i="11"/>
  <c r="D25" i="11"/>
  <c r="C25" i="11"/>
  <c r="Z24" i="11"/>
  <c r="X24" i="11"/>
  <c r="W24" i="11"/>
  <c r="T24" i="11"/>
  <c r="P24" i="11"/>
  <c r="O24" i="11"/>
  <c r="L24" i="11"/>
  <c r="H24" i="11"/>
  <c r="E24" i="11"/>
  <c r="V22" i="11"/>
  <c r="U22" i="11"/>
  <c r="S22" i="11"/>
  <c r="R22" i="11"/>
  <c r="N22" i="11"/>
  <c r="M22" i="11"/>
  <c r="K22" i="11"/>
  <c r="J22" i="11"/>
  <c r="G22" i="11"/>
  <c r="F22" i="11"/>
  <c r="D22" i="11"/>
  <c r="C22" i="11"/>
  <c r="Z21" i="11"/>
  <c r="X21" i="11"/>
  <c r="W21" i="11"/>
  <c r="T21" i="11"/>
  <c r="P21" i="11"/>
  <c r="O21" i="11"/>
  <c r="L21" i="11"/>
  <c r="H21" i="11"/>
  <c r="E21" i="11"/>
  <c r="V19" i="11"/>
  <c r="U19" i="11"/>
  <c r="S19" i="11"/>
  <c r="R19" i="11"/>
  <c r="N19" i="11"/>
  <c r="M19" i="11"/>
  <c r="K19" i="11"/>
  <c r="J19" i="11"/>
  <c r="G19" i="11"/>
  <c r="F19" i="11"/>
  <c r="D19" i="11"/>
  <c r="C19" i="11"/>
  <c r="Z18" i="11"/>
  <c r="X18" i="11"/>
  <c r="W18" i="11"/>
  <c r="T18" i="11"/>
  <c r="P18" i="11"/>
  <c r="O18" i="11"/>
  <c r="L18" i="11"/>
  <c r="H18" i="11"/>
  <c r="E18" i="11"/>
  <c r="V16" i="11"/>
  <c r="U16" i="11"/>
  <c r="S16" i="11"/>
  <c r="R16" i="11"/>
  <c r="N16" i="11"/>
  <c r="M16" i="11"/>
  <c r="K16" i="11"/>
  <c r="J16" i="11"/>
  <c r="G16" i="11"/>
  <c r="F16" i="11"/>
  <c r="D16" i="11"/>
  <c r="C16" i="11"/>
  <c r="X15" i="11"/>
  <c r="W15" i="11"/>
  <c r="T15" i="11"/>
  <c r="P15" i="11"/>
  <c r="O15" i="11"/>
  <c r="L15" i="11"/>
  <c r="H15" i="11"/>
  <c r="E15" i="11"/>
  <c r="Z13" i="11"/>
  <c r="X13" i="11"/>
  <c r="W13" i="11"/>
  <c r="T13" i="11"/>
  <c r="P13" i="11"/>
  <c r="O13" i="11"/>
  <c r="L13" i="11"/>
  <c r="H13" i="11"/>
  <c r="E13" i="11"/>
  <c r="Z11" i="11"/>
  <c r="X11" i="11"/>
  <c r="V11" i="11"/>
  <c r="U11" i="11"/>
  <c r="S11" i="11"/>
  <c r="R11" i="11"/>
  <c r="N11" i="11"/>
  <c r="M11" i="11"/>
  <c r="K11" i="11"/>
  <c r="J11" i="11"/>
  <c r="G11" i="11"/>
  <c r="F11" i="11"/>
  <c r="BN53" i="5"/>
  <c r="BU53" i="5" s="1"/>
  <c r="BN46" i="5"/>
  <c r="BU46" i="5" s="1"/>
  <c r="BN44" i="5"/>
  <c r="BN12" i="5"/>
  <c r="BU55" i="5"/>
  <c r="BU45" i="5"/>
  <c r="BU44" i="5"/>
  <c r="BU31" i="5"/>
  <c r="BU30" i="5"/>
  <c r="BU29" i="5"/>
  <c r="BU26" i="5"/>
  <c r="BU25" i="5"/>
  <c r="BU24" i="5"/>
  <c r="BU23" i="5"/>
  <c r="BU18" i="5"/>
  <c r="BU17" i="5"/>
  <c r="BU16" i="5"/>
  <c r="BU14" i="5"/>
  <c r="BU13" i="5"/>
  <c r="BU12" i="5"/>
  <c r="BN29" i="5"/>
  <c r="BN23" i="5"/>
  <c r="BN16" i="5"/>
  <c r="BN10" i="5"/>
  <c r="BN20" i="5" s="1"/>
  <c r="BU20" i="5" s="1"/>
  <c r="BS46" i="5"/>
  <c r="BT46" i="5" s="1"/>
  <c r="BS44" i="5"/>
  <c r="BS31" i="5"/>
  <c r="BT31" i="5" s="1"/>
  <c r="BS24" i="5"/>
  <c r="BS18" i="5"/>
  <c r="BS14" i="5"/>
  <c r="BT14" i="5"/>
  <c r="BT45" i="5"/>
  <c r="BT30" i="5"/>
  <c r="BT25" i="5"/>
  <c r="BT24" i="5"/>
  <c r="BT17" i="5"/>
  <c r="BT13" i="5"/>
  <c r="BT12" i="5"/>
  <c r="H12" i="81" l="1"/>
  <c r="H16" i="81"/>
  <c r="H15" i="81"/>
  <c r="H14" i="81"/>
  <c r="BN43" i="5"/>
  <c r="BU43" i="5" s="1"/>
  <c r="BU10" i="5"/>
  <c r="BN35" i="5"/>
  <c r="BU35" i="5" s="1"/>
  <c r="BN21" i="5"/>
  <c r="BN50" i="5" l="1"/>
  <c r="BN39" i="5"/>
  <c r="BN37" i="5"/>
  <c r="BN41" i="5" l="1"/>
  <c r="BU39" i="5"/>
  <c r="BN54" i="5"/>
  <c r="BU50" i="5"/>
  <c r="K84" i="10"/>
  <c r="E84" i="10"/>
  <c r="C84" i="10"/>
  <c r="C76" i="10"/>
  <c r="E72" i="10"/>
  <c r="E76" i="10" s="1"/>
  <c r="C72" i="10"/>
  <c r="E67" i="10"/>
  <c r="C67" i="10"/>
  <c r="M62" i="10"/>
  <c r="H62" i="10"/>
  <c r="G62" i="10"/>
  <c r="H60" i="10"/>
  <c r="G60" i="10"/>
  <c r="M57" i="10"/>
  <c r="H57" i="10"/>
  <c r="G57" i="10"/>
  <c r="H50" i="10"/>
  <c r="E49" i="10"/>
  <c r="G49" i="10" s="1"/>
  <c r="C49" i="10"/>
  <c r="H49" i="10" s="1"/>
  <c r="H48" i="10"/>
  <c r="G48" i="10"/>
  <c r="I48" i="10" s="1"/>
  <c r="M47" i="10"/>
  <c r="H47" i="10"/>
  <c r="G47" i="10"/>
  <c r="K46" i="10"/>
  <c r="E46" i="10"/>
  <c r="G46" i="10" s="1"/>
  <c r="C46" i="10"/>
  <c r="M46" i="10" s="1"/>
  <c r="H45" i="10"/>
  <c r="K43" i="10"/>
  <c r="G43" i="10"/>
  <c r="E43" i="10"/>
  <c r="C43" i="10"/>
  <c r="H43" i="10" s="1"/>
  <c r="K40" i="10"/>
  <c r="H40" i="10"/>
  <c r="E40" i="10"/>
  <c r="C40" i="10"/>
  <c r="M37" i="10"/>
  <c r="M43" i="10" s="1"/>
  <c r="H37" i="10"/>
  <c r="G37" i="10"/>
  <c r="M33" i="10"/>
  <c r="H33" i="10"/>
  <c r="G33" i="10"/>
  <c r="H30" i="10"/>
  <c r="M29" i="10"/>
  <c r="H29" i="10"/>
  <c r="G29" i="10"/>
  <c r="H28" i="10"/>
  <c r="G28" i="10"/>
  <c r="K27" i="10"/>
  <c r="E27" i="10"/>
  <c r="G27" i="10" s="1"/>
  <c r="C27" i="10"/>
  <c r="M27" i="10" s="1"/>
  <c r="M25" i="10"/>
  <c r="H25" i="10"/>
  <c r="G25" i="10"/>
  <c r="M24" i="10"/>
  <c r="H24" i="10"/>
  <c r="G24" i="10"/>
  <c r="K23" i="10"/>
  <c r="K21" i="10" s="1"/>
  <c r="H23" i="10"/>
  <c r="G23" i="10"/>
  <c r="C22" i="10"/>
  <c r="H22" i="10" s="1"/>
  <c r="E21" i="10"/>
  <c r="K18" i="10"/>
  <c r="K32" i="10" s="1"/>
  <c r="H16" i="10"/>
  <c r="G16" i="10"/>
  <c r="H15" i="10"/>
  <c r="K14" i="10"/>
  <c r="E14" i="10"/>
  <c r="G14" i="10" s="1"/>
  <c r="C14" i="10"/>
  <c r="C18" i="10" s="1"/>
  <c r="M12" i="10"/>
  <c r="H12" i="10"/>
  <c r="G12" i="10"/>
  <c r="M11" i="10"/>
  <c r="H11" i="10"/>
  <c r="G11" i="10"/>
  <c r="H10" i="10"/>
  <c r="G10" i="10"/>
  <c r="K9" i="10"/>
  <c r="M9" i="10" s="1"/>
  <c r="H9" i="10"/>
  <c r="G9" i="10"/>
  <c r="I9" i="10" s="1"/>
  <c r="M7" i="10"/>
  <c r="K7" i="10"/>
  <c r="E7" i="10"/>
  <c r="E18" i="10" s="1"/>
  <c r="C7" i="10"/>
  <c r="BS43" i="5"/>
  <c r="BS29" i="5"/>
  <c r="BS23" i="5"/>
  <c r="BS16" i="5"/>
  <c r="BS10" i="5"/>
  <c r="D6" i="9"/>
  <c r="D76" i="9" s="1"/>
  <c r="C6" i="9"/>
  <c r="C76" i="9" s="1"/>
  <c r="C87" i="9"/>
  <c r="E85" i="9"/>
  <c r="D85" i="9"/>
  <c r="D87" i="9" s="1"/>
  <c r="D69" i="9" s="1"/>
  <c r="F84" i="9"/>
  <c r="F83" i="9"/>
  <c r="F82" i="9"/>
  <c r="E82" i="9"/>
  <c r="F81" i="9"/>
  <c r="F80" i="9"/>
  <c r="F79" i="9"/>
  <c r="E79" i="9"/>
  <c r="F78" i="9"/>
  <c r="E78" i="9"/>
  <c r="C73" i="9"/>
  <c r="C69" i="9"/>
  <c r="C70" i="9" s="1"/>
  <c r="E66" i="9"/>
  <c r="E64" i="9"/>
  <c r="D64" i="9"/>
  <c r="C64" i="9"/>
  <c r="F64" i="9" s="1"/>
  <c r="F60" i="9"/>
  <c r="E60" i="9"/>
  <c r="F59" i="9"/>
  <c r="F58" i="9"/>
  <c r="F57" i="9"/>
  <c r="F56" i="9"/>
  <c r="D55" i="9"/>
  <c r="F55" i="9" s="1"/>
  <c r="F54" i="9"/>
  <c r="F53" i="9"/>
  <c r="F52" i="9"/>
  <c r="E52" i="9"/>
  <c r="E50" i="9"/>
  <c r="D50" i="9"/>
  <c r="D66" i="9" s="1"/>
  <c r="C50" i="9"/>
  <c r="C66" i="9" s="1"/>
  <c r="E49" i="9"/>
  <c r="F48" i="9"/>
  <c r="E48" i="9"/>
  <c r="E47" i="9"/>
  <c r="D47" i="9"/>
  <c r="F47" i="9" s="1"/>
  <c r="F45" i="9"/>
  <c r="E45" i="9"/>
  <c r="F44" i="9"/>
  <c r="F43" i="9"/>
  <c r="E43" i="9"/>
  <c r="F42" i="9"/>
  <c r="E42" i="9"/>
  <c r="F41" i="9"/>
  <c r="E41" i="9"/>
  <c r="E40" i="9"/>
  <c r="C40" i="9"/>
  <c r="F40" i="9" s="1"/>
  <c r="F39" i="9"/>
  <c r="F38" i="9"/>
  <c r="F37" i="9"/>
  <c r="E37" i="9"/>
  <c r="E34" i="9"/>
  <c r="E32" i="9"/>
  <c r="D32" i="9"/>
  <c r="D34" i="9" s="1"/>
  <c r="D35" i="9" s="1"/>
  <c r="C32" i="9"/>
  <c r="C34" i="9" s="1"/>
  <c r="F30" i="9"/>
  <c r="F29" i="9"/>
  <c r="F28" i="9"/>
  <c r="F26" i="9"/>
  <c r="E26" i="9"/>
  <c r="F25" i="9"/>
  <c r="E25" i="9"/>
  <c r="F24" i="9"/>
  <c r="E24" i="9"/>
  <c r="E23" i="9"/>
  <c r="F22" i="9"/>
  <c r="F20" i="9"/>
  <c r="E20" i="9"/>
  <c r="F19" i="9"/>
  <c r="E19" i="9"/>
  <c r="E17" i="9"/>
  <c r="D17" i="9"/>
  <c r="C17" i="9"/>
  <c r="F17" i="9" s="1"/>
  <c r="F15" i="9"/>
  <c r="E15" i="9"/>
  <c r="F14" i="9"/>
  <c r="E14" i="9"/>
  <c r="F12" i="9"/>
  <c r="F11" i="9"/>
  <c r="E11" i="9"/>
  <c r="F10" i="9"/>
  <c r="F9" i="9"/>
  <c r="F8" i="9"/>
  <c r="E8" i="9"/>
  <c r="BN10" i="3"/>
  <c r="BN81" i="3"/>
  <c r="BN80" i="3"/>
  <c r="BN79" i="3"/>
  <c r="BN78" i="3"/>
  <c r="BN77" i="3"/>
  <c r="BN76" i="3"/>
  <c r="BN75" i="3"/>
  <c r="BN74" i="3"/>
  <c r="BN62" i="3"/>
  <c r="BN61" i="3"/>
  <c r="BN60" i="3"/>
  <c r="BN59" i="3"/>
  <c r="BN58" i="3"/>
  <c r="BN57" i="3"/>
  <c r="BN56" i="3"/>
  <c r="BN55" i="3"/>
  <c r="BN54" i="3"/>
  <c r="BN53" i="3"/>
  <c r="BN49" i="3"/>
  <c r="BN48" i="3"/>
  <c r="BN47" i="3"/>
  <c r="BN46" i="3"/>
  <c r="BN45" i="3"/>
  <c r="BN44" i="3"/>
  <c r="BN43" i="3"/>
  <c r="BN42" i="3"/>
  <c r="BN40" i="3"/>
  <c r="BN39" i="3"/>
  <c r="BN38" i="3"/>
  <c r="BN31" i="3"/>
  <c r="BN30" i="3"/>
  <c r="BN29" i="3"/>
  <c r="BN28" i="3"/>
  <c r="BN27" i="3"/>
  <c r="BN26" i="3"/>
  <c r="BN25" i="3"/>
  <c r="BN24" i="3"/>
  <c r="BN23" i="3"/>
  <c r="BN22" i="3"/>
  <c r="BN21" i="3"/>
  <c r="BN17" i="3"/>
  <c r="BN16" i="3"/>
  <c r="BN15" i="3"/>
  <c r="BN14" i="3"/>
  <c r="BN13" i="3"/>
  <c r="BN12" i="3"/>
  <c r="BN11" i="3"/>
  <c r="BM85" i="3"/>
  <c r="BM83" i="3"/>
  <c r="BN83" i="3" s="1"/>
  <c r="BM69" i="3"/>
  <c r="BM70" i="3" s="1"/>
  <c r="BM64" i="3"/>
  <c r="BN64" i="3" s="1"/>
  <c r="BM51" i="3"/>
  <c r="BM66" i="3" s="1"/>
  <c r="BM33" i="3"/>
  <c r="BN33" i="3" s="1"/>
  <c r="BM19" i="3"/>
  <c r="CA64" i="2"/>
  <c r="CA34" i="2"/>
  <c r="C36" i="74" s="1"/>
  <c r="CA12" i="2"/>
  <c r="C7" i="74" s="1"/>
  <c r="CH54" i="2"/>
  <c r="CH47" i="2"/>
  <c r="CH35" i="2"/>
  <c r="CH28" i="2"/>
  <c r="CH22" i="2"/>
  <c r="CH21" i="2"/>
  <c r="CH20" i="2"/>
  <c r="CH16" i="2"/>
  <c r="CH13" i="2"/>
  <c r="CF48" i="2"/>
  <c r="B46" i="74" s="1"/>
  <c r="CF35" i="2"/>
  <c r="B37" i="74" s="1"/>
  <c r="CF31" i="2"/>
  <c r="B27" i="74" s="1"/>
  <c r="CF29" i="2"/>
  <c r="B25" i="74" s="1"/>
  <c r="CF15" i="2"/>
  <c r="CF12" i="2"/>
  <c r="CG57" i="2"/>
  <c r="CG47" i="2"/>
  <c r="CG34" i="2"/>
  <c r="CG21" i="2"/>
  <c r="CG20" i="2"/>
  <c r="CG14" i="2"/>
  <c r="CG13" i="2"/>
  <c r="CG48" i="2" l="1"/>
  <c r="CH34" i="2"/>
  <c r="CG12" i="2"/>
  <c r="B7" i="74"/>
  <c r="B10" i="74"/>
  <c r="CG31" i="2"/>
  <c r="CG35" i="2"/>
  <c r="BN57" i="5"/>
  <c r="BU54" i="5"/>
  <c r="BS20" i="5"/>
  <c r="K53" i="10"/>
  <c r="K59" i="10" s="1"/>
  <c r="K61" i="10" s="1"/>
  <c r="K63" i="10" s="1"/>
  <c r="K36" i="10"/>
  <c r="K34" i="10"/>
  <c r="G18" i="10"/>
  <c r="E32" i="10"/>
  <c r="E19" i="10"/>
  <c r="M18" i="10"/>
  <c r="H18" i="10"/>
  <c r="C32" i="10"/>
  <c r="C19" i="10"/>
  <c r="H19" i="10" s="1"/>
  <c r="H14" i="10"/>
  <c r="M22" i="10"/>
  <c r="K19" i="10"/>
  <c r="H27" i="10"/>
  <c r="H46" i="10"/>
  <c r="G22" i="10"/>
  <c r="C21" i="10"/>
  <c r="G7" i="10"/>
  <c r="M23" i="10"/>
  <c r="H7" i="10"/>
  <c r="BM35" i="3"/>
  <c r="BM87" i="3" s="1"/>
  <c r="BN19" i="3"/>
  <c r="C35" i="9"/>
  <c r="C89" i="9"/>
  <c r="F34" i="9"/>
  <c r="F66" i="9"/>
  <c r="C72" i="9"/>
  <c r="BN66" i="3"/>
  <c r="C74" i="9"/>
  <c r="C67" i="9"/>
  <c r="D72" i="9"/>
  <c r="D74" i="9"/>
  <c r="D67" i="9"/>
  <c r="BN70" i="3"/>
  <c r="D70" i="9"/>
  <c r="F70" i="9" s="1"/>
  <c r="D73" i="9"/>
  <c r="F87" i="9"/>
  <c r="F50" i="9"/>
  <c r="BN51" i="3"/>
  <c r="F69" i="9"/>
  <c r="BN69" i="3"/>
  <c r="F32" i="9"/>
  <c r="F85" i="9"/>
  <c r="BN41" i="3"/>
  <c r="BM72" i="3"/>
  <c r="BM67" i="3"/>
  <c r="BN59" i="5" l="1"/>
  <c r="BU57" i="5"/>
  <c r="BS21" i="5"/>
  <c r="BS35" i="5"/>
  <c r="C34" i="10"/>
  <c r="C53" i="10"/>
  <c r="M32" i="10"/>
  <c r="H32" i="10"/>
  <c r="C36" i="10"/>
  <c r="H21" i="10"/>
  <c r="M21" i="10"/>
  <c r="E53" i="10"/>
  <c r="E34" i="10"/>
  <c r="E36" i="10"/>
  <c r="G32" i="10"/>
  <c r="G21" i="10"/>
  <c r="K42" i="10"/>
  <c r="K44" i="10" s="1"/>
  <c r="K38" i="10"/>
  <c r="BM36" i="3"/>
  <c r="BN36" i="3" s="1"/>
  <c r="BN35" i="3"/>
  <c r="BN67" i="3"/>
  <c r="F67" i="9"/>
  <c r="F72" i="9"/>
  <c r="BN72" i="3"/>
  <c r="C90" i="9"/>
  <c r="F35" i="9"/>
  <c r="BS39" i="5" l="1"/>
  <c r="BS50" i="5"/>
  <c r="BS37" i="5"/>
  <c r="G42" i="10"/>
  <c r="G44" i="10" s="1"/>
  <c r="E42" i="10"/>
  <c r="E44" i="10" s="1"/>
  <c r="E38" i="10"/>
  <c r="G36" i="10"/>
  <c r="G53" i="10"/>
  <c r="E59" i="10"/>
  <c r="C42" i="10"/>
  <c r="M36" i="10"/>
  <c r="H36" i="10"/>
  <c r="C38" i="10"/>
  <c r="H38" i="10" s="1"/>
  <c r="H53" i="10"/>
  <c r="M53" i="10"/>
  <c r="C59" i="10"/>
  <c r="H34" i="10"/>
  <c r="BM88" i="3"/>
  <c r="BS41" i="5" l="1"/>
  <c r="BS54" i="5"/>
  <c r="M42" i="10"/>
  <c r="C44" i="10"/>
  <c r="H44" i="10" s="1"/>
  <c r="H42" i="10"/>
  <c r="E61" i="10"/>
  <c r="G59" i="10"/>
  <c r="C61" i="10"/>
  <c r="M59" i="10"/>
  <c r="H59" i="10"/>
  <c r="BS57" i="5" l="1"/>
  <c r="C63" i="10"/>
  <c r="M61" i="10"/>
  <c r="BP81" i="3"/>
  <c r="C68" i="10"/>
  <c r="C78" i="10" s="1"/>
  <c r="H61" i="10"/>
  <c r="E63" i="10"/>
  <c r="G61" i="10"/>
  <c r="BQ81" i="3"/>
  <c r="E68" i="10"/>
  <c r="E78" i="10" s="1"/>
  <c r="BS59" i="5" l="1"/>
  <c r="H63" i="10"/>
  <c r="CA46" i="2" l="1"/>
  <c r="CA33" i="2"/>
  <c r="CA31" i="2"/>
  <c r="CA30" i="2"/>
  <c r="C26" i="74" s="1"/>
  <c r="CA18" i="2"/>
  <c r="CA14" i="2"/>
  <c r="CA10" i="2"/>
  <c r="CF46" i="2"/>
  <c r="CF33" i="2"/>
  <c r="CF18" i="2"/>
  <c r="CF10" i="2"/>
  <c r="E104" i="7"/>
  <c r="E70" i="7" s="1"/>
  <c r="E71" i="7" s="1"/>
  <c r="C103" i="7"/>
  <c r="J103" i="7" s="1"/>
  <c r="C102" i="7"/>
  <c r="J101" i="7"/>
  <c r="H101" i="7"/>
  <c r="J100" i="7"/>
  <c r="H100" i="7"/>
  <c r="J99" i="7"/>
  <c r="H99" i="7"/>
  <c r="J98" i="7"/>
  <c r="H98" i="7"/>
  <c r="J97" i="7"/>
  <c r="H97" i="7"/>
  <c r="J96" i="7"/>
  <c r="H96" i="7"/>
  <c r="J95" i="7"/>
  <c r="H95" i="7"/>
  <c r="E93" i="7"/>
  <c r="C93" i="7"/>
  <c r="E67" i="7"/>
  <c r="F95" i="7" s="1"/>
  <c r="C67" i="7"/>
  <c r="E65" i="7"/>
  <c r="F65" i="7" s="1"/>
  <c r="C65" i="7"/>
  <c r="J65" i="7" s="1"/>
  <c r="J63" i="7"/>
  <c r="H63" i="7"/>
  <c r="H62" i="7"/>
  <c r="J61" i="7"/>
  <c r="H61" i="7"/>
  <c r="H60" i="7"/>
  <c r="J59" i="7"/>
  <c r="H59" i="7"/>
  <c r="J58" i="7"/>
  <c r="H58" i="7"/>
  <c r="J57" i="7"/>
  <c r="H57" i="7"/>
  <c r="J56" i="7"/>
  <c r="H56" i="7"/>
  <c r="J55" i="7"/>
  <c r="H55" i="7"/>
  <c r="J54" i="7"/>
  <c r="H54" i="7"/>
  <c r="J53" i="7"/>
  <c r="H53" i="7"/>
  <c r="H65" i="7" s="1"/>
  <c r="E51" i="7"/>
  <c r="F51" i="7" s="1"/>
  <c r="C51" i="7"/>
  <c r="J51" i="7" s="1"/>
  <c r="J50" i="7"/>
  <c r="H50" i="7"/>
  <c r="F50" i="7"/>
  <c r="J49" i="7"/>
  <c r="H49" i="7"/>
  <c r="J48" i="7"/>
  <c r="H48" i="7"/>
  <c r="J47" i="7"/>
  <c r="H47" i="7"/>
  <c r="H46" i="7"/>
  <c r="H45" i="7"/>
  <c r="J44" i="7"/>
  <c r="H44" i="7"/>
  <c r="F44" i="7"/>
  <c r="J43" i="7"/>
  <c r="H43" i="7"/>
  <c r="J42" i="7"/>
  <c r="H42" i="7"/>
  <c r="J41" i="7"/>
  <c r="H41" i="7"/>
  <c r="J40" i="7"/>
  <c r="H40" i="7"/>
  <c r="H51" i="7" s="1"/>
  <c r="H67" i="7" s="1"/>
  <c r="J39" i="7"/>
  <c r="H39" i="7"/>
  <c r="J38" i="7"/>
  <c r="H38" i="7"/>
  <c r="E35" i="7"/>
  <c r="F24" i="7" s="1"/>
  <c r="E33" i="7"/>
  <c r="F33" i="7" s="1"/>
  <c r="J31" i="7"/>
  <c r="H31" i="7"/>
  <c r="H30" i="7"/>
  <c r="J29" i="7"/>
  <c r="H29" i="7"/>
  <c r="J28" i="7"/>
  <c r="H28" i="7"/>
  <c r="J27" i="7"/>
  <c r="H27" i="7"/>
  <c r="J26" i="7"/>
  <c r="H26" i="7"/>
  <c r="H25" i="7"/>
  <c r="J24" i="7"/>
  <c r="H24" i="7"/>
  <c r="J23" i="7"/>
  <c r="H23" i="7"/>
  <c r="J22" i="7"/>
  <c r="H22" i="7"/>
  <c r="H21" i="7"/>
  <c r="J20" i="7"/>
  <c r="H20" i="7"/>
  <c r="C19" i="7"/>
  <c r="C33" i="7" s="1"/>
  <c r="J33" i="7" s="1"/>
  <c r="E17" i="7"/>
  <c r="F17" i="7" s="1"/>
  <c r="C17" i="7"/>
  <c r="J15" i="7"/>
  <c r="H15" i="7"/>
  <c r="J14" i="7"/>
  <c r="H14" i="7"/>
  <c r="J13" i="7"/>
  <c r="H13" i="7"/>
  <c r="J12" i="7"/>
  <c r="H12" i="7"/>
  <c r="J11" i="7"/>
  <c r="H11" i="7"/>
  <c r="J10" i="7"/>
  <c r="H10" i="7"/>
  <c r="J9" i="7"/>
  <c r="H9" i="7"/>
  <c r="J8" i="7"/>
  <c r="H8" i="7"/>
  <c r="BP10" i="1"/>
  <c r="BP95" i="1"/>
  <c r="BP84" i="1"/>
  <c r="BP83" i="1"/>
  <c r="BP82" i="1"/>
  <c r="BP81" i="1"/>
  <c r="BP80" i="1"/>
  <c r="BP79" i="1"/>
  <c r="BP78" i="1"/>
  <c r="BP68" i="1"/>
  <c r="BP66" i="1"/>
  <c r="BP65" i="1"/>
  <c r="BP64" i="1"/>
  <c r="BP63" i="1"/>
  <c r="BP62" i="1"/>
  <c r="BP61" i="1"/>
  <c r="BP60" i="1"/>
  <c r="BP59" i="1"/>
  <c r="BP58" i="1"/>
  <c r="BP57" i="1"/>
  <c r="BP56" i="1"/>
  <c r="BP54" i="1"/>
  <c r="BP52" i="1"/>
  <c r="BP51" i="1"/>
  <c r="BP50" i="1"/>
  <c r="BP49" i="1"/>
  <c r="BP48" i="1"/>
  <c r="BP47" i="1"/>
  <c r="BP46" i="1"/>
  <c r="BP45" i="1"/>
  <c r="BP44" i="1"/>
  <c r="BP43" i="1"/>
  <c r="BP42" i="1"/>
  <c r="BP41" i="1"/>
  <c r="BP40" i="1"/>
  <c r="BP33" i="1"/>
  <c r="BP32" i="1"/>
  <c r="BP31" i="1"/>
  <c r="BP30" i="1"/>
  <c r="BP29" i="1"/>
  <c r="BP28" i="1"/>
  <c r="BP27" i="1"/>
  <c r="BP26" i="1"/>
  <c r="BP25" i="1"/>
  <c r="BP24" i="1"/>
  <c r="BP23" i="1"/>
  <c r="BP22" i="1"/>
  <c r="BP16" i="1"/>
  <c r="BP15" i="1"/>
  <c r="BP14" i="1"/>
  <c r="BP13" i="1"/>
  <c r="BP12" i="1"/>
  <c r="BP11" i="1"/>
  <c r="J102" i="7" l="1"/>
  <c r="C110" i="7"/>
  <c r="CA27" i="2"/>
  <c r="C27" i="74"/>
  <c r="B53" i="74"/>
  <c r="B60" i="74" s="1"/>
  <c r="J4" i="81"/>
  <c r="C53" i="74"/>
  <c r="C60" i="74" s="1"/>
  <c r="J12" i="81"/>
  <c r="C9" i="74"/>
  <c r="CH14" i="2"/>
  <c r="H17" i="7"/>
  <c r="BP85" i="1"/>
  <c r="BP92" i="1"/>
  <c r="BP89" i="1"/>
  <c r="CA24" i="2"/>
  <c r="J13" i="81" s="1"/>
  <c r="CF24" i="2"/>
  <c r="J5" i="81" s="1"/>
  <c r="J19" i="7"/>
  <c r="H19" i="7"/>
  <c r="H33" i="7" s="1"/>
  <c r="C104" i="7"/>
  <c r="C70" i="7" s="1"/>
  <c r="J70" i="7" s="1"/>
  <c r="CA38" i="2"/>
  <c r="CF27" i="2"/>
  <c r="C35" i="7"/>
  <c r="C36" i="7" s="1"/>
  <c r="F35" i="7"/>
  <c r="BP70" i="1"/>
  <c r="F15" i="7"/>
  <c r="F20" i="7"/>
  <c r="F67" i="7"/>
  <c r="F96" i="7"/>
  <c r="F26" i="7"/>
  <c r="F31" i="7"/>
  <c r="F41" i="7"/>
  <c r="F11" i="7"/>
  <c r="J67" i="7"/>
  <c r="E36" i="7"/>
  <c r="C68" i="7"/>
  <c r="F102" i="7"/>
  <c r="F27" i="7"/>
  <c r="F42" i="7"/>
  <c r="E68" i="7"/>
  <c r="E73" i="7"/>
  <c r="H102" i="7"/>
  <c r="F48" i="7"/>
  <c r="F23" i="7"/>
  <c r="F38" i="7"/>
  <c r="F8" i="7"/>
  <c r="J17" i="7"/>
  <c r="F28" i="7"/>
  <c r="F43" i="7"/>
  <c r="F53" i="7"/>
  <c r="F99" i="7"/>
  <c r="F103" i="7"/>
  <c r="F49" i="7"/>
  <c r="F59" i="7"/>
  <c r="H103" i="7"/>
  <c r="F14" i="7"/>
  <c r="F19" i="7"/>
  <c r="BP21" i="1"/>
  <c r="BP17" i="1"/>
  <c r="J14" i="81" l="1"/>
  <c r="H35" i="7"/>
  <c r="C73" i="7"/>
  <c r="BP76" i="1" s="1"/>
  <c r="C71" i="7"/>
  <c r="BP74" i="1" s="1"/>
  <c r="J104" i="7"/>
  <c r="BP73" i="1"/>
  <c r="BP87" i="1"/>
  <c r="CA25" i="2"/>
  <c r="CF25" i="2"/>
  <c r="CF38" i="2"/>
  <c r="J6" i="81" s="1"/>
  <c r="CA51" i="2"/>
  <c r="CA42" i="2"/>
  <c r="CA40" i="2"/>
  <c r="H104" i="7"/>
  <c r="H70" i="7" s="1"/>
  <c r="H73" i="7" s="1"/>
  <c r="J35" i="7"/>
  <c r="J68" i="7"/>
  <c r="H68" i="7"/>
  <c r="BP71" i="1"/>
  <c r="J36" i="7"/>
  <c r="H36" i="7"/>
  <c r="C54" i="74" l="1"/>
  <c r="C61" i="74" s="1"/>
  <c r="J15" i="81"/>
  <c r="J73" i="7"/>
  <c r="H71" i="7"/>
  <c r="J71" i="7"/>
  <c r="CA44" i="2"/>
  <c r="CA56" i="2"/>
  <c r="CF40" i="2"/>
  <c r="CF42" i="2"/>
  <c r="CF51" i="2"/>
  <c r="B54" i="74" l="1"/>
  <c r="B61" i="74" s="1"/>
  <c r="J7" i="81"/>
  <c r="CF56" i="2"/>
  <c r="CF44" i="2"/>
  <c r="BO93" i="1"/>
  <c r="BO89" i="1"/>
  <c r="BO90" i="1" s="1"/>
  <c r="BO87" i="1"/>
  <c r="BO68" i="1"/>
  <c r="BO54" i="1"/>
  <c r="BO35" i="1"/>
  <c r="BO19" i="1"/>
  <c r="BP19" i="1" s="1"/>
  <c r="C56" i="74" l="1"/>
  <c r="C62" i="74" s="1"/>
  <c r="J16" i="81"/>
  <c r="CA65" i="2"/>
  <c r="CA61" i="2"/>
  <c r="BO102" i="1"/>
  <c r="BO73" i="1"/>
  <c r="BO74" i="1" s="1"/>
  <c r="BO70" i="1"/>
  <c r="BO71" i="1" s="1"/>
  <c r="BO37" i="1"/>
  <c r="BO38" i="1" s="1"/>
  <c r="B56" i="74" l="1"/>
  <c r="B62" i="74" s="1"/>
  <c r="J8" i="81"/>
  <c r="C57" i="74"/>
  <c r="C63" i="74" s="1"/>
  <c r="J17" i="81"/>
  <c r="CA67" i="2"/>
  <c r="CF65" i="2"/>
  <c r="CF61" i="2"/>
  <c r="BO76" i="1"/>
  <c r="BO100" i="1"/>
  <c r="BO99" i="1"/>
  <c r="C16" i="76"/>
  <c r="B16" i="76"/>
  <c r="C5" i="76"/>
  <c r="B5" i="76"/>
  <c r="A11" i="75"/>
  <c r="A3" i="75"/>
  <c r="F52" i="74"/>
  <c r="E52" i="74"/>
  <c r="C52" i="74"/>
  <c r="B52" i="74"/>
  <c r="F43" i="74"/>
  <c r="E43" i="74"/>
  <c r="C43" i="74"/>
  <c r="B43" i="74"/>
  <c r="F34" i="74"/>
  <c r="E34" i="74"/>
  <c r="C34" i="74"/>
  <c r="B34" i="74"/>
  <c r="F17" i="74"/>
  <c r="E17" i="74"/>
  <c r="C17" i="74"/>
  <c r="B17" i="74"/>
  <c r="F5" i="74"/>
  <c r="E5" i="74"/>
  <c r="C5" i="74"/>
  <c r="B5" i="74"/>
  <c r="F47" i="72"/>
  <c r="E47" i="72"/>
  <c r="C47" i="72"/>
  <c r="B47" i="72"/>
  <c r="F38" i="72"/>
  <c r="E38" i="72"/>
  <c r="C38" i="72"/>
  <c r="B38" i="72"/>
  <c r="F29" i="72"/>
  <c r="E29" i="72"/>
  <c r="C29" i="72"/>
  <c r="B29" i="72"/>
  <c r="F15" i="72"/>
  <c r="E15" i="72"/>
  <c r="C15" i="72"/>
  <c r="B15" i="72"/>
  <c r="CF67" i="2" l="1"/>
  <c r="B57" i="74"/>
  <c r="B63" i="74" s="1"/>
  <c r="J9" i="81"/>
  <c r="D70" i="77"/>
  <c r="C70" i="77"/>
  <c r="E63" i="77"/>
  <c r="D68" i="77"/>
  <c r="C68" i="77"/>
  <c r="D67" i="77"/>
  <c r="C67" i="77"/>
  <c r="D66" i="77"/>
  <c r="C66" i="77"/>
  <c r="D65" i="77"/>
  <c r="C65" i="77"/>
  <c r="D64" i="77"/>
  <c r="C64" i="77"/>
  <c r="D63" i="77"/>
  <c r="C63" i="77"/>
  <c r="D62" i="77"/>
  <c r="C62" i="77"/>
  <c r="D61" i="77"/>
  <c r="C61" i="77"/>
  <c r="B68" i="77" l="1"/>
  <c r="B67" i="77"/>
  <c r="B66" i="77"/>
  <c r="B65" i="77"/>
  <c r="B64" i="77"/>
  <c r="B63" i="77"/>
  <c r="B62" i="77"/>
  <c r="B61" i="77"/>
  <c r="E55" i="77"/>
  <c r="E54" i="77"/>
  <c r="E53" i="77"/>
  <c r="E44" i="77"/>
  <c r="D59" i="77"/>
  <c r="C59" i="77"/>
  <c r="D55" i="77"/>
  <c r="D54" i="77"/>
  <c r="D53" i="77"/>
  <c r="D52" i="77"/>
  <c r="D51" i="77"/>
  <c r="D50" i="77"/>
  <c r="D49" i="77"/>
  <c r="D48" i="77"/>
  <c r="D47" i="77"/>
  <c r="D56" i="77" s="1"/>
  <c r="C55" i="77"/>
  <c r="C54" i="77"/>
  <c r="C53" i="77"/>
  <c r="C52" i="77"/>
  <c r="C51" i="77"/>
  <c r="C50" i="77"/>
  <c r="C49" i="77"/>
  <c r="C48" i="77"/>
  <c r="C47" i="77"/>
  <c r="C56" i="77" s="1"/>
  <c r="B55" i="77"/>
  <c r="B54" i="77"/>
  <c r="B53" i="77"/>
  <c r="B52" i="77"/>
  <c r="B51" i="77"/>
  <c r="B50" i="77"/>
  <c r="B49" i="77"/>
  <c r="B48" i="77"/>
  <c r="B47" i="77"/>
  <c r="D44" i="77"/>
  <c r="D43" i="77"/>
  <c r="D42" i="77"/>
  <c r="D41" i="77"/>
  <c r="D40" i="77"/>
  <c r="D39" i="77"/>
  <c r="D38" i="77"/>
  <c r="D37" i="77"/>
  <c r="D36" i="77"/>
  <c r="D35" i="77"/>
  <c r="D34" i="77"/>
  <c r="D33" i="77"/>
  <c r="C44" i="77"/>
  <c r="C43" i="77"/>
  <c r="E43" i="77" s="1"/>
  <c r="C42" i="77"/>
  <c r="C41" i="77"/>
  <c r="C40" i="77"/>
  <c r="C39" i="77"/>
  <c r="C38" i="77"/>
  <c r="C37" i="77"/>
  <c r="C36" i="77"/>
  <c r="C35" i="77"/>
  <c r="C34" i="77"/>
  <c r="C33" i="77"/>
  <c r="B44" i="77"/>
  <c r="B43" i="77"/>
  <c r="B42" i="77"/>
  <c r="B41" i="77"/>
  <c r="B40" i="77"/>
  <c r="B39" i="77"/>
  <c r="B38" i="77"/>
  <c r="B37" i="77"/>
  <c r="B36" i="77"/>
  <c r="B35" i="77"/>
  <c r="B34" i="77"/>
  <c r="B33" i="77"/>
  <c r="D31" i="77"/>
  <c r="C31" i="77"/>
  <c r="D27" i="77"/>
  <c r="D26" i="77"/>
  <c r="D25" i="77"/>
  <c r="D24" i="77"/>
  <c r="D23" i="77"/>
  <c r="D22" i="77"/>
  <c r="D21" i="77"/>
  <c r="D20" i="77"/>
  <c r="D19" i="77"/>
  <c r="D18" i="77"/>
  <c r="D17" i="77"/>
  <c r="D16" i="77"/>
  <c r="C27" i="77"/>
  <c r="C26" i="77"/>
  <c r="C25" i="77"/>
  <c r="C24" i="77"/>
  <c r="C23" i="77"/>
  <c r="C22" i="77"/>
  <c r="C21" i="77"/>
  <c r="C20" i="77"/>
  <c r="C19" i="77"/>
  <c r="C18" i="77"/>
  <c r="C17" i="77"/>
  <c r="C16" i="77"/>
  <c r="B27" i="77"/>
  <c r="B26" i="77"/>
  <c r="B25" i="77"/>
  <c r="B24" i="77"/>
  <c r="B23" i="77"/>
  <c r="B22" i="77"/>
  <c r="B21" i="77"/>
  <c r="B20" i="77"/>
  <c r="B19" i="77"/>
  <c r="B18" i="77"/>
  <c r="B17" i="77"/>
  <c r="B16" i="77"/>
  <c r="D13" i="77"/>
  <c r="D12" i="77"/>
  <c r="D11" i="77"/>
  <c r="D10" i="77"/>
  <c r="D9" i="77"/>
  <c r="D8" i="77"/>
  <c r="D7" i="77"/>
  <c r="D6" i="77"/>
  <c r="C13" i="77"/>
  <c r="C12" i="77"/>
  <c r="C11" i="77"/>
  <c r="C10" i="77"/>
  <c r="C9" i="77"/>
  <c r="C8" i="77"/>
  <c r="C7" i="77"/>
  <c r="C6" i="77"/>
  <c r="B13" i="77"/>
  <c r="B12" i="77"/>
  <c r="B11" i="77"/>
  <c r="B10" i="77"/>
  <c r="B9" i="77"/>
  <c r="B8" i="77"/>
  <c r="B7" i="77"/>
  <c r="B6" i="77"/>
  <c r="D69" i="77" l="1"/>
  <c r="C69" i="77"/>
  <c r="E70" i="77"/>
  <c r="D73" i="77"/>
  <c r="C73" i="77"/>
  <c r="E56" i="77"/>
  <c r="D45" i="77"/>
  <c r="C45" i="77"/>
  <c r="D28" i="77"/>
  <c r="C28" i="77"/>
  <c r="D14" i="77"/>
  <c r="C14" i="77"/>
  <c r="E42" i="77"/>
  <c r="E68" i="77"/>
  <c r="E67" i="77"/>
  <c r="E66" i="77"/>
  <c r="E65" i="77"/>
  <c r="E64" i="77"/>
  <c r="E62" i="77"/>
  <c r="E61" i="77"/>
  <c r="E59" i="77"/>
  <c r="E51" i="77"/>
  <c r="E50" i="77"/>
  <c r="E49" i="77"/>
  <c r="E48" i="77"/>
  <c r="E47" i="77"/>
  <c r="E39" i="77"/>
  <c r="E38" i="77"/>
  <c r="E37" i="77"/>
  <c r="E36" i="77"/>
  <c r="E35" i="77"/>
  <c r="E34" i="77"/>
  <c r="E33" i="77"/>
  <c r="E31" i="77"/>
  <c r="E27" i="77"/>
  <c r="E22" i="77"/>
  <c r="E21" i="77"/>
  <c r="E19" i="77"/>
  <c r="E17" i="77"/>
  <c r="E16" i="77"/>
  <c r="E12" i="77"/>
  <c r="E10" i="77"/>
  <c r="E9" i="77"/>
  <c r="E8" i="77"/>
  <c r="E7" i="77"/>
  <c r="E6" i="77"/>
  <c r="D5" i="77"/>
  <c r="C5" i="77"/>
  <c r="B28" i="76"/>
  <c r="C28" i="76"/>
  <c r="D28" i="76" s="1"/>
  <c r="C27" i="76"/>
  <c r="D27" i="76" s="1"/>
  <c r="B27" i="76"/>
  <c r="C26" i="76"/>
  <c r="B26" i="76"/>
  <c r="C25" i="76"/>
  <c r="B25" i="76"/>
  <c r="C24" i="76"/>
  <c r="B24" i="76"/>
  <c r="C23" i="76"/>
  <c r="B23" i="76"/>
  <c r="C22" i="76"/>
  <c r="B22" i="76"/>
  <c r="C21" i="76"/>
  <c r="B21" i="76"/>
  <c r="C20" i="76"/>
  <c r="B20" i="76"/>
  <c r="C19" i="76"/>
  <c r="B19" i="76"/>
  <c r="C18" i="76"/>
  <c r="B18" i="76"/>
  <c r="C17" i="76"/>
  <c r="B17" i="76"/>
  <c r="D25" i="76" l="1"/>
  <c r="B29" i="76"/>
  <c r="D29" i="76" s="1"/>
  <c r="D21" i="76"/>
  <c r="C29" i="76"/>
  <c r="D58" i="77"/>
  <c r="C58" i="77"/>
  <c r="E58" i="77"/>
  <c r="E45" i="77"/>
  <c r="E28" i="77"/>
  <c r="C30" i="77"/>
  <c r="C72" i="77" s="1"/>
  <c r="D30" i="77"/>
  <c r="E69" i="77"/>
  <c r="E14" i="77"/>
  <c r="D72" i="77" l="1"/>
  <c r="E30" i="77"/>
  <c r="E37" i="12"/>
  <c r="E36" i="12"/>
  <c r="D23" i="76"/>
  <c r="D22" i="76"/>
  <c r="D20" i="76"/>
  <c r="D26" i="76"/>
  <c r="D19" i="76"/>
  <c r="D18" i="76"/>
  <c r="D17" i="76"/>
  <c r="C6" i="76"/>
  <c r="B6" i="76"/>
  <c r="C12" i="76"/>
  <c r="B12" i="76"/>
  <c r="G17" i="75"/>
  <c r="F17" i="75"/>
  <c r="E17" i="75"/>
  <c r="D17" i="75"/>
  <c r="C17" i="75"/>
  <c r="B17" i="75"/>
  <c r="H17" i="75" s="1"/>
  <c r="G16" i="75"/>
  <c r="H16" i="75" s="1"/>
  <c r="F16" i="75"/>
  <c r="E16" i="75"/>
  <c r="D16" i="75"/>
  <c r="C16" i="75"/>
  <c r="B16" i="75"/>
  <c r="G15" i="75"/>
  <c r="F15" i="75"/>
  <c r="E15" i="75"/>
  <c r="D15" i="75"/>
  <c r="C15" i="75"/>
  <c r="B15" i="75"/>
  <c r="G14" i="75"/>
  <c r="F14" i="75"/>
  <c r="E14" i="75"/>
  <c r="D14" i="75"/>
  <c r="C14" i="75"/>
  <c r="B14" i="75"/>
  <c r="G13" i="75"/>
  <c r="F13" i="75"/>
  <c r="E13" i="75"/>
  <c r="D13" i="75"/>
  <c r="C13" i="75"/>
  <c r="B13" i="75"/>
  <c r="H13" i="75" s="1"/>
  <c r="G12" i="75"/>
  <c r="F12" i="75"/>
  <c r="E12" i="75"/>
  <c r="D12" i="75"/>
  <c r="C12" i="75"/>
  <c r="B12" i="75"/>
  <c r="G9" i="75"/>
  <c r="F9" i="75"/>
  <c r="E9" i="75"/>
  <c r="D9" i="75"/>
  <c r="C9" i="75"/>
  <c r="B9" i="75"/>
  <c r="G8" i="75"/>
  <c r="F8" i="75"/>
  <c r="E8" i="75"/>
  <c r="D8" i="75"/>
  <c r="C8" i="75"/>
  <c r="B8" i="75"/>
  <c r="G7" i="75"/>
  <c r="F7" i="75"/>
  <c r="E7" i="75"/>
  <c r="D7" i="75"/>
  <c r="C7" i="75"/>
  <c r="B7" i="75"/>
  <c r="H7" i="75" s="1"/>
  <c r="G6" i="75"/>
  <c r="F6" i="75"/>
  <c r="H6" i="75" s="1"/>
  <c r="E6" i="75"/>
  <c r="D6" i="75"/>
  <c r="C6" i="75"/>
  <c r="B6" i="75"/>
  <c r="G5" i="75"/>
  <c r="F5" i="75"/>
  <c r="E5" i="75"/>
  <c r="D5" i="75"/>
  <c r="C5" i="75"/>
  <c r="B5" i="75"/>
  <c r="G4" i="75"/>
  <c r="F4" i="75"/>
  <c r="E4" i="75"/>
  <c r="D4" i="75"/>
  <c r="C4" i="75"/>
  <c r="B4" i="75"/>
  <c r="H12" i="75" l="1"/>
  <c r="H5" i="75"/>
  <c r="K5" i="75" s="1"/>
  <c r="H9" i="75"/>
  <c r="H4" i="75"/>
  <c r="H15" i="75"/>
  <c r="K15" i="75" s="1"/>
  <c r="H14" i="75"/>
  <c r="H8" i="75"/>
  <c r="D6" i="76"/>
  <c r="D12" i="76"/>
  <c r="K14" i="75"/>
  <c r="K7" i="75"/>
  <c r="K4" i="75"/>
  <c r="K12" i="75"/>
  <c r="K13" i="75"/>
  <c r="K6" i="75"/>
  <c r="F57" i="74" l="1"/>
  <c r="E57" i="74"/>
  <c r="E63" i="74" s="1"/>
  <c r="F56" i="74"/>
  <c r="F62" i="74" s="1"/>
  <c r="E56" i="74"/>
  <c r="E62" i="74" s="1"/>
  <c r="F54" i="74"/>
  <c r="F61" i="74" s="1"/>
  <c r="E54" i="74"/>
  <c r="E61" i="74" s="1"/>
  <c r="F53" i="74"/>
  <c r="F60" i="74" s="1"/>
  <c r="E53" i="74"/>
  <c r="E60" i="74" s="1"/>
  <c r="F46" i="74"/>
  <c r="E46" i="74"/>
  <c r="F45" i="74"/>
  <c r="E45" i="74"/>
  <c r="G45" i="74" s="1"/>
  <c r="F37" i="74"/>
  <c r="E37" i="74"/>
  <c r="G37" i="74" s="1"/>
  <c r="F36" i="74"/>
  <c r="F35" i="74" s="1"/>
  <c r="F39" i="74" s="1"/>
  <c r="E36" i="74"/>
  <c r="C35" i="74"/>
  <c r="C39" i="74" s="1"/>
  <c r="B35" i="74"/>
  <c r="B39" i="74" s="1"/>
  <c r="F27" i="74"/>
  <c r="E27" i="74"/>
  <c r="G27" i="74" s="1"/>
  <c r="F26" i="74"/>
  <c r="E26" i="74"/>
  <c r="F25" i="74"/>
  <c r="E25" i="74"/>
  <c r="F24" i="74"/>
  <c r="E24" i="74"/>
  <c r="F22" i="74"/>
  <c r="E22" i="74"/>
  <c r="F21" i="74"/>
  <c r="E21" i="74"/>
  <c r="F20" i="74"/>
  <c r="E20" i="74"/>
  <c r="F19" i="74"/>
  <c r="E19" i="74"/>
  <c r="F11" i="74"/>
  <c r="E11" i="74"/>
  <c r="F10" i="74"/>
  <c r="E10" i="74"/>
  <c r="G10" i="74" s="1"/>
  <c r="F9" i="74"/>
  <c r="E9" i="74"/>
  <c r="F8" i="74"/>
  <c r="E8" i="74"/>
  <c r="F7" i="74"/>
  <c r="E7" i="74"/>
  <c r="F51" i="72"/>
  <c r="F57" i="72" s="1"/>
  <c r="E51" i="72"/>
  <c r="F49" i="72"/>
  <c r="F56" i="72" s="1"/>
  <c r="E49" i="72"/>
  <c r="E56" i="72" s="1"/>
  <c r="F48" i="72"/>
  <c r="E48" i="72"/>
  <c r="E52" i="72" s="1"/>
  <c r="F41" i="72"/>
  <c r="F40" i="72"/>
  <c r="F39" i="72" s="1"/>
  <c r="F43" i="72" s="1"/>
  <c r="E41" i="72"/>
  <c r="E40" i="72"/>
  <c r="F32" i="72"/>
  <c r="F31" i="72"/>
  <c r="E32" i="72"/>
  <c r="E31" i="72"/>
  <c r="C30" i="72"/>
  <c r="F22" i="72"/>
  <c r="F21" i="72"/>
  <c r="F20" i="72"/>
  <c r="E22" i="72"/>
  <c r="E21" i="72"/>
  <c r="E20" i="72"/>
  <c r="F18" i="72"/>
  <c r="F17" i="72"/>
  <c r="F16" i="72" s="1"/>
  <c r="F24" i="72" s="1"/>
  <c r="E18" i="72"/>
  <c r="G18" i="72" s="1"/>
  <c r="E17" i="72"/>
  <c r="D21" i="72"/>
  <c r="D20" i="72"/>
  <c r="F9" i="72"/>
  <c r="F8" i="72"/>
  <c r="F7" i="72"/>
  <c r="E9" i="72"/>
  <c r="E8" i="72"/>
  <c r="E7" i="72"/>
  <c r="G9" i="74" l="1"/>
  <c r="G22" i="74"/>
  <c r="E57" i="72"/>
  <c r="G51" i="72"/>
  <c r="G20" i="72"/>
  <c r="G21" i="72"/>
  <c r="G22" i="72"/>
  <c r="F44" i="74"/>
  <c r="F48" i="74" s="1"/>
  <c r="G46" i="74"/>
  <c r="G19" i="74"/>
  <c r="E55" i="74"/>
  <c r="G24" i="74"/>
  <c r="E35" i="74"/>
  <c r="G35" i="74" s="1"/>
  <c r="G57" i="74"/>
  <c r="G53" i="74"/>
  <c r="G54" i="74"/>
  <c r="G20" i="74"/>
  <c r="F23" i="74"/>
  <c r="F30" i="74" s="1"/>
  <c r="G25" i="74"/>
  <c r="G26" i="74"/>
  <c r="F63" i="74"/>
  <c r="D36" i="74"/>
  <c r="D9" i="74"/>
  <c r="D20" i="74"/>
  <c r="D37" i="74"/>
  <c r="D8" i="74"/>
  <c r="B44" i="74"/>
  <c r="B48" i="74" s="1"/>
  <c r="G56" i="74"/>
  <c r="F55" i="74"/>
  <c r="E44" i="74"/>
  <c r="D45" i="74"/>
  <c r="G36" i="74"/>
  <c r="D35" i="74"/>
  <c r="E23" i="74"/>
  <c r="E30" i="74" s="1"/>
  <c r="E18" i="74"/>
  <c r="E29" i="74" s="1"/>
  <c r="F18" i="74"/>
  <c r="F29" i="74" s="1"/>
  <c r="G11" i="74"/>
  <c r="E6" i="74"/>
  <c r="F6" i="74"/>
  <c r="G8" i="74"/>
  <c r="G7" i="74"/>
  <c r="E55" i="72"/>
  <c r="F55" i="72"/>
  <c r="G31" i="72"/>
  <c r="D8" i="72"/>
  <c r="G49" i="72"/>
  <c r="G40" i="72"/>
  <c r="E16" i="72"/>
  <c r="G16" i="72" s="1"/>
  <c r="G41" i="72"/>
  <c r="E30" i="72"/>
  <c r="E34" i="72" s="1"/>
  <c r="E19" i="72"/>
  <c r="D31" i="72"/>
  <c r="D9" i="72"/>
  <c r="C16" i="72"/>
  <c r="D32" i="72"/>
  <c r="G48" i="72"/>
  <c r="D7" i="72"/>
  <c r="E50" i="72"/>
  <c r="G9" i="72"/>
  <c r="F30" i="72"/>
  <c r="F52" i="72"/>
  <c r="F50" i="72"/>
  <c r="E39" i="72"/>
  <c r="G32" i="72"/>
  <c r="B30" i="72"/>
  <c r="E6" i="72"/>
  <c r="E11" i="72" s="1"/>
  <c r="C6" i="72"/>
  <c r="C19" i="72"/>
  <c r="G7" i="72"/>
  <c r="B6" i="72"/>
  <c r="F6" i="72"/>
  <c r="F54" i="72" s="1"/>
  <c r="F19" i="72"/>
  <c r="F25" i="72" s="1"/>
  <c r="G8" i="72"/>
  <c r="E13" i="43"/>
  <c r="E12" i="43"/>
  <c r="E10" i="43"/>
  <c r="E11" i="43"/>
  <c r="G18" i="74" l="1"/>
  <c r="E39" i="74"/>
  <c r="E54" i="72"/>
  <c r="E25" i="72"/>
  <c r="G19" i="72"/>
  <c r="G23" i="74"/>
  <c r="G44" i="74"/>
  <c r="E48" i="74"/>
  <c r="F59" i="74"/>
  <c r="F13" i="74"/>
  <c r="E59" i="74"/>
  <c r="E13" i="74"/>
  <c r="G6" i="74"/>
  <c r="G39" i="72"/>
  <c r="E43" i="72"/>
  <c r="G30" i="72"/>
  <c r="F34" i="72"/>
  <c r="D30" i="72"/>
  <c r="E24" i="72"/>
  <c r="G6" i="72"/>
  <c r="F11" i="72"/>
  <c r="D6" i="72"/>
  <c r="F107" i="7"/>
  <c r="BP35" i="1" l="1"/>
  <c r="E106" i="7" l="1"/>
  <c r="E107" i="7"/>
  <c r="BP37" i="1"/>
  <c r="F106" i="7" l="1"/>
  <c r="C106" i="7"/>
  <c r="BP38" i="1"/>
  <c r="C107" i="7" l="1"/>
  <c r="D34" i="16" l="1"/>
  <c r="C34" i="16"/>
  <c r="E32" i="16"/>
  <c r="E27" i="16"/>
  <c r="E17" i="16"/>
  <c r="E15" i="16"/>
  <c r="E14" i="16"/>
  <c r="E40" i="12" l="1"/>
  <c r="E39" i="12"/>
  <c r="E17" i="12"/>
  <c r="C19" i="12"/>
  <c r="B7" i="76" l="1"/>
  <c r="C44" i="12"/>
  <c r="B8" i="76"/>
  <c r="D19" i="12"/>
  <c r="C7" i="76" l="1"/>
  <c r="C8" i="76" s="1"/>
  <c r="D44" i="12"/>
  <c r="D8" i="76"/>
  <c r="D7" i="76"/>
  <c r="BL53" i="5" l="1"/>
  <c r="BL46" i="5"/>
  <c r="D41" i="72" s="1"/>
  <c r="BL44" i="5"/>
  <c r="BU32" i="5"/>
  <c r="BR55" i="5"/>
  <c r="BT55" i="5" s="1"/>
  <c r="BR53" i="5"/>
  <c r="BT53" i="5" s="1"/>
  <c r="BR44" i="5"/>
  <c r="BT44" i="5" s="1"/>
  <c r="BR26" i="5"/>
  <c r="BR18" i="5"/>
  <c r="BT18" i="5" s="1"/>
  <c r="BT32" i="5"/>
  <c r="BT26" i="5" l="1"/>
  <c r="C39" i="72"/>
  <c r="D22" i="72"/>
  <c r="B19" i="72"/>
  <c r="BL85" i="3"/>
  <c r="BL33" i="3"/>
  <c r="BO30" i="3"/>
  <c r="BL19" i="3"/>
  <c r="CH36" i="2"/>
  <c r="BY30" i="2"/>
  <c r="BY19" i="2"/>
  <c r="BY15" i="2"/>
  <c r="CH15" i="2" s="1"/>
  <c r="CE64" i="2"/>
  <c r="CE30" i="2"/>
  <c r="CG30" i="2" s="1"/>
  <c r="CE29" i="2"/>
  <c r="CG29" i="2" s="1"/>
  <c r="CE28" i="2"/>
  <c r="CE22" i="2"/>
  <c r="CE19" i="2"/>
  <c r="CE16" i="2"/>
  <c r="CE15" i="2"/>
  <c r="CG15" i="2" s="1"/>
  <c r="CG36" i="2"/>
  <c r="D11" i="74" l="1"/>
  <c r="CG16" i="2"/>
  <c r="D22" i="74"/>
  <c r="CG22" i="2"/>
  <c r="B39" i="72"/>
  <c r="D40" i="72"/>
  <c r="D19" i="72"/>
  <c r="D18" i="72"/>
  <c r="B16" i="72"/>
  <c r="D26" i="74"/>
  <c r="B23" i="74"/>
  <c r="B30" i="74" s="1"/>
  <c r="D24" i="74"/>
  <c r="B18" i="74"/>
  <c r="B29" i="74" s="1"/>
  <c r="C18" i="74"/>
  <c r="C29" i="74" s="1"/>
  <c r="B6" i="74"/>
  <c r="B13" i="74" s="1"/>
  <c r="D10" i="74"/>
  <c r="D16" i="72" l="1"/>
  <c r="D39" i="72"/>
  <c r="D18" i="74"/>
  <c r="D19" i="74"/>
  <c r="BR43" i="5" l="1"/>
  <c r="BR29" i="5"/>
  <c r="BR23" i="5"/>
  <c r="BR16" i="5"/>
  <c r="BR10" i="5"/>
  <c r="BL43" i="5"/>
  <c r="BL29" i="5"/>
  <c r="BL23" i="5"/>
  <c r="BL16" i="5"/>
  <c r="BL10" i="5"/>
  <c r="BL83" i="3"/>
  <c r="BL69" i="3"/>
  <c r="BL70" i="3" s="1"/>
  <c r="BL64" i="3"/>
  <c r="BL51" i="3"/>
  <c r="BY64" i="2"/>
  <c r="BY48" i="2"/>
  <c r="CH48" i="2" s="1"/>
  <c r="BY33" i="2"/>
  <c r="BY31" i="2"/>
  <c r="D27" i="74" s="1"/>
  <c r="BY29" i="2"/>
  <c r="CH29" i="2" s="1"/>
  <c r="BY18" i="2"/>
  <c r="BY12" i="2"/>
  <c r="CH12" i="2" s="1"/>
  <c r="CE46" i="2"/>
  <c r="CE33" i="2"/>
  <c r="CE27" i="2"/>
  <c r="CE18" i="2"/>
  <c r="CE10" i="2"/>
  <c r="J21" i="81" s="1"/>
  <c r="BY27" i="2" l="1"/>
  <c r="BY46" i="2"/>
  <c r="BY10" i="2"/>
  <c r="J29" i="81" s="1"/>
  <c r="BL20" i="5"/>
  <c r="BL21" i="5" s="1"/>
  <c r="BR20" i="5"/>
  <c r="BR21" i="5" s="1"/>
  <c r="BL66" i="3"/>
  <c r="BL72" i="3" s="1"/>
  <c r="BL35" i="3"/>
  <c r="CE24" i="2"/>
  <c r="J22" i="81" s="1"/>
  <c r="BR35" i="5" l="1"/>
  <c r="BL35" i="5"/>
  <c r="BL39" i="5" s="1"/>
  <c r="C54" i="72"/>
  <c r="D48" i="72"/>
  <c r="B54" i="72"/>
  <c r="D53" i="74"/>
  <c r="C23" i="74"/>
  <c r="C30" i="74" s="1"/>
  <c r="D25" i="74"/>
  <c r="D7" i="74"/>
  <c r="C6" i="74"/>
  <c r="C13" i="74" s="1"/>
  <c r="BY24" i="2"/>
  <c r="C44" i="74"/>
  <c r="C48" i="74" s="1"/>
  <c r="D46" i="74"/>
  <c r="BL87" i="3"/>
  <c r="BL36" i="3"/>
  <c r="BL67" i="3"/>
  <c r="CE38" i="2"/>
  <c r="J23" i="81" s="1"/>
  <c r="BR50" i="5"/>
  <c r="BR39" i="5"/>
  <c r="BR37" i="5"/>
  <c r="BL50" i="5"/>
  <c r="CE25" i="2"/>
  <c r="BY38" i="2" l="1"/>
  <c r="J30" i="81"/>
  <c r="BL37" i="5"/>
  <c r="B50" i="72"/>
  <c r="BL41" i="5"/>
  <c r="D44" i="74"/>
  <c r="D6" i="74"/>
  <c r="C59" i="74"/>
  <c r="BY25" i="2"/>
  <c r="BY40" i="2"/>
  <c r="BY42" i="2"/>
  <c r="J32" i="81" s="1"/>
  <c r="D23" i="74"/>
  <c r="BL54" i="5"/>
  <c r="BR54" i="5"/>
  <c r="BR41" i="5"/>
  <c r="BL88" i="3"/>
  <c r="CE42" i="2"/>
  <c r="J24" i="81" s="1"/>
  <c r="CE51" i="2"/>
  <c r="CE56" i="2" s="1"/>
  <c r="CE40" i="2"/>
  <c r="BY51" i="2" l="1"/>
  <c r="BY56" i="2" s="1"/>
  <c r="J31" i="81"/>
  <c r="C50" i="72"/>
  <c r="D49" i="72"/>
  <c r="BY44" i="2"/>
  <c r="CE44" i="2"/>
  <c r="BL57" i="5"/>
  <c r="BR57" i="5"/>
  <c r="J25" i="81"/>
  <c r="BN93" i="1"/>
  <c r="BN89" i="1"/>
  <c r="BN87" i="1"/>
  <c r="BN68" i="1"/>
  <c r="BN54" i="1"/>
  <c r="BN35" i="1"/>
  <c r="BN19" i="1"/>
  <c r="J33" i="81" l="1"/>
  <c r="BY65" i="2"/>
  <c r="CH65" i="2" s="1"/>
  <c r="BY61" i="2"/>
  <c r="D51" i="72"/>
  <c r="B52" i="72"/>
  <c r="C52" i="72"/>
  <c r="D56" i="74"/>
  <c r="D54" i="74"/>
  <c r="B55" i="74"/>
  <c r="C55" i="74"/>
  <c r="BN102" i="1"/>
  <c r="BN90" i="1"/>
  <c r="BN70" i="1"/>
  <c r="BN37" i="1"/>
  <c r="BL59" i="5"/>
  <c r="BR59" i="5"/>
  <c r="CE65" i="2"/>
  <c r="J26" i="81" s="1"/>
  <c r="CE61" i="2"/>
  <c r="BN73" i="1"/>
  <c r="J34" i="81" l="1"/>
  <c r="BY67" i="2"/>
  <c r="D57" i="74"/>
  <c r="BN38" i="1"/>
  <c r="BN76" i="1"/>
  <c r="BN71" i="1"/>
  <c r="BN99" i="1"/>
  <c r="CE67" i="2"/>
  <c r="BN74" i="1"/>
  <c r="BN100" i="1" l="1"/>
  <c r="C93" i="9"/>
  <c r="D11" i="12" l="1"/>
  <c r="D43" i="12" s="1"/>
  <c r="C11" i="12"/>
  <c r="E25" i="12" l="1"/>
  <c r="E14" i="12" l="1"/>
  <c r="E9" i="12" l="1"/>
  <c r="E26" i="16" l="1"/>
  <c r="E24" i="16"/>
  <c r="E25" i="16"/>
  <c r="E30" i="16"/>
  <c r="E31" i="16" l="1"/>
  <c r="E12" i="16"/>
  <c r="E11" i="16"/>
  <c r="E10" i="16"/>
  <c r="D41" i="12" l="1"/>
  <c r="E33" i="12"/>
  <c r="E29" i="12"/>
  <c r="E35" i="12"/>
  <c r="C41" i="12"/>
  <c r="D22" i="13"/>
  <c r="C22" i="13"/>
  <c r="E20" i="13"/>
  <c r="E9" i="13"/>
  <c r="B31" i="76" l="1"/>
  <c r="C45" i="12"/>
  <c r="C31" i="76"/>
  <c r="C68" i="5" l="1"/>
  <c r="D68" i="5"/>
  <c r="BJ43" i="5"/>
  <c r="BJ29" i="5"/>
  <c r="BJ23" i="5"/>
  <c r="BJ16" i="5"/>
  <c r="BJ10" i="5"/>
  <c r="BQ43" i="5"/>
  <c r="BT43" i="5" s="1"/>
  <c r="BQ29" i="5"/>
  <c r="BT29" i="5" s="1"/>
  <c r="BQ23" i="5"/>
  <c r="BT23" i="5" s="1"/>
  <c r="BQ16" i="5"/>
  <c r="BT16" i="5" s="1"/>
  <c r="BQ10" i="5"/>
  <c r="BT10" i="5" s="1"/>
  <c r="BO80" i="3"/>
  <c r="BO79" i="3"/>
  <c r="BO78" i="3"/>
  <c r="BO77" i="3"/>
  <c r="BO76" i="3"/>
  <c r="BO75" i="3"/>
  <c r="BO74" i="3"/>
  <c r="BO62" i="3"/>
  <c r="BO61" i="3"/>
  <c r="BO60" i="3"/>
  <c r="BO59" i="3"/>
  <c r="BO58" i="3"/>
  <c r="BO57" i="3"/>
  <c r="BO56" i="3"/>
  <c r="BO55" i="3"/>
  <c r="BO54" i="3"/>
  <c r="BO53" i="3"/>
  <c r="BO49" i="3"/>
  <c r="BO48" i="3"/>
  <c r="BO47" i="3"/>
  <c r="BO46" i="3"/>
  <c r="BO45" i="3"/>
  <c r="BO44" i="3"/>
  <c r="BO43" i="3"/>
  <c r="BO42" i="3"/>
  <c r="BO41" i="3"/>
  <c r="BO40" i="3"/>
  <c r="BO39" i="3"/>
  <c r="BO38" i="3"/>
  <c r="BO31" i="3"/>
  <c r="BO29" i="3"/>
  <c r="BO28" i="3"/>
  <c r="BO27" i="3"/>
  <c r="BO26" i="3"/>
  <c r="BO25" i="3"/>
  <c r="BO24" i="3"/>
  <c r="BO23" i="3"/>
  <c r="BO22" i="3"/>
  <c r="BO21" i="3"/>
  <c r="BO17" i="3"/>
  <c r="BO16" i="3"/>
  <c r="BO15" i="3"/>
  <c r="BO14" i="3"/>
  <c r="BO13" i="3"/>
  <c r="BO12" i="3"/>
  <c r="BO11" i="3"/>
  <c r="BO10" i="3"/>
  <c r="BO81" i="3"/>
  <c r="BK83" i="3"/>
  <c r="BK69" i="3"/>
  <c r="BK70" i="3" s="1"/>
  <c r="BK64" i="3"/>
  <c r="BK51" i="3"/>
  <c r="BK33" i="3"/>
  <c r="BK19" i="3"/>
  <c r="BK35" i="3" l="1"/>
  <c r="BK66" i="3"/>
  <c r="BK67" i="3" s="1"/>
  <c r="BQ20" i="5"/>
  <c r="BT20" i="5" s="1"/>
  <c r="BJ20" i="5"/>
  <c r="BK72" i="3" l="1"/>
  <c r="BK87" i="3"/>
  <c r="BK36" i="3"/>
  <c r="BK88" i="3" s="1"/>
  <c r="BQ35" i="5"/>
  <c r="BT35" i="5" s="1"/>
  <c r="BQ21" i="5"/>
  <c r="BJ35" i="5"/>
  <c r="BJ21" i="5"/>
  <c r="BQ39" i="5" l="1"/>
  <c r="BT39" i="5" s="1"/>
  <c r="BJ39" i="5"/>
  <c r="BQ50" i="5"/>
  <c r="BT50" i="5" s="1"/>
  <c r="BQ37" i="5"/>
  <c r="BJ50" i="5"/>
  <c r="BJ37" i="5"/>
  <c r="BJ54" i="5" l="1"/>
  <c r="BQ54" i="5"/>
  <c r="BT54" i="5" s="1"/>
  <c r="BJ41" i="5"/>
  <c r="BQ41" i="5"/>
  <c r="BQ57" i="5" l="1"/>
  <c r="BT57" i="5" s="1"/>
  <c r="BJ57" i="5"/>
  <c r="BQ59" i="5" l="1"/>
  <c r="BJ59" i="5"/>
  <c r="CH57" i="2"/>
  <c r="CD54" i="2"/>
  <c r="CG54" i="2" s="1"/>
  <c r="BW31" i="2"/>
  <c r="CH31" i="2" s="1"/>
  <c r="BW30" i="2"/>
  <c r="CH30" i="2" s="1"/>
  <c r="CD28" i="2"/>
  <c r="CG28" i="2" s="1"/>
  <c r="BW19" i="2"/>
  <c r="CH19" i="2" s="1"/>
  <c r="CD19" i="2"/>
  <c r="CG19" i="2" s="1"/>
  <c r="BW46" i="2"/>
  <c r="CH46" i="2" s="1"/>
  <c r="BW33" i="2"/>
  <c r="CH33" i="2" s="1"/>
  <c r="BW10" i="2"/>
  <c r="J46" i="81" l="1"/>
  <c r="CH10" i="2"/>
  <c r="BW18" i="2"/>
  <c r="CH18" i="2" s="1"/>
  <c r="BW27" i="2"/>
  <c r="CH27" i="2" s="1"/>
  <c r="CD46" i="2"/>
  <c r="CG46" i="2" s="1"/>
  <c r="CD33" i="2"/>
  <c r="CG33" i="2" s="1"/>
  <c r="CD27" i="2"/>
  <c r="CG27" i="2" s="1"/>
  <c r="CD18" i="2"/>
  <c r="CG18" i="2" s="1"/>
  <c r="CD10" i="2"/>
  <c r="BQ95" i="1"/>
  <c r="BQ92" i="1"/>
  <c r="BQ85" i="1"/>
  <c r="BQ84" i="1"/>
  <c r="BQ83" i="1"/>
  <c r="BQ82" i="1"/>
  <c r="BQ81" i="1"/>
  <c r="BQ80" i="1"/>
  <c r="BQ79" i="1"/>
  <c r="BQ78" i="1"/>
  <c r="BQ66" i="1"/>
  <c r="BQ65" i="1"/>
  <c r="BQ64" i="1"/>
  <c r="BQ63" i="1"/>
  <c r="BQ62" i="1"/>
  <c r="BQ61" i="1"/>
  <c r="BQ60" i="1"/>
  <c r="BQ59" i="1"/>
  <c r="BQ58" i="1"/>
  <c r="BQ57" i="1"/>
  <c r="BQ56" i="1"/>
  <c r="BQ52" i="1"/>
  <c r="BQ51" i="1"/>
  <c r="BQ50" i="1"/>
  <c r="BQ49" i="1"/>
  <c r="BQ48" i="1"/>
  <c r="BQ47" i="1"/>
  <c r="BQ46" i="1"/>
  <c r="BQ45" i="1"/>
  <c r="BQ44" i="1"/>
  <c r="BQ43" i="1"/>
  <c r="BQ42" i="1"/>
  <c r="BQ41" i="1"/>
  <c r="BQ40" i="1"/>
  <c r="BQ33" i="1"/>
  <c r="BQ32" i="1"/>
  <c r="BQ31" i="1"/>
  <c r="BQ30" i="1"/>
  <c r="BQ29" i="1"/>
  <c r="BQ28" i="1"/>
  <c r="BQ27" i="1"/>
  <c r="BQ26" i="1"/>
  <c r="BQ25" i="1"/>
  <c r="BQ24" i="1"/>
  <c r="BQ23" i="1"/>
  <c r="BQ22" i="1"/>
  <c r="BQ21" i="1"/>
  <c r="BQ17" i="1"/>
  <c r="BQ16" i="1"/>
  <c r="BQ15" i="1"/>
  <c r="BQ14" i="1"/>
  <c r="BQ13" i="1"/>
  <c r="BQ12" i="1"/>
  <c r="BQ11" i="1"/>
  <c r="BQ10" i="1"/>
  <c r="J38" i="81" l="1"/>
  <c r="CG10" i="2"/>
  <c r="BW24" i="2"/>
  <c r="CD24" i="2"/>
  <c r="J39" i="81" l="1"/>
  <c r="CG24" i="2"/>
  <c r="J47" i="81"/>
  <c r="CH24" i="2"/>
  <c r="BW38" i="2"/>
  <c r="BW25" i="2"/>
  <c r="CD25" i="2"/>
  <c r="CD38" i="2"/>
  <c r="J40" i="81" l="1"/>
  <c r="CG38" i="2"/>
  <c r="J48" i="81"/>
  <c r="CH38" i="2"/>
  <c r="BW42" i="2"/>
  <c r="BW40" i="2"/>
  <c r="BW51" i="2"/>
  <c r="CH51" i="2" s="1"/>
  <c r="CD51" i="2"/>
  <c r="CG51" i="2" s="1"/>
  <c r="CD42" i="2"/>
  <c r="CD40" i="2"/>
  <c r="J41" i="81" l="1"/>
  <c r="CG42" i="2"/>
  <c r="J49" i="81"/>
  <c r="CH42" i="2"/>
  <c r="BW56" i="2"/>
  <c r="CH56" i="2" s="1"/>
  <c r="BW44" i="2"/>
  <c r="CD44" i="2"/>
  <c r="CD56" i="2"/>
  <c r="CG56" i="2" s="1"/>
  <c r="J42" i="81" l="1"/>
  <c r="J50" i="81"/>
  <c r="BW65" i="2"/>
  <c r="BW61" i="2"/>
  <c r="CD65" i="2"/>
  <c r="CD61" i="2"/>
  <c r="J43" i="81" l="1"/>
  <c r="J51" i="81"/>
  <c r="BW67" i="2"/>
  <c r="CD67" i="2"/>
  <c r="BM93" i="1"/>
  <c r="BM89" i="1"/>
  <c r="BM87" i="1"/>
  <c r="BM68" i="1"/>
  <c r="BM54" i="1"/>
  <c r="BM35" i="1"/>
  <c r="BM19" i="1"/>
  <c r="BM102" i="1" l="1"/>
  <c r="BM90" i="1"/>
  <c r="BM73" i="1"/>
  <c r="BM70" i="1"/>
  <c r="BM37" i="1"/>
  <c r="BM38" i="1" s="1"/>
  <c r="BM76" i="1"/>
  <c r="BM74" i="1" l="1"/>
  <c r="BM71" i="1"/>
  <c r="BM99" i="1"/>
  <c r="BM100" i="1" l="1"/>
  <c r="CB64" i="2"/>
  <c r="G17" i="14" l="1"/>
  <c r="G10" i="14"/>
  <c r="E10" i="13"/>
  <c r="E15" i="12" l="1"/>
  <c r="BO43" i="5" l="1"/>
  <c r="BO29" i="5"/>
  <c r="BO23" i="5"/>
  <c r="BO16" i="5"/>
  <c r="BO10" i="5"/>
  <c r="BI83" i="3"/>
  <c r="BO83" i="3" s="1"/>
  <c r="BI69" i="3"/>
  <c r="BO69" i="3" s="1"/>
  <c r="BI64" i="3"/>
  <c r="BO64" i="3" s="1"/>
  <c r="BI51" i="3"/>
  <c r="BO51" i="3" s="1"/>
  <c r="BO20" i="5" l="1"/>
  <c r="BO35" i="5" s="1"/>
  <c r="BI66" i="3"/>
  <c r="BO66" i="3" s="1"/>
  <c r="BI70" i="3"/>
  <c r="BO70" i="3" s="1"/>
  <c r="BI33" i="3"/>
  <c r="BO33" i="3" s="1"/>
  <c r="BI19" i="3"/>
  <c r="BO19" i="3" s="1"/>
  <c r="BI67" i="3" l="1"/>
  <c r="BO67" i="3" s="1"/>
  <c r="BI72" i="3"/>
  <c r="BO72" i="3" s="1"/>
  <c r="BO21" i="5"/>
  <c r="BI35" i="3"/>
  <c r="BO35" i="3" s="1"/>
  <c r="BO50" i="5"/>
  <c r="BO39" i="5"/>
  <c r="BO41" i="5" s="1"/>
  <c r="BO37" i="5"/>
  <c r="BO54" i="5" l="1"/>
  <c r="BO57" i="5" s="1"/>
  <c r="BO59" i="5" s="1"/>
  <c r="BI87" i="3"/>
  <c r="BI36" i="3"/>
  <c r="BO36" i="3" s="1"/>
  <c r="BI88" i="3" l="1"/>
  <c r="BT48" i="2" l="1"/>
  <c r="BT35" i="2"/>
  <c r="BT34" i="2"/>
  <c r="BT31" i="2"/>
  <c r="BT30" i="2"/>
  <c r="CB30" i="2"/>
  <c r="CB27" i="2" s="1"/>
  <c r="BT22" i="2"/>
  <c r="BT19" i="2"/>
  <c r="BT14" i="2"/>
  <c r="CB57" i="2"/>
  <c r="CB54" i="2"/>
  <c r="CB48" i="2"/>
  <c r="CB46" i="2" s="1"/>
  <c r="CB47" i="2"/>
  <c r="CB35" i="2"/>
  <c r="CB34" i="2"/>
  <c r="CB22" i="2"/>
  <c r="CB20" i="2"/>
  <c r="CB19" i="2"/>
  <c r="CB14" i="2"/>
  <c r="CB12" i="2"/>
  <c r="CB10" i="2" s="1"/>
  <c r="O9" i="10"/>
  <c r="CB18" i="2" l="1"/>
  <c r="CB33" i="2"/>
  <c r="CB24" i="2"/>
  <c r="CB38" i="2" l="1"/>
  <c r="CB42" i="2" s="1"/>
  <c r="CB25" i="2"/>
  <c r="CB40" i="2" l="1"/>
  <c r="CB51" i="2"/>
  <c r="CB56" i="2" s="1"/>
  <c r="CB59" i="2" s="1"/>
  <c r="CB65" i="2" s="1"/>
  <c r="CB44" i="2"/>
  <c r="CB67" i="2" l="1"/>
  <c r="CB61" i="2"/>
  <c r="BT46" i="2" l="1"/>
  <c r="BT33" i="2"/>
  <c r="BT27" i="2"/>
  <c r="BT18" i="2"/>
  <c r="BT15" i="2"/>
  <c r="BT10" i="2" s="1"/>
  <c r="BK93" i="1"/>
  <c r="BK89" i="1"/>
  <c r="BQ89" i="1" s="1"/>
  <c r="BK87" i="1"/>
  <c r="BQ87" i="1" s="1"/>
  <c r="BK68" i="1"/>
  <c r="BQ68" i="1" s="1"/>
  <c r="BK54" i="1"/>
  <c r="BQ54" i="1" s="1"/>
  <c r="BK35" i="1"/>
  <c r="BQ35" i="1" s="1"/>
  <c r="BK19" i="1"/>
  <c r="BQ19" i="1" s="1"/>
  <c r="BK73" i="1" l="1"/>
  <c r="BQ73" i="1" s="1"/>
  <c r="BK102" i="1"/>
  <c r="BK70" i="1"/>
  <c r="BQ70" i="1" s="1"/>
  <c r="BK37" i="1"/>
  <c r="BQ37" i="1" s="1"/>
  <c r="BT24" i="2"/>
  <c r="BT25" i="2" s="1"/>
  <c r="BK90" i="1"/>
  <c r="BK74" i="1" l="1"/>
  <c r="BQ74" i="1" s="1"/>
  <c r="BK76" i="1"/>
  <c r="BQ76" i="1" s="1"/>
  <c r="BK71" i="1"/>
  <c r="BQ71" i="1" s="1"/>
  <c r="BK99" i="1"/>
  <c r="BK38" i="1"/>
  <c r="BQ38" i="1" s="1"/>
  <c r="BT38" i="2"/>
  <c r="BT42" i="2" s="1"/>
  <c r="BT44" i="2" s="1"/>
  <c r="BK100" i="1" l="1"/>
  <c r="BT51" i="2"/>
  <c r="BT56" i="2" s="1"/>
  <c r="BT59" i="2" s="1"/>
  <c r="BT65" i="2" s="1"/>
  <c r="BT67" i="2" s="1"/>
  <c r="BT40" i="2"/>
  <c r="BT61" i="2" l="1"/>
  <c r="BZ64" i="2" l="1"/>
  <c r="BZ15" i="2"/>
  <c r="BM43" i="5" l="1"/>
  <c r="BM29" i="5"/>
  <c r="BM23" i="5"/>
  <c r="BM16" i="5"/>
  <c r="BM10" i="5"/>
  <c r="BH83" i="3"/>
  <c r="BH69" i="3"/>
  <c r="BH70" i="3" s="1"/>
  <c r="BH64" i="3"/>
  <c r="BH51" i="3"/>
  <c r="BH33" i="3"/>
  <c r="BH19" i="3"/>
  <c r="BM20" i="5" l="1"/>
  <c r="BM35" i="5" s="1"/>
  <c r="BH66" i="3"/>
  <c r="BH72" i="3" s="1"/>
  <c r="BH35" i="3"/>
  <c r="BH36" i="3" s="1"/>
  <c r="BM21" i="5" l="1"/>
  <c r="BM50" i="5"/>
  <c r="BM37" i="5"/>
  <c r="BM39" i="5"/>
  <c r="BM41" i="5" s="1"/>
  <c r="BH87" i="3"/>
  <c r="BH67" i="3"/>
  <c r="BH88" i="3" s="1"/>
  <c r="BM54" i="5" l="1"/>
  <c r="BM57" i="5" s="1"/>
  <c r="BM59" i="5" s="1"/>
  <c r="BR64" i="2"/>
  <c r="BR48" i="2"/>
  <c r="BR47" i="2"/>
  <c r="BR31" i="2"/>
  <c r="BR30" i="2"/>
  <c r="BZ31" i="2"/>
  <c r="BZ30" i="2"/>
  <c r="BZ28" i="2"/>
  <c r="BR22" i="2"/>
  <c r="BR19" i="2"/>
  <c r="BR18" i="2" s="1"/>
  <c r="BR12" i="2"/>
  <c r="BR10" i="2" s="1"/>
  <c r="BZ14" i="2"/>
  <c r="BZ12" i="2"/>
  <c r="BR33" i="2"/>
  <c r="BZ46" i="2"/>
  <c r="BZ33" i="2"/>
  <c r="BZ18" i="2"/>
  <c r="BJ93" i="1"/>
  <c r="BJ89" i="1"/>
  <c r="BJ90" i="1" s="1"/>
  <c r="BJ87" i="1"/>
  <c r="BJ68" i="1"/>
  <c r="BJ54" i="1"/>
  <c r="BJ35" i="1"/>
  <c r="BJ19" i="1"/>
  <c r="BR46" i="2" l="1"/>
  <c r="BR27" i="2"/>
  <c r="BZ10" i="2"/>
  <c r="BZ24" i="2" s="1"/>
  <c r="BJ73" i="1"/>
  <c r="BJ74" i="1" s="1"/>
  <c r="BJ102" i="1"/>
  <c r="BZ27" i="2"/>
  <c r="BR24" i="2"/>
  <c r="BR38" i="2" s="1"/>
  <c r="BJ70" i="1"/>
  <c r="BJ37" i="1"/>
  <c r="BJ38" i="1" l="1"/>
  <c r="BJ99" i="1"/>
  <c r="BJ76" i="1"/>
  <c r="BR25" i="2"/>
  <c r="BR42" i="2"/>
  <c r="BR44" i="2" s="1"/>
  <c r="BR40" i="2"/>
  <c r="BR51" i="2"/>
  <c r="BR56" i="2" s="1"/>
  <c r="BR59" i="2" s="1"/>
  <c r="BZ38" i="2"/>
  <c r="BZ51" i="2" s="1"/>
  <c r="BZ56" i="2" s="1"/>
  <c r="BZ59" i="2" s="1"/>
  <c r="BZ61" i="2" s="1"/>
  <c r="BZ25" i="2"/>
  <c r="BJ71" i="1"/>
  <c r="BJ100" i="1" l="1"/>
  <c r="BZ40" i="2"/>
  <c r="BZ42" i="2"/>
  <c r="BZ44" i="2" s="1"/>
  <c r="BR65" i="2"/>
  <c r="BR61" i="2"/>
  <c r="BZ65" i="2"/>
  <c r="BZ67" i="2" s="1"/>
  <c r="BR67" i="2" l="1"/>
  <c r="E32" i="12" l="1"/>
  <c r="BX64" i="2" l="1"/>
  <c r="BX15" i="2"/>
  <c r="F11" i="14" l="1"/>
  <c r="F24" i="14" s="1"/>
  <c r="E11" i="14"/>
  <c r="E24" i="14" s="1"/>
  <c r="E7" i="16"/>
  <c r="E18" i="13" l="1"/>
  <c r="E17" i="13"/>
  <c r="E11" i="13"/>
  <c r="E8" i="13"/>
  <c r="E38" i="12"/>
  <c r="E34" i="12"/>
  <c r="E31" i="12"/>
  <c r="E30" i="12"/>
  <c r="E16" i="12"/>
  <c r="E13" i="12"/>
  <c r="E19" i="12" l="1"/>
  <c r="BK43" i="5" l="1"/>
  <c r="BK29" i="5"/>
  <c r="BK23" i="5"/>
  <c r="BK16" i="5"/>
  <c r="BK10" i="5"/>
  <c r="BK20" i="5" l="1"/>
  <c r="BK35" i="5" s="1"/>
  <c r="BK21" i="5" l="1"/>
  <c r="BK50" i="5"/>
  <c r="BK39" i="5"/>
  <c r="BK41" i="5" s="1"/>
  <c r="BK37" i="5"/>
  <c r="BK54" i="5" l="1"/>
  <c r="BK57" i="5" s="1"/>
  <c r="BK59" i="5" s="1"/>
  <c r="BG83" i="3"/>
  <c r="BG69" i="3"/>
  <c r="BG70" i="3" s="1"/>
  <c r="BG64" i="3"/>
  <c r="BG51" i="3"/>
  <c r="BG33" i="3"/>
  <c r="BG19" i="3"/>
  <c r="BP64" i="2"/>
  <c r="BP54" i="2"/>
  <c r="BP48" i="2"/>
  <c r="BP47" i="2"/>
  <c r="BX48" i="2"/>
  <c r="BP35" i="2"/>
  <c r="BP31" i="2"/>
  <c r="BP30" i="2"/>
  <c r="BX31" i="2"/>
  <c r="BV31" i="2"/>
  <c r="BX30" i="2"/>
  <c r="BX29" i="2"/>
  <c r="BX28" i="2"/>
  <c r="BP19" i="2"/>
  <c r="BP14" i="2"/>
  <c r="BP12" i="2"/>
  <c r="BP13" i="2"/>
  <c r="BX12" i="2"/>
  <c r="BX33" i="2"/>
  <c r="BX18" i="2"/>
  <c r="BP10" i="2" l="1"/>
  <c r="BP46" i="2"/>
  <c r="BX10" i="2"/>
  <c r="BX24" i="2" s="1"/>
  <c r="BP33" i="2"/>
  <c r="BP27" i="2"/>
  <c r="BX27" i="2"/>
  <c r="BG66" i="3"/>
  <c r="BG35" i="3"/>
  <c r="BG36" i="3" s="1"/>
  <c r="BX46" i="2"/>
  <c r="BP18" i="2"/>
  <c r="BX38" i="2" l="1"/>
  <c r="BX42" i="2" s="1"/>
  <c r="BX44" i="2" s="1"/>
  <c r="BG67" i="3"/>
  <c r="BG87" i="3"/>
  <c r="BG72" i="3"/>
  <c r="BP24" i="2"/>
  <c r="BX25" i="2"/>
  <c r="BX40" i="2" l="1"/>
  <c r="BX51" i="2"/>
  <c r="BX56" i="2" s="1"/>
  <c r="BX59" i="2" s="1"/>
  <c r="BX61" i="2" s="1"/>
  <c r="BG88" i="3"/>
  <c r="BP25" i="2"/>
  <c r="BP38" i="2"/>
  <c r="BX65" i="2" l="1"/>
  <c r="BX67" i="2" s="1"/>
  <c r="BP51" i="2"/>
  <c r="BP56" i="2" s="1"/>
  <c r="BP40" i="2"/>
  <c r="BP42" i="2"/>
  <c r="BP44" i="2" s="1"/>
  <c r="BP59" i="2" l="1"/>
  <c r="BP61" i="2" l="1"/>
  <c r="BP65" i="2"/>
  <c r="BP67" i="2" l="1"/>
  <c r="BI93" i="1" l="1"/>
  <c r="BI89" i="1"/>
  <c r="BI87" i="1"/>
  <c r="BI68" i="1"/>
  <c r="BI54" i="1"/>
  <c r="BI35" i="1"/>
  <c r="BI19" i="1"/>
  <c r="C12" i="27"/>
  <c r="B12" i="27"/>
  <c r="BI90" i="1" l="1"/>
  <c r="BI70" i="1"/>
  <c r="BI71" i="1" s="1"/>
  <c r="BI37" i="1"/>
  <c r="BI102" i="1"/>
  <c r="BI73" i="1"/>
  <c r="BI74" i="1" l="1"/>
  <c r="BI38" i="1"/>
  <c r="BI99" i="1"/>
  <c r="BI76" i="1"/>
  <c r="BI100" i="1" l="1"/>
  <c r="E29" i="16"/>
  <c r="E8" i="16"/>
  <c r="E15" i="43" l="1"/>
  <c r="C15" i="14"/>
  <c r="C8" i="14"/>
  <c r="D16" i="13"/>
  <c r="C16" i="13"/>
  <c r="D7" i="13"/>
  <c r="C7" i="13"/>
  <c r="D28" i="12"/>
  <c r="C28" i="12"/>
  <c r="E41" i="12" l="1"/>
  <c r="BI16" i="5"/>
  <c r="BN54" i="2" l="1"/>
  <c r="BN30" i="2"/>
  <c r="BV30" i="2"/>
  <c r="BN19" i="2"/>
  <c r="BV19" i="2"/>
  <c r="BH93" i="1" l="1"/>
  <c r="BH89" i="1"/>
  <c r="BH90" i="1" s="1"/>
  <c r="BH87" i="1"/>
  <c r="BH102" i="1" s="1"/>
  <c r="BH68" i="1"/>
  <c r="BH54" i="1"/>
  <c r="BH35" i="1"/>
  <c r="BH19" i="1"/>
  <c r="BH73" i="1" l="1"/>
  <c r="BH74" i="1" s="1"/>
  <c r="BH37" i="1"/>
  <c r="BH38" i="1" s="1"/>
  <c r="BH70" i="1"/>
  <c r="BH76" i="1" s="1"/>
  <c r="BH71" i="1" l="1"/>
  <c r="BH100" i="1" s="1"/>
  <c r="BH99" i="1"/>
  <c r="BI43" i="5" l="1"/>
  <c r="BI29" i="5"/>
  <c r="BI23" i="5"/>
  <c r="BI10" i="5"/>
  <c r="BF83" i="3"/>
  <c r="BF69" i="3"/>
  <c r="BF64" i="3"/>
  <c r="BF51" i="3"/>
  <c r="BF33" i="3"/>
  <c r="BF19" i="3"/>
  <c r="BI20" i="5" l="1"/>
  <c r="BF70" i="3"/>
  <c r="BF66" i="3"/>
  <c r="BF35" i="3"/>
  <c r="BV46" i="2"/>
  <c r="BV33" i="2"/>
  <c r="BV27" i="2"/>
  <c r="BV18" i="2"/>
  <c r="BV10" i="2"/>
  <c r="BN46" i="2"/>
  <c r="BN33" i="2"/>
  <c r="BN27" i="2"/>
  <c r="BN18" i="2"/>
  <c r="BN10" i="2"/>
  <c r="BF87" i="3" l="1"/>
  <c r="BI21" i="5"/>
  <c r="BI35" i="5"/>
  <c r="BF67" i="3"/>
  <c r="BF72" i="3"/>
  <c r="BF36" i="3"/>
  <c r="BN24" i="2"/>
  <c r="BV24" i="2"/>
  <c r="BI50" i="5" l="1"/>
  <c r="BI57" i="5" s="1"/>
  <c r="BI37" i="5"/>
  <c r="BI39" i="5"/>
  <c r="BN25" i="2"/>
  <c r="BN38" i="2"/>
  <c r="BF88" i="3"/>
  <c r="BV25" i="2"/>
  <c r="BV38" i="2"/>
  <c r="BI41" i="5" l="1"/>
  <c r="BN51" i="2"/>
  <c r="BN40" i="2"/>
  <c r="BN42" i="2"/>
  <c r="BI59" i="5"/>
  <c r="BV40" i="2"/>
  <c r="BV51" i="2"/>
  <c r="BV42" i="2"/>
  <c r="BN44" i="2" l="1"/>
  <c r="BN56" i="2"/>
  <c r="BV56" i="2"/>
  <c r="BV44" i="2"/>
  <c r="BN59" i="2" l="1"/>
  <c r="BN61" i="2" s="1"/>
  <c r="BV59" i="2"/>
  <c r="BN65" i="2" l="1"/>
  <c r="BN67" i="2" s="1"/>
  <c r="BV61" i="2"/>
  <c r="BV65" i="2"/>
  <c r="BV67" i="2" l="1"/>
  <c r="AA27" i="11" l="1"/>
  <c r="J9" i="75" s="1"/>
  <c r="AB27" i="11"/>
  <c r="J17" i="75" s="1"/>
  <c r="AB24" i="11"/>
  <c r="J16" i="75" s="1"/>
  <c r="AA24" i="11"/>
  <c r="J8" i="75" s="1"/>
  <c r="AA21" i="11"/>
  <c r="J7" i="75" s="1"/>
  <c r="AB21" i="11"/>
  <c r="J15" i="75" s="1"/>
  <c r="AB18" i="11"/>
  <c r="J14" i="75" s="1"/>
  <c r="AA18" i="11"/>
  <c r="J6" i="75" s="1"/>
  <c r="AB15" i="11"/>
  <c r="J13" i="75" s="1"/>
  <c r="AA15" i="11"/>
  <c r="J5" i="75" s="1"/>
  <c r="AA13" i="11"/>
  <c r="J4" i="75" s="1"/>
  <c r="AB13" i="11"/>
  <c r="J12" i="75" s="1"/>
  <c r="AA11" i="11"/>
  <c r="BG43" i="5"/>
  <c r="BG29" i="5"/>
  <c r="BG23" i="5"/>
  <c r="BG16" i="5"/>
  <c r="BG10" i="5"/>
  <c r="BD83" i="3"/>
  <c r="BD69" i="3"/>
  <c r="BD64" i="3"/>
  <c r="BD51" i="3"/>
  <c r="BD33" i="3"/>
  <c r="BD19" i="3"/>
  <c r="AA22" i="11" l="1"/>
  <c r="BD70" i="3"/>
  <c r="AC24" i="11"/>
  <c r="AA16" i="11"/>
  <c r="AC18" i="11"/>
  <c r="AA28" i="11"/>
  <c r="AA25" i="11"/>
  <c r="AA19" i="11"/>
  <c r="BG20" i="5"/>
  <c r="BG21" i="5" s="1"/>
  <c r="AC15" i="11"/>
  <c r="AB16" i="11"/>
  <c r="AB28" i="11"/>
  <c r="AC27" i="11"/>
  <c r="AB25" i="11"/>
  <c r="AC13" i="11"/>
  <c r="AB22" i="11"/>
  <c r="AC21" i="11"/>
  <c r="AB19" i="11"/>
  <c r="BD66" i="3"/>
  <c r="BD35" i="3"/>
  <c r="BG35" i="5" l="1"/>
  <c r="BG39" i="5" s="1"/>
  <c r="BG41" i="5" s="1"/>
  <c r="BD72" i="3"/>
  <c r="BD87" i="3"/>
  <c r="BD67" i="3"/>
  <c r="BD36" i="3"/>
  <c r="BG37" i="5" l="1"/>
  <c r="BG50" i="5"/>
  <c r="BG57" i="5" s="1"/>
  <c r="BG59" i="5" s="1"/>
  <c r="BD88" i="3"/>
  <c r="BS47" i="2"/>
  <c r="BS31" i="2"/>
  <c r="BS30" i="2"/>
  <c r="BS29" i="2"/>
  <c r="BS22" i="2"/>
  <c r="BS15" i="2"/>
  <c r="BS46" i="2" l="1"/>
  <c r="BS33" i="2"/>
  <c r="BS27" i="2"/>
  <c r="BS18" i="2"/>
  <c r="BS10" i="2"/>
  <c r="BS24" i="2" l="1"/>
  <c r="BS38" i="2" s="1"/>
  <c r="BS40" i="2" s="1"/>
  <c r="BF93" i="1"/>
  <c r="BF89" i="1"/>
  <c r="BF87" i="1"/>
  <c r="BF68" i="1"/>
  <c r="BF54" i="1"/>
  <c r="BF35" i="1"/>
  <c r="BF19" i="1"/>
  <c r="BS25" i="2" l="1"/>
  <c r="BS42" i="2"/>
  <c r="BS44" i="2" s="1"/>
  <c r="BS51" i="2"/>
  <c r="BS56" i="2" s="1"/>
  <c r="BS59" i="2" s="1"/>
  <c r="BS61" i="2" s="1"/>
  <c r="BF102" i="1"/>
  <c r="BF90" i="1"/>
  <c r="BF73" i="1"/>
  <c r="BF70" i="1"/>
  <c r="BF37" i="1"/>
  <c r="BF71" i="1" l="1"/>
  <c r="BS65" i="2"/>
  <c r="BS67" i="2" s="1"/>
  <c r="BF99" i="1"/>
  <c r="BF38" i="1"/>
  <c r="BF74" i="1"/>
  <c r="BF76" i="1"/>
  <c r="BF100" i="1" l="1"/>
  <c r="BU33" i="5" l="1"/>
  <c r="BF43" i="5"/>
  <c r="BF29" i="5"/>
  <c r="BF23" i="5"/>
  <c r="BF16" i="5"/>
  <c r="BF10" i="5"/>
  <c r="BC83" i="3"/>
  <c r="BC69" i="3"/>
  <c r="BC70" i="3" s="1"/>
  <c r="BC64" i="3"/>
  <c r="BC51" i="3"/>
  <c r="BC33" i="3"/>
  <c r="BC19" i="3"/>
  <c r="BC66" i="3" l="1"/>
  <c r="BC67" i="3" s="1"/>
  <c r="BC35" i="3"/>
  <c r="BF20" i="5"/>
  <c r="BF21" i="5" s="1"/>
  <c r="BC72" i="3" l="1"/>
  <c r="BC87" i="3"/>
  <c r="BC36" i="3"/>
  <c r="BF35" i="5"/>
  <c r="BC88" i="3"/>
  <c r="BF50" i="5" l="1"/>
  <c r="BF37" i="5"/>
  <c r="BF39" i="5"/>
  <c r="BF57" i="5" l="1"/>
  <c r="BF41" i="5"/>
  <c r="BF59" i="5" l="1"/>
  <c r="BQ64" i="2" l="1"/>
  <c r="BQ54" i="2"/>
  <c r="BQ47" i="2"/>
  <c r="CG60" i="2"/>
  <c r="CG52" i="2"/>
  <c r="CG43" i="2"/>
  <c r="CG39" i="2"/>
  <c r="BQ22" i="2"/>
  <c r="BQ19" i="2"/>
  <c r="BQ46" i="2" l="1"/>
  <c r="BQ33" i="2"/>
  <c r="BQ27" i="2"/>
  <c r="BQ18" i="2"/>
  <c r="BQ10" i="2"/>
  <c r="BE93" i="1"/>
  <c r="BE89" i="1"/>
  <c r="BE87" i="1"/>
  <c r="BE68" i="1"/>
  <c r="BE54" i="1"/>
  <c r="BE35" i="1"/>
  <c r="BE19" i="1"/>
  <c r="BE73" i="1" l="1"/>
  <c r="BE90" i="1"/>
  <c r="BQ24" i="2"/>
  <c r="BE102" i="1"/>
  <c r="BE70" i="1"/>
  <c r="BE37" i="1"/>
  <c r="D19" i="14"/>
  <c r="G18" i="14"/>
  <c r="G19" i="14" s="1"/>
  <c r="F19" i="14"/>
  <c r="F25" i="14" s="1"/>
  <c r="E19" i="14"/>
  <c r="D11" i="14"/>
  <c r="G11" i="14"/>
  <c r="BE71" i="1" l="1"/>
  <c r="BE76" i="1"/>
  <c r="BE38" i="1"/>
  <c r="BE99" i="1"/>
  <c r="BE74" i="1"/>
  <c r="BQ25" i="2"/>
  <c r="BQ38" i="2"/>
  <c r="BE100" i="1" l="1"/>
  <c r="BQ42" i="2"/>
  <c r="BQ40" i="2"/>
  <c r="BQ51" i="2"/>
  <c r="BU51" i="5"/>
  <c r="BU47" i="5"/>
  <c r="BU40" i="5"/>
  <c r="BU36" i="5"/>
  <c r="BU27" i="5"/>
  <c r="BE43" i="5"/>
  <c r="BE29" i="5"/>
  <c r="BE23" i="5"/>
  <c r="BE16" i="5"/>
  <c r="BE10" i="5"/>
  <c r="S81" i="10"/>
  <c r="O81" i="10"/>
  <c r="Q70" i="10"/>
  <c r="Q74" i="10" s="1"/>
  <c r="Q65" i="10"/>
  <c r="S60" i="10"/>
  <c r="O60" i="10"/>
  <c r="U57" i="10"/>
  <c r="S57" i="10" s="1"/>
  <c r="O57" i="10"/>
  <c r="S54" i="10"/>
  <c r="O54" i="10"/>
  <c r="S50" i="10"/>
  <c r="O50" i="10"/>
  <c r="S49" i="10"/>
  <c r="O49" i="10"/>
  <c r="S48" i="10"/>
  <c r="O48" i="10"/>
  <c r="S47" i="10"/>
  <c r="O47" i="10"/>
  <c r="U46" i="10"/>
  <c r="S46" i="10" s="1"/>
  <c r="Q46" i="10"/>
  <c r="O46" i="10" s="1"/>
  <c r="U43" i="10"/>
  <c r="S43" i="10"/>
  <c r="Q43" i="10"/>
  <c r="O43" i="10"/>
  <c r="U40" i="10"/>
  <c r="Q40" i="10"/>
  <c r="S37" i="10"/>
  <c r="O37" i="10"/>
  <c r="S33" i="10"/>
  <c r="O33" i="10"/>
  <c r="O30" i="10"/>
  <c r="S29" i="10"/>
  <c r="O29" i="10"/>
  <c r="S28" i="10"/>
  <c r="O28" i="10"/>
  <c r="U27" i="10"/>
  <c r="S27" i="10" s="1"/>
  <c r="Q27" i="10"/>
  <c r="O27" i="10" s="1"/>
  <c r="S25" i="10"/>
  <c r="O25" i="10"/>
  <c r="S24" i="10"/>
  <c r="O24" i="10"/>
  <c r="S23" i="10"/>
  <c r="O23" i="10"/>
  <c r="S22" i="10"/>
  <c r="O22" i="10"/>
  <c r="U21" i="10"/>
  <c r="Q21" i="10"/>
  <c r="S21" i="10"/>
  <c r="S16" i="10"/>
  <c r="O16" i="10"/>
  <c r="S15" i="10"/>
  <c r="O15" i="10"/>
  <c r="U14" i="10"/>
  <c r="Q14" i="10"/>
  <c r="S14" i="10"/>
  <c r="S12" i="10"/>
  <c r="O12" i="10"/>
  <c r="S11" i="10"/>
  <c r="O11" i="10"/>
  <c r="S10" i="10"/>
  <c r="O10" i="10"/>
  <c r="U7" i="10"/>
  <c r="U9" i="10" s="1"/>
  <c r="S9" i="10" s="1"/>
  <c r="Q7" i="10"/>
  <c r="BB83" i="3"/>
  <c r="BB69" i="3"/>
  <c r="BB70" i="3" s="1"/>
  <c r="BB64" i="3"/>
  <c r="BB51" i="3"/>
  <c r="BB33" i="3"/>
  <c r="BB19" i="3"/>
  <c r="Q18" i="10" l="1"/>
  <c r="S7" i="10"/>
  <c r="BB35" i="3"/>
  <c r="BB36" i="3" s="1"/>
  <c r="BQ56" i="2"/>
  <c r="BQ44" i="2"/>
  <c r="BE20" i="5"/>
  <c r="BE21" i="5" s="1"/>
  <c r="BB66" i="3"/>
  <c r="Q32" i="10"/>
  <c r="Q19" i="10"/>
  <c r="O18" i="10"/>
  <c r="O14" i="10"/>
  <c r="O7" i="10"/>
  <c r="U18" i="10"/>
  <c r="S18" i="10" s="1"/>
  <c r="BE35" i="5" l="1"/>
  <c r="BE50" i="5" s="1"/>
  <c r="BE57" i="5" s="1"/>
  <c r="BE59" i="5" s="1"/>
  <c r="BQ59" i="2"/>
  <c r="BB87" i="3"/>
  <c r="BB67" i="3"/>
  <c r="BB72" i="3"/>
  <c r="O32" i="10"/>
  <c r="O19" i="10"/>
  <c r="U19" i="10"/>
  <c r="S19" i="10" s="1"/>
  <c r="U32" i="10"/>
  <c r="S32" i="10" s="1"/>
  <c r="O21" i="10"/>
  <c r="Q36" i="10"/>
  <c r="Q53" i="10"/>
  <c r="Q59" i="10" s="1"/>
  <c r="Q34" i="10"/>
  <c r="BE37" i="5" l="1"/>
  <c r="BE39" i="5"/>
  <c r="BE41" i="5" s="1"/>
  <c r="BQ61" i="2"/>
  <c r="BQ65" i="2"/>
  <c r="BB88" i="3"/>
  <c r="Q66" i="10"/>
  <c r="Q76" i="10" s="1"/>
  <c r="Q61" i="10"/>
  <c r="Q38" i="10"/>
  <c r="Q42" i="10"/>
  <c r="Q44" i="10" s="1"/>
  <c r="O53" i="10"/>
  <c r="O36" i="10"/>
  <c r="U53" i="10"/>
  <c r="U59" i="10" s="1"/>
  <c r="U61" i="10" s="1"/>
  <c r="U36" i="10"/>
  <c r="U34" i="10"/>
  <c r="S34" i="10" s="1"/>
  <c r="O34" i="10"/>
  <c r="S53" i="10" l="1"/>
  <c r="BQ67" i="2"/>
  <c r="U38" i="10"/>
  <c r="S38" i="10" s="1"/>
  <c r="U42" i="10"/>
  <c r="U44" i="10" s="1"/>
  <c r="S44" i="10" s="1"/>
  <c r="O59" i="10"/>
  <c r="O61" i="10" s="1"/>
  <c r="O38" i="10"/>
  <c r="S36" i="10"/>
  <c r="S59" i="10"/>
  <c r="S61" i="10" s="1"/>
  <c r="O42" i="10"/>
  <c r="S42" i="10" l="1"/>
  <c r="O44" i="10"/>
  <c r="CH60" i="2" l="1"/>
  <c r="CH52" i="2"/>
  <c r="CH43" i="2"/>
  <c r="CH39" i="2"/>
  <c r="BO64" i="2"/>
  <c r="BO47" i="2"/>
  <c r="BO34" i="2"/>
  <c r="BO28" i="2"/>
  <c r="BO13" i="2"/>
  <c r="BO46" i="2" l="1"/>
  <c r="BO33" i="2"/>
  <c r="BO27" i="2"/>
  <c r="BO18" i="2"/>
  <c r="BO10" i="2"/>
  <c r="BD93" i="1"/>
  <c r="BD89" i="1"/>
  <c r="BD87" i="1"/>
  <c r="BD68" i="1"/>
  <c r="BD54" i="1"/>
  <c r="BD35" i="1"/>
  <c r="BD19" i="1"/>
  <c r="BD37" i="1" l="1"/>
  <c r="BD38" i="1" s="1"/>
  <c r="BO24" i="2"/>
  <c r="BD90" i="1"/>
  <c r="BD102" i="1"/>
  <c r="BD73" i="1"/>
  <c r="BD70" i="1"/>
  <c r="BO25" i="2" l="1"/>
  <c r="BO38" i="2"/>
  <c r="BD74" i="1"/>
  <c r="BD99" i="1"/>
  <c r="BD76" i="1"/>
  <c r="BD71" i="1"/>
  <c r="BD100" i="1" l="1"/>
  <c r="BO42" i="2"/>
  <c r="BO51" i="2"/>
  <c r="BO40" i="2"/>
  <c r="BO44" i="2" l="1"/>
  <c r="BO56" i="2"/>
  <c r="BO59" i="2" l="1"/>
  <c r="BO65" i="2" l="1"/>
  <c r="BO61" i="2"/>
  <c r="BO67" i="2" l="1"/>
  <c r="BT27" i="5" l="1"/>
  <c r="BD43" i="5"/>
  <c r="BD29" i="5"/>
  <c r="BD23" i="5"/>
  <c r="BD16" i="5"/>
  <c r="BD10" i="5"/>
  <c r="BA83" i="3"/>
  <c r="BA69" i="3"/>
  <c r="BA70" i="3" s="1"/>
  <c r="BA64" i="3"/>
  <c r="BA51" i="3"/>
  <c r="BA33" i="3"/>
  <c r="BA19" i="3"/>
  <c r="BM54" i="2"/>
  <c r="BM35" i="2"/>
  <c r="BM31" i="2"/>
  <c r="BM19" i="2"/>
  <c r="BM46" i="2"/>
  <c r="BA66" i="3" l="1"/>
  <c r="BA72" i="3" s="1"/>
  <c r="BM18" i="2"/>
  <c r="BM27" i="2"/>
  <c r="BD20" i="5"/>
  <c r="BA35" i="3"/>
  <c r="BM33" i="2"/>
  <c r="BM10" i="2"/>
  <c r="BA67" i="3" l="1"/>
  <c r="BA87" i="3"/>
  <c r="BD35" i="5"/>
  <c r="BD21" i="5"/>
  <c r="BA36" i="3"/>
  <c r="BM24" i="2"/>
  <c r="BA88" i="3" l="1"/>
  <c r="BD37" i="5"/>
  <c r="BD39" i="5"/>
  <c r="BD50" i="5"/>
  <c r="BM25" i="2"/>
  <c r="BM38" i="2"/>
  <c r="BD57" i="5" l="1"/>
  <c r="BD41" i="5"/>
  <c r="BM40" i="2"/>
  <c r="BM42" i="2"/>
  <c r="BM51" i="2"/>
  <c r="BD59" i="5" l="1"/>
  <c r="BM56" i="2"/>
  <c r="BM44" i="2"/>
  <c r="BM59" i="2" l="1"/>
  <c r="BM61" i="2" l="1"/>
  <c r="BM65" i="2"/>
  <c r="BM67" i="2" l="1"/>
  <c r="BC87" i="1" l="1"/>
  <c r="BC93" i="1" l="1"/>
  <c r="BC89" i="1"/>
  <c r="BC68" i="1"/>
  <c r="BC54" i="1"/>
  <c r="BC35" i="1"/>
  <c r="BC19" i="1"/>
  <c r="BC37" i="1" l="1"/>
  <c r="BC90" i="1"/>
  <c r="BC102" i="1"/>
  <c r="BC70" i="1"/>
  <c r="BC73" i="1"/>
  <c r="BC74" i="1" s="1"/>
  <c r="BC71" i="1" l="1"/>
  <c r="BC38" i="1"/>
  <c r="BC99" i="1"/>
  <c r="BC76" i="1"/>
  <c r="BC100" i="1" l="1"/>
  <c r="BK64" i="2"/>
  <c r="BK15" i="2"/>
  <c r="BK12" i="2" l="1"/>
  <c r="D13" i="13" l="1"/>
  <c r="D24" i="13" s="1"/>
  <c r="C13" i="13"/>
  <c r="C24" i="13" s="1"/>
  <c r="BT51" i="5" l="1"/>
  <c r="BT47" i="5"/>
  <c r="BT40" i="5"/>
  <c r="BT36" i="5"/>
  <c r="BT34" i="5"/>
  <c r="BB43" i="5"/>
  <c r="BB29" i="5"/>
  <c r="BB23" i="5"/>
  <c r="BB16" i="5"/>
  <c r="BB10" i="5"/>
  <c r="AY83" i="3"/>
  <c r="AY69" i="3"/>
  <c r="AY64" i="3"/>
  <c r="AY51" i="3"/>
  <c r="AY33" i="3"/>
  <c r="AY19" i="3"/>
  <c r="BB20" i="5" l="1"/>
  <c r="BB35" i="5" s="1"/>
  <c r="AY35" i="3"/>
  <c r="AY66" i="3"/>
  <c r="AY70" i="3"/>
  <c r="AY72" i="3" l="1"/>
  <c r="BB21" i="5"/>
  <c r="AY36" i="3"/>
  <c r="AY87" i="3"/>
  <c r="AY67" i="3"/>
  <c r="BB50" i="5"/>
  <c r="BB57" i="5" s="1"/>
  <c r="BB59" i="5" s="1"/>
  <c r="BB39" i="5"/>
  <c r="BB41" i="5" s="1"/>
  <c r="BB37" i="5"/>
  <c r="AY88" i="3" l="1"/>
  <c r="BK54" i="2" l="1"/>
  <c r="BK35" i="2"/>
  <c r="BK31" i="2"/>
  <c r="BK30" i="2"/>
  <c r="BK28" i="2"/>
  <c r="BK22" i="2"/>
  <c r="BK16" i="2"/>
  <c r="BK46" i="2" l="1"/>
  <c r="BK33" i="2"/>
  <c r="BK27" i="2"/>
  <c r="BK18" i="2"/>
  <c r="BK10" i="2"/>
  <c r="BK24" i="2" l="1"/>
  <c r="BK25" i="2" l="1"/>
  <c r="BK38" i="2"/>
  <c r="BK40" i="2" l="1"/>
  <c r="BK42" i="2"/>
  <c r="BK51" i="2"/>
  <c r="BK44" i="2" l="1"/>
  <c r="BK56" i="2"/>
  <c r="BK59" i="2" l="1"/>
  <c r="BK65" i="2" l="1"/>
  <c r="BK61" i="2"/>
  <c r="BK67" i="2" l="1"/>
  <c r="BA93" i="1" l="1"/>
  <c r="BA89" i="1"/>
  <c r="BA87" i="1"/>
  <c r="BA68" i="1"/>
  <c r="BA54" i="1"/>
  <c r="BA35" i="1"/>
  <c r="BA19" i="1"/>
  <c r="BA73" i="1" l="1"/>
  <c r="BA90" i="1"/>
  <c r="BA102" i="1"/>
  <c r="BA70" i="1"/>
  <c r="BA37" i="1"/>
  <c r="BA74" i="1" l="1"/>
  <c r="BA38" i="1"/>
  <c r="BA71" i="1"/>
  <c r="BA76" i="1"/>
  <c r="BA99" i="1"/>
  <c r="BA100" i="1" l="1"/>
  <c r="BJ54" i="2" l="1"/>
  <c r="BJ48" i="2"/>
  <c r="BJ30" i="2"/>
  <c r="BJ15" i="2"/>
  <c r="BJ35" i="2" l="1"/>
  <c r="D20" i="16" l="1"/>
  <c r="C20" i="16"/>
  <c r="C26" i="13"/>
  <c r="V30" i="11"/>
  <c r="U30" i="11"/>
  <c r="S30" i="11"/>
  <c r="R30" i="11"/>
  <c r="N30" i="11"/>
  <c r="M30" i="11"/>
  <c r="K30" i="11"/>
  <c r="J30" i="11"/>
  <c r="G30" i="11"/>
  <c r="F30" i="11"/>
  <c r="D30" i="11"/>
  <c r="C30" i="11"/>
  <c r="B14" i="27"/>
  <c r="C14" i="27"/>
  <c r="W60" i="10"/>
  <c r="W58" i="10"/>
  <c r="W57" i="10"/>
  <c r="W56" i="10"/>
  <c r="W55" i="10"/>
  <c r="W54" i="10"/>
  <c r="W52" i="10"/>
  <c r="W51" i="10"/>
  <c r="W50" i="10"/>
  <c r="W49" i="10"/>
  <c r="W48" i="10"/>
  <c r="W47" i="10"/>
  <c r="W45" i="10"/>
  <c r="W41" i="10"/>
  <c r="W39" i="10"/>
  <c r="W37" i="10"/>
  <c r="W35" i="10"/>
  <c r="W33" i="10"/>
  <c r="W31" i="10"/>
  <c r="W30" i="10"/>
  <c r="W29" i="10"/>
  <c r="W28" i="10"/>
  <c r="W26" i="10"/>
  <c r="W25" i="10"/>
  <c r="W24" i="10"/>
  <c r="W23" i="10"/>
  <c r="W22" i="10"/>
  <c r="W20" i="10"/>
  <c r="W17" i="10"/>
  <c r="W16" i="10"/>
  <c r="W15" i="10"/>
  <c r="W12" i="10"/>
  <c r="W11" i="10"/>
  <c r="W10" i="10"/>
  <c r="P92" i="8"/>
  <c r="M92" i="8"/>
  <c r="AB91" i="8"/>
  <c r="AB90" i="8"/>
  <c r="AB89" i="8"/>
  <c r="AB88" i="8"/>
  <c r="AB87" i="8"/>
  <c r="AB86" i="8"/>
  <c r="AB85" i="8"/>
  <c r="AB84" i="8"/>
  <c r="AB83" i="8"/>
  <c r="AB82" i="8"/>
  <c r="AB81" i="8"/>
  <c r="AB80" i="8"/>
  <c r="AB79" i="8"/>
  <c r="AB78" i="8"/>
  <c r="AB77" i="8"/>
  <c r="AB76" i="8"/>
  <c r="AB75" i="8"/>
  <c r="AB74" i="8"/>
  <c r="AB73" i="8"/>
  <c r="AB72" i="8"/>
  <c r="AB71" i="8"/>
  <c r="AB70" i="8"/>
  <c r="AB69" i="8"/>
  <c r="AB68" i="8"/>
  <c r="AB67" i="8"/>
  <c r="AB65" i="8"/>
  <c r="AA63" i="8"/>
  <c r="S63" i="8"/>
  <c r="P63" i="8"/>
  <c r="M63" i="8"/>
  <c r="AB62" i="8"/>
  <c r="AB60" i="8"/>
  <c r="S58" i="8"/>
  <c r="AB58" i="8" s="1"/>
  <c r="P58" i="8"/>
  <c r="M58" i="8"/>
  <c r="AA55" i="8"/>
  <c r="S55" i="8"/>
  <c r="P55" i="8"/>
  <c r="M55" i="8"/>
  <c r="AB53" i="8"/>
  <c r="AA50" i="8"/>
  <c r="S50" i="8"/>
  <c r="P50" i="8"/>
  <c r="M50" i="8"/>
  <c r="AA49" i="8"/>
  <c r="S49" i="8"/>
  <c r="AB49" i="8" s="1"/>
  <c r="P49" i="8"/>
  <c r="M49" i="8"/>
  <c r="V46" i="8"/>
  <c r="AA48" i="8"/>
  <c r="S48" i="8"/>
  <c r="P48" i="8"/>
  <c r="M48" i="8"/>
  <c r="AA47" i="8"/>
  <c r="S47" i="8"/>
  <c r="P47" i="8"/>
  <c r="M47" i="8"/>
  <c r="Z46" i="8"/>
  <c r="Y46" i="8"/>
  <c r="U46" i="8"/>
  <c r="Q46" i="8"/>
  <c r="P46" i="8" s="1"/>
  <c r="N46" i="8"/>
  <c r="AB44" i="8"/>
  <c r="AB41" i="8"/>
  <c r="AA38" i="8"/>
  <c r="S38" i="8"/>
  <c r="P38" i="8"/>
  <c r="M38" i="8"/>
  <c r="X35" i="8"/>
  <c r="T35" i="8"/>
  <c r="S37" i="8"/>
  <c r="P37" i="8"/>
  <c r="M37" i="8"/>
  <c r="W35" i="8"/>
  <c r="S36" i="8"/>
  <c r="P36" i="8"/>
  <c r="M36" i="8"/>
  <c r="Z35" i="8"/>
  <c r="U35" i="8"/>
  <c r="Q35" i="8"/>
  <c r="N35" i="8"/>
  <c r="AB33" i="8"/>
  <c r="P33" i="8"/>
  <c r="M33" i="8"/>
  <c r="AA32" i="8"/>
  <c r="S32" i="8"/>
  <c r="P32" i="8"/>
  <c r="M32" i="8"/>
  <c r="AA31" i="8"/>
  <c r="S31" i="8"/>
  <c r="P31" i="8"/>
  <c r="M31" i="8"/>
  <c r="AA30" i="8"/>
  <c r="S30" i="8"/>
  <c r="P30" i="8"/>
  <c r="M30" i="8"/>
  <c r="X27" i="8"/>
  <c r="W27" i="8"/>
  <c r="T27" i="8"/>
  <c r="S29" i="8"/>
  <c r="P29" i="8"/>
  <c r="M29" i="8"/>
  <c r="AA28" i="8"/>
  <c r="S28" i="8"/>
  <c r="P28" i="8"/>
  <c r="M28" i="8"/>
  <c r="Z27" i="8"/>
  <c r="Y27" i="8"/>
  <c r="V27" i="8"/>
  <c r="U27" i="8"/>
  <c r="Q27" i="8"/>
  <c r="N27" i="8"/>
  <c r="AB25" i="8"/>
  <c r="AA22" i="8"/>
  <c r="S22" i="8"/>
  <c r="P22" i="8"/>
  <c r="M22" i="8"/>
  <c r="Y21" i="8"/>
  <c r="Y18" i="8" s="1"/>
  <c r="S21" i="8"/>
  <c r="P21" i="8"/>
  <c r="M21" i="8"/>
  <c r="AA20" i="8"/>
  <c r="S20" i="8"/>
  <c r="P20" i="8"/>
  <c r="M20" i="8"/>
  <c r="X18" i="8"/>
  <c r="AA19" i="8"/>
  <c r="S19" i="8"/>
  <c r="P19" i="8"/>
  <c r="M19" i="8"/>
  <c r="Z18" i="8"/>
  <c r="V18" i="8"/>
  <c r="T18" i="8"/>
  <c r="Q18" i="8"/>
  <c r="N18" i="8"/>
  <c r="X10" i="8"/>
  <c r="S16" i="8"/>
  <c r="P16" i="8"/>
  <c r="M16" i="8"/>
  <c r="AA15" i="8"/>
  <c r="S15" i="8"/>
  <c r="P15" i="8"/>
  <c r="M15" i="8"/>
  <c r="AA14" i="8"/>
  <c r="S14" i="8"/>
  <c r="P14" i="8"/>
  <c r="M14" i="8"/>
  <c r="AA13" i="8"/>
  <c r="S13" i="8"/>
  <c r="P13" i="8"/>
  <c r="M13" i="8"/>
  <c r="Z12" i="8"/>
  <c r="Z10" i="8" s="1"/>
  <c r="Y12" i="8"/>
  <c r="T10" i="8"/>
  <c r="S12" i="8"/>
  <c r="P12" i="8"/>
  <c r="M12" i="8"/>
  <c r="Y11" i="8"/>
  <c r="S11" i="8"/>
  <c r="P11" i="8"/>
  <c r="M11" i="8"/>
  <c r="V10" i="8"/>
  <c r="V24" i="8" s="1"/>
  <c r="Q10" i="8"/>
  <c r="Q24" i="8" s="1"/>
  <c r="N10" i="8"/>
  <c r="K58" i="5"/>
  <c r="AR53" i="5"/>
  <c r="AB53" i="5"/>
  <c r="Z53" i="5"/>
  <c r="U53" i="5"/>
  <c r="U46" i="5"/>
  <c r="H46" i="5"/>
  <c r="H43" i="5" s="1"/>
  <c r="AP44" i="5"/>
  <c r="AP43" i="5" s="1"/>
  <c r="AB44" i="5"/>
  <c r="AB43" i="5" s="1"/>
  <c r="Z44" i="5"/>
  <c r="Z43" i="5" s="1"/>
  <c r="U44" i="5"/>
  <c r="J44" i="5"/>
  <c r="J43" i="5" s="1"/>
  <c r="I44" i="5"/>
  <c r="I43" i="5" s="1"/>
  <c r="E44" i="5"/>
  <c r="E43" i="5" s="1"/>
  <c r="BA43" i="5"/>
  <c r="AZ43" i="5"/>
  <c r="AY43" i="5"/>
  <c r="AW43" i="5"/>
  <c r="AV43" i="5"/>
  <c r="AU43" i="5"/>
  <c r="AT43" i="5"/>
  <c r="AR43" i="5"/>
  <c r="AQ43" i="5"/>
  <c r="AO43" i="5"/>
  <c r="AM43" i="5"/>
  <c r="AL43" i="5"/>
  <c r="AK43" i="5"/>
  <c r="AJ43" i="5"/>
  <c r="AH43" i="5"/>
  <c r="AG43" i="5"/>
  <c r="AF43" i="5"/>
  <c r="AE43" i="5"/>
  <c r="AC43" i="5"/>
  <c r="AA43" i="5"/>
  <c r="Y43" i="5"/>
  <c r="X43" i="5"/>
  <c r="W43" i="5"/>
  <c r="T43" i="5"/>
  <c r="S43" i="5"/>
  <c r="R43" i="5"/>
  <c r="Q43" i="5"/>
  <c r="P43" i="5"/>
  <c r="O43" i="5"/>
  <c r="N43" i="5"/>
  <c r="L43" i="5"/>
  <c r="K43" i="5"/>
  <c r="F43" i="5"/>
  <c r="D43" i="5"/>
  <c r="C43" i="5"/>
  <c r="K40" i="5"/>
  <c r="K36" i="5"/>
  <c r="AB32" i="5"/>
  <c r="AB31" i="5"/>
  <c r="U31" i="5"/>
  <c r="I31" i="5"/>
  <c r="AB30" i="5"/>
  <c r="Z30" i="5"/>
  <c r="Z29" i="5" s="1"/>
  <c r="U30" i="5"/>
  <c r="I30" i="5"/>
  <c r="H30" i="5"/>
  <c r="H29" i="5" s="1"/>
  <c r="BA29" i="5"/>
  <c r="AZ29" i="5"/>
  <c r="AY29" i="5"/>
  <c r="AW29" i="5"/>
  <c r="AV29" i="5"/>
  <c r="AU29" i="5"/>
  <c r="AT29" i="5"/>
  <c r="AR29" i="5"/>
  <c r="AQ29" i="5"/>
  <c r="AP29" i="5"/>
  <c r="AO29" i="5"/>
  <c r="AM29" i="5"/>
  <c r="AL29" i="5"/>
  <c r="AK29" i="5"/>
  <c r="AJ29" i="5"/>
  <c r="AH29" i="5"/>
  <c r="AG29" i="5"/>
  <c r="AF29" i="5"/>
  <c r="AE29" i="5"/>
  <c r="AC29" i="5"/>
  <c r="AA29" i="5"/>
  <c r="Y29" i="5"/>
  <c r="X29" i="5"/>
  <c r="W29" i="5"/>
  <c r="T29" i="5"/>
  <c r="S29" i="5"/>
  <c r="R29" i="5"/>
  <c r="Q29" i="5"/>
  <c r="P29" i="5"/>
  <c r="O29" i="5"/>
  <c r="N29" i="5"/>
  <c r="L29" i="5"/>
  <c r="K29" i="5"/>
  <c r="J29" i="5"/>
  <c r="F29" i="5"/>
  <c r="E29" i="5"/>
  <c r="D29" i="5"/>
  <c r="C29" i="5"/>
  <c r="AB26" i="5"/>
  <c r="U26" i="5"/>
  <c r="AB25" i="5"/>
  <c r="Z25" i="5"/>
  <c r="U25" i="5"/>
  <c r="AG24" i="5"/>
  <c r="AG23" i="5" s="1"/>
  <c r="AF24" i="5"/>
  <c r="AF23" i="5" s="1"/>
  <c r="AB24" i="5"/>
  <c r="Z24" i="5"/>
  <c r="U24" i="5"/>
  <c r="I24" i="5"/>
  <c r="I23" i="5" s="1"/>
  <c r="F24" i="5"/>
  <c r="F23" i="5" s="1"/>
  <c r="BA23" i="5"/>
  <c r="AZ23" i="5"/>
  <c r="AY23" i="5"/>
  <c r="AW23" i="5"/>
  <c r="AV23" i="5"/>
  <c r="AU23" i="5"/>
  <c r="AT23" i="5"/>
  <c r="AR23" i="5"/>
  <c r="AQ23" i="5"/>
  <c r="AP23" i="5"/>
  <c r="AO23" i="5"/>
  <c r="AM23" i="5"/>
  <c r="AL23" i="5"/>
  <c r="AK23" i="5"/>
  <c r="AJ23" i="5"/>
  <c r="AH23" i="5"/>
  <c r="AE23" i="5"/>
  <c r="AC23" i="5"/>
  <c r="AA23" i="5"/>
  <c r="Y23" i="5"/>
  <c r="X23" i="5"/>
  <c r="W23" i="5"/>
  <c r="T23" i="5"/>
  <c r="S23" i="5"/>
  <c r="R23" i="5"/>
  <c r="Q23" i="5"/>
  <c r="P23" i="5"/>
  <c r="O23" i="5"/>
  <c r="N23" i="5"/>
  <c r="L23" i="5"/>
  <c r="K23" i="5"/>
  <c r="J23" i="5"/>
  <c r="H23" i="5"/>
  <c r="E23" i="5"/>
  <c r="D23" i="5"/>
  <c r="C23" i="5"/>
  <c r="BA16" i="5"/>
  <c r="AZ16" i="5"/>
  <c r="AY16" i="5"/>
  <c r="AW16" i="5"/>
  <c r="AV16" i="5"/>
  <c r="AU16" i="5"/>
  <c r="AT16" i="5"/>
  <c r="AR16" i="5"/>
  <c r="AQ16" i="5"/>
  <c r="AP16" i="5"/>
  <c r="AO16" i="5"/>
  <c r="AM16" i="5"/>
  <c r="AL16" i="5"/>
  <c r="AK16" i="5"/>
  <c r="AJ16" i="5"/>
  <c r="AH16" i="5"/>
  <c r="AG16" i="5"/>
  <c r="AF16" i="5"/>
  <c r="AE16" i="5"/>
  <c r="AC16" i="5"/>
  <c r="AB16" i="5"/>
  <c r="AA16" i="5"/>
  <c r="Z16" i="5"/>
  <c r="Y16" i="5"/>
  <c r="X16" i="5"/>
  <c r="W16" i="5"/>
  <c r="U16" i="5"/>
  <c r="T16" i="5"/>
  <c r="S16" i="5"/>
  <c r="R16" i="5"/>
  <c r="Q16" i="5"/>
  <c r="P16" i="5"/>
  <c r="O16" i="5"/>
  <c r="N16" i="5"/>
  <c r="M16" i="5"/>
  <c r="L16" i="5"/>
  <c r="K16" i="5"/>
  <c r="J16" i="5"/>
  <c r="I16" i="5"/>
  <c r="H16" i="5"/>
  <c r="F16" i="5"/>
  <c r="E16" i="5"/>
  <c r="D16" i="5"/>
  <c r="C16" i="5"/>
  <c r="AR14" i="5"/>
  <c r="AR10" i="5" s="1"/>
  <c r="AM14" i="5"/>
  <c r="AM10" i="5" s="1"/>
  <c r="AG14" i="5"/>
  <c r="AG10" i="5" s="1"/>
  <c r="AB14" i="5"/>
  <c r="Z14" i="5"/>
  <c r="U14" i="5"/>
  <c r="K14" i="5"/>
  <c r="K10" i="5" s="1"/>
  <c r="I14" i="5"/>
  <c r="H14" i="5"/>
  <c r="AB13" i="5"/>
  <c r="Z13" i="5"/>
  <c r="U13" i="5"/>
  <c r="I13" i="5"/>
  <c r="H13" i="5"/>
  <c r="AB12" i="5"/>
  <c r="F12" i="5"/>
  <c r="F10" i="5" s="1"/>
  <c r="K11" i="5"/>
  <c r="BA10" i="5"/>
  <c r="AZ10" i="5"/>
  <c r="AY10" i="5"/>
  <c r="AW10" i="5"/>
  <c r="AV10" i="5"/>
  <c r="AU10" i="5"/>
  <c r="AT10" i="5"/>
  <c r="AQ10" i="5"/>
  <c r="AQ20" i="5" s="1"/>
  <c r="AP10" i="5"/>
  <c r="AO10" i="5"/>
  <c r="AL10" i="5"/>
  <c r="AK10" i="5"/>
  <c r="AJ10" i="5"/>
  <c r="AH10" i="5"/>
  <c r="AF10" i="5"/>
  <c r="AE10" i="5"/>
  <c r="AC10" i="5"/>
  <c r="AA10" i="5"/>
  <c r="Y10" i="5"/>
  <c r="X10" i="5"/>
  <c r="W10" i="5"/>
  <c r="T10" i="5"/>
  <c r="S10" i="5"/>
  <c r="R10" i="5"/>
  <c r="Q10" i="5"/>
  <c r="P10" i="5"/>
  <c r="O10" i="5"/>
  <c r="N10" i="5"/>
  <c r="L10" i="5"/>
  <c r="J10" i="5"/>
  <c r="E10" i="5"/>
  <c r="D10" i="5"/>
  <c r="C10" i="5"/>
  <c r="Y88" i="3"/>
  <c r="X88" i="3"/>
  <c r="W88" i="3"/>
  <c r="U88" i="3"/>
  <c r="S88" i="3"/>
  <c r="R88" i="3"/>
  <c r="Q88" i="3"/>
  <c r="P88" i="3"/>
  <c r="N88" i="3"/>
  <c r="M88" i="3"/>
  <c r="L88" i="3"/>
  <c r="K88" i="3"/>
  <c r="J88" i="3"/>
  <c r="H88" i="3"/>
  <c r="G88" i="3"/>
  <c r="F88" i="3"/>
  <c r="E88" i="3"/>
  <c r="C88" i="3"/>
  <c r="AX83" i="3"/>
  <c r="AW83" i="3"/>
  <c r="AV83" i="3"/>
  <c r="AT83" i="3"/>
  <c r="AS83" i="3"/>
  <c r="AR83" i="3"/>
  <c r="AQ83" i="3"/>
  <c r="AO83" i="3"/>
  <c r="AN83" i="3"/>
  <c r="AM83" i="3"/>
  <c r="AL83" i="3"/>
  <c r="AJ83" i="3"/>
  <c r="AI83" i="3"/>
  <c r="AH83" i="3"/>
  <c r="AG83" i="3"/>
  <c r="AE83" i="3"/>
  <c r="AD83" i="3"/>
  <c r="AC83" i="3"/>
  <c r="AB83" i="3"/>
  <c r="Z83" i="3"/>
  <c r="Y83" i="3"/>
  <c r="U83" i="3"/>
  <c r="S83" i="3"/>
  <c r="R83" i="3"/>
  <c r="Q83" i="3"/>
  <c r="P83" i="3"/>
  <c r="J83" i="3"/>
  <c r="H83" i="3"/>
  <c r="G83" i="3"/>
  <c r="F83" i="3"/>
  <c r="E83" i="3"/>
  <c r="C83" i="3"/>
  <c r="T80" i="3"/>
  <c r="N80" i="3"/>
  <c r="L80" i="3"/>
  <c r="K80" i="3"/>
  <c r="T79" i="3"/>
  <c r="N79" i="3"/>
  <c r="M78" i="3"/>
  <c r="M69" i="3" s="1"/>
  <c r="L77" i="3"/>
  <c r="K77" i="3"/>
  <c r="X75" i="3"/>
  <c r="X69" i="3" s="1"/>
  <c r="W75" i="3"/>
  <c r="W83" i="3" s="1"/>
  <c r="T75" i="3"/>
  <c r="AX69" i="3"/>
  <c r="AW69" i="3"/>
  <c r="AW70" i="3" s="1"/>
  <c r="AV69" i="3"/>
  <c r="AV70" i="3" s="1"/>
  <c r="AT69" i="3"/>
  <c r="AS69" i="3"/>
  <c r="AS70" i="3" s="1"/>
  <c r="AR69" i="3"/>
  <c r="AR70" i="3" s="1"/>
  <c r="AQ69" i="3"/>
  <c r="AQ70" i="3" s="1"/>
  <c r="AO69" i="3"/>
  <c r="AO70" i="3" s="1"/>
  <c r="AN69" i="3"/>
  <c r="AN70" i="3" s="1"/>
  <c r="AM69" i="3"/>
  <c r="AM70" i="3" s="1"/>
  <c r="AL69" i="3"/>
  <c r="AL70" i="3" s="1"/>
  <c r="AJ69" i="3"/>
  <c r="AJ70" i="3" s="1"/>
  <c r="AI69" i="3"/>
  <c r="AI70" i="3" s="1"/>
  <c r="AH69" i="3"/>
  <c r="AH70" i="3" s="1"/>
  <c r="AG69" i="3"/>
  <c r="AG70" i="3" s="1"/>
  <c r="AE69" i="3"/>
  <c r="AE70" i="3" s="1"/>
  <c r="AD69" i="3"/>
  <c r="AD70" i="3" s="1"/>
  <c r="AC69" i="3"/>
  <c r="AC70" i="3" s="1"/>
  <c r="AB69" i="3"/>
  <c r="AB70" i="3" s="1"/>
  <c r="Z69" i="3"/>
  <c r="Z70" i="3" s="1"/>
  <c r="Y69" i="3"/>
  <c r="U69" i="3"/>
  <c r="S69" i="3"/>
  <c r="R69" i="3"/>
  <c r="Q69" i="3"/>
  <c r="P69" i="3"/>
  <c r="J69" i="3"/>
  <c r="H69" i="3"/>
  <c r="G69" i="3"/>
  <c r="F69" i="3"/>
  <c r="E69" i="3"/>
  <c r="C69" i="3"/>
  <c r="AX64" i="3"/>
  <c r="AW64" i="3"/>
  <c r="AV64" i="3"/>
  <c r="AT64" i="3"/>
  <c r="AS64" i="3"/>
  <c r="AR64" i="3"/>
  <c r="AQ64" i="3"/>
  <c r="AO64" i="3"/>
  <c r="AN64" i="3"/>
  <c r="AM64" i="3"/>
  <c r="AL64" i="3"/>
  <c r="AJ64" i="3"/>
  <c r="AI64" i="3"/>
  <c r="AH64" i="3"/>
  <c r="AG64" i="3"/>
  <c r="AE64" i="3"/>
  <c r="AD64" i="3"/>
  <c r="AC64" i="3"/>
  <c r="AB64" i="3"/>
  <c r="Z64" i="3"/>
  <c r="Y64" i="3"/>
  <c r="X64" i="3"/>
  <c r="W64" i="3"/>
  <c r="U64" i="3"/>
  <c r="T64" i="3"/>
  <c r="S64" i="3"/>
  <c r="P64" i="3"/>
  <c r="N64" i="3"/>
  <c r="M64" i="3"/>
  <c r="L64" i="3"/>
  <c r="K64" i="3"/>
  <c r="J64" i="3"/>
  <c r="H64" i="3"/>
  <c r="G64" i="3"/>
  <c r="E64" i="3"/>
  <c r="C64" i="3"/>
  <c r="F62" i="3"/>
  <c r="F64" i="3" s="1"/>
  <c r="R59" i="3"/>
  <c r="R64" i="3" s="1"/>
  <c r="Q59" i="3"/>
  <c r="Q64" i="3" s="1"/>
  <c r="AX51" i="3"/>
  <c r="AW51" i="3"/>
  <c r="AW66" i="3" s="1"/>
  <c r="AV51" i="3"/>
  <c r="AT51" i="3"/>
  <c r="AS51" i="3"/>
  <c r="AR51" i="3"/>
  <c r="AQ51" i="3"/>
  <c r="AO51" i="3"/>
  <c r="AN51" i="3"/>
  <c r="AM51" i="3"/>
  <c r="AL51" i="3"/>
  <c r="AJ51" i="3"/>
  <c r="AI51" i="3"/>
  <c r="AH51" i="3"/>
  <c r="AG51" i="3"/>
  <c r="AG66" i="3" s="1"/>
  <c r="AE51" i="3"/>
  <c r="AD51" i="3"/>
  <c r="AC51" i="3"/>
  <c r="AC66" i="3" s="1"/>
  <c r="AC67" i="3" s="1"/>
  <c r="AB51" i="3"/>
  <c r="AB66" i="3" s="1"/>
  <c r="Z51" i="3"/>
  <c r="Y51" i="3"/>
  <c r="X51" i="3"/>
  <c r="W51" i="3"/>
  <c r="U51" i="3"/>
  <c r="S51" i="3"/>
  <c r="M47" i="3"/>
  <c r="F47" i="3"/>
  <c r="T44" i="3"/>
  <c r="T51" i="3" s="1"/>
  <c r="R44" i="3"/>
  <c r="R51" i="3" s="1"/>
  <c r="Q44" i="3"/>
  <c r="Q51" i="3" s="1"/>
  <c r="P44" i="3"/>
  <c r="P51" i="3" s="1"/>
  <c r="P66" i="3" s="1"/>
  <c r="P72" i="3" s="1"/>
  <c r="N44" i="3"/>
  <c r="M44" i="3"/>
  <c r="L44" i="3"/>
  <c r="L51" i="3" s="1"/>
  <c r="K44" i="3"/>
  <c r="K51" i="3" s="1"/>
  <c r="J44" i="3"/>
  <c r="H44" i="3"/>
  <c r="H51" i="3" s="1"/>
  <c r="G44" i="3"/>
  <c r="G51" i="3" s="1"/>
  <c r="F44" i="3"/>
  <c r="F51" i="3" s="1"/>
  <c r="E44" i="3"/>
  <c r="E51" i="3" s="1"/>
  <c r="C44" i="3"/>
  <c r="C51" i="3" s="1"/>
  <c r="M43" i="3"/>
  <c r="N42" i="3"/>
  <c r="M42" i="3"/>
  <c r="N41" i="3"/>
  <c r="M41" i="3"/>
  <c r="J41" i="3"/>
  <c r="N40" i="3"/>
  <c r="M40" i="3"/>
  <c r="AX33" i="3"/>
  <c r="AW33" i="3"/>
  <c r="AV33" i="3"/>
  <c r="AT33" i="3"/>
  <c r="AS33" i="3"/>
  <c r="AR33" i="3"/>
  <c r="AQ33" i="3"/>
  <c r="AO33" i="3"/>
  <c r="AN33" i="3"/>
  <c r="AM33" i="3"/>
  <c r="AL33" i="3"/>
  <c r="AJ33" i="3"/>
  <c r="AI33" i="3"/>
  <c r="AH33" i="3"/>
  <c r="AG33" i="3"/>
  <c r="AE33" i="3"/>
  <c r="AD33" i="3"/>
  <c r="AC33" i="3"/>
  <c r="AB33" i="3"/>
  <c r="Z33" i="3"/>
  <c r="Y33" i="3"/>
  <c r="X33" i="3"/>
  <c r="W33" i="3"/>
  <c r="T33" i="3"/>
  <c r="S33" i="3"/>
  <c r="R33" i="3"/>
  <c r="Q33" i="3"/>
  <c r="P33" i="3"/>
  <c r="N33" i="3"/>
  <c r="L33" i="3"/>
  <c r="K33" i="3"/>
  <c r="J33" i="3"/>
  <c r="H33" i="3"/>
  <c r="G33" i="3"/>
  <c r="E33" i="3"/>
  <c r="U27" i="3"/>
  <c r="U33" i="3" s="1"/>
  <c r="F22" i="3"/>
  <c r="F33" i="3" s="1"/>
  <c r="M21" i="3"/>
  <c r="M33" i="3" s="1"/>
  <c r="C21" i="3"/>
  <c r="C33" i="3" s="1"/>
  <c r="AX19" i="3"/>
  <c r="AW19" i="3"/>
  <c r="AV19" i="3"/>
  <c r="AV35" i="3" s="1"/>
  <c r="AT19" i="3"/>
  <c r="AS19" i="3"/>
  <c r="AR19" i="3"/>
  <c r="AQ19" i="3"/>
  <c r="AO19" i="3"/>
  <c r="AN19" i="3"/>
  <c r="AM19" i="3"/>
  <c r="AL19" i="3"/>
  <c r="AL35" i="3" s="1"/>
  <c r="AJ19" i="3"/>
  <c r="AI19" i="3"/>
  <c r="AH19" i="3"/>
  <c r="AG19" i="3"/>
  <c r="AE19" i="3"/>
  <c r="AD19" i="3"/>
  <c r="AC19" i="3"/>
  <c r="AB19" i="3"/>
  <c r="Y19" i="3"/>
  <c r="X19" i="3"/>
  <c r="W19" i="3"/>
  <c r="W35" i="3" s="1"/>
  <c r="U19" i="3"/>
  <c r="T19" i="3"/>
  <c r="S19" i="3"/>
  <c r="R19" i="3"/>
  <c r="Q19" i="3"/>
  <c r="P19" i="3"/>
  <c r="N19" i="3"/>
  <c r="M19" i="3"/>
  <c r="L19" i="3"/>
  <c r="K19" i="3"/>
  <c r="J19" i="3"/>
  <c r="H19" i="3"/>
  <c r="H35" i="3" s="1"/>
  <c r="F19" i="3"/>
  <c r="E19" i="3"/>
  <c r="E35" i="3" s="1"/>
  <c r="C19" i="3"/>
  <c r="G13" i="3"/>
  <c r="G19" i="3" s="1"/>
  <c r="Z10" i="3"/>
  <c r="Z19" i="3" s="1"/>
  <c r="C90" i="2"/>
  <c r="C89" i="2"/>
  <c r="C88" i="2"/>
  <c r="C82" i="2"/>
  <c r="C78" i="2"/>
  <c r="C69" i="2"/>
  <c r="L66" i="2"/>
  <c r="BE64" i="2"/>
  <c r="BD64" i="2"/>
  <c r="AZ64" i="2"/>
  <c r="AY64" i="2"/>
  <c r="AU64" i="2"/>
  <c r="AT64" i="2"/>
  <c r="AS64" i="2"/>
  <c r="AR64" i="2"/>
  <c r="AQ64" i="2"/>
  <c r="AO64" i="2"/>
  <c r="AN64" i="2"/>
  <c r="AB64" i="2"/>
  <c r="AA64" i="2"/>
  <c r="Q64" i="2"/>
  <c r="I64" i="2"/>
  <c r="E64" i="2"/>
  <c r="M61" i="2"/>
  <c r="G61" i="2"/>
  <c r="L60" i="2"/>
  <c r="F57" i="2"/>
  <c r="E57" i="2"/>
  <c r="D57" i="2"/>
  <c r="AY54" i="2"/>
  <c r="AI54" i="2"/>
  <c r="AH54" i="2"/>
  <c r="AD54" i="2"/>
  <c r="AC54" i="2"/>
  <c r="AB54" i="2"/>
  <c r="AA54" i="2"/>
  <c r="Z54" i="2"/>
  <c r="Y54" i="2"/>
  <c r="W54" i="2"/>
  <c r="U54" i="2"/>
  <c r="S54" i="2"/>
  <c r="Q54" i="2"/>
  <c r="O54" i="2"/>
  <c r="L52" i="2"/>
  <c r="BI48" i="2"/>
  <c r="BA48" i="2"/>
  <c r="AT48" i="2"/>
  <c r="AT46" i="2" s="1"/>
  <c r="AR48" i="2"/>
  <c r="AR46" i="2" s="1"/>
  <c r="AO48" i="2"/>
  <c r="AO46" i="2" s="1"/>
  <c r="AB48" i="2"/>
  <c r="AA48" i="2"/>
  <c r="Q48" i="2"/>
  <c r="K48" i="2"/>
  <c r="BJ47" i="2"/>
  <c r="BJ46" i="2" s="1"/>
  <c r="BI47" i="2"/>
  <c r="BF47" i="2"/>
  <c r="BF46" i="2" s="1"/>
  <c r="BE47" i="2"/>
  <c r="BA47" i="2"/>
  <c r="AV47" i="2"/>
  <c r="AV46" i="2" s="1"/>
  <c r="AU47" i="2"/>
  <c r="AU46" i="2" s="1"/>
  <c r="AK47" i="2"/>
  <c r="AK46" i="2" s="1"/>
  <c r="AJ47" i="2"/>
  <c r="AJ46" i="2" s="1"/>
  <c r="AB47" i="2"/>
  <c r="AA47" i="2"/>
  <c r="T47" i="2"/>
  <c r="T46" i="2" s="1"/>
  <c r="Q47" i="2"/>
  <c r="P47" i="2"/>
  <c r="P46" i="2" s="1"/>
  <c r="K47" i="2"/>
  <c r="I47" i="2"/>
  <c r="I46" i="2" s="1"/>
  <c r="H47" i="2"/>
  <c r="H46" i="2" s="1"/>
  <c r="D47" i="2"/>
  <c r="D46" i="2" s="1"/>
  <c r="BH46" i="2"/>
  <c r="BD46" i="2"/>
  <c r="BC46" i="2"/>
  <c r="AZ46" i="2"/>
  <c r="AY46" i="2"/>
  <c r="AX46" i="2"/>
  <c r="AS46" i="2"/>
  <c r="AQ46" i="2"/>
  <c r="AN46" i="2"/>
  <c r="AI46" i="2"/>
  <c r="AH46" i="2"/>
  <c r="AG46" i="2"/>
  <c r="AF46" i="2"/>
  <c r="AD46" i="2"/>
  <c r="AC46" i="2"/>
  <c r="Z46" i="2"/>
  <c r="Y46" i="2"/>
  <c r="X46" i="2"/>
  <c r="W46" i="2"/>
  <c r="U46" i="2"/>
  <c r="S46" i="2"/>
  <c r="R46" i="2"/>
  <c r="O46" i="2"/>
  <c r="N46" i="2"/>
  <c r="L46" i="2"/>
  <c r="J46" i="2"/>
  <c r="F46" i="2"/>
  <c r="E46" i="2"/>
  <c r="C46" i="2"/>
  <c r="L43" i="2"/>
  <c r="L39" i="2"/>
  <c r="Z36" i="2"/>
  <c r="I36" i="2"/>
  <c r="AZ35" i="2"/>
  <c r="AZ33" i="2" s="1"/>
  <c r="AY35" i="2"/>
  <c r="AY33" i="2" s="1"/>
  <c r="AV35" i="2"/>
  <c r="AV33" i="2" s="1"/>
  <c r="AT35" i="2"/>
  <c r="AT33" i="2" s="1"/>
  <c r="AS35" i="2"/>
  <c r="AS33" i="2" s="1"/>
  <c r="AB35" i="2"/>
  <c r="AB33" i="2" s="1"/>
  <c r="AA35" i="2"/>
  <c r="AA33" i="2" s="1"/>
  <c r="Z35" i="2"/>
  <c r="Y35" i="2"/>
  <c r="Y33" i="2" s="1"/>
  <c r="X35" i="2"/>
  <c r="X33" i="2" s="1"/>
  <c r="W35" i="2"/>
  <c r="W33" i="2" s="1"/>
  <c r="U35" i="2"/>
  <c r="S35" i="2"/>
  <c r="S33" i="2" s="1"/>
  <c r="Q35" i="2"/>
  <c r="Q33" i="2" s="1"/>
  <c r="O35" i="2"/>
  <c r="O33" i="2" s="1"/>
  <c r="K35" i="2"/>
  <c r="K33" i="2" s="1"/>
  <c r="F35" i="2"/>
  <c r="F33" i="2" s="1"/>
  <c r="BD34" i="2"/>
  <c r="Z34" i="2"/>
  <c r="U34" i="2"/>
  <c r="T34" i="2"/>
  <c r="T33" i="2" s="1"/>
  <c r="J34" i="2"/>
  <c r="J33" i="2" s="1"/>
  <c r="I34" i="2"/>
  <c r="H34" i="2"/>
  <c r="H33" i="2" s="1"/>
  <c r="BI33" i="2"/>
  <c r="BH33" i="2"/>
  <c r="BF33" i="2"/>
  <c r="BE33" i="2"/>
  <c r="BC33" i="2"/>
  <c r="BA33" i="2"/>
  <c r="AX33" i="2"/>
  <c r="AU33" i="2"/>
  <c r="AR33" i="2"/>
  <c r="AQ33" i="2"/>
  <c r="AO33" i="2"/>
  <c r="AN33" i="2"/>
  <c r="AK33" i="2"/>
  <c r="AJ33" i="2"/>
  <c r="AI33" i="2"/>
  <c r="AH33" i="2"/>
  <c r="AG33" i="2"/>
  <c r="AF33" i="2"/>
  <c r="AD33" i="2"/>
  <c r="AC33" i="2"/>
  <c r="R33" i="2"/>
  <c r="P33" i="2"/>
  <c r="N33" i="2"/>
  <c r="M33" i="2"/>
  <c r="L33" i="2"/>
  <c r="E33" i="2"/>
  <c r="D33" i="2"/>
  <c r="C33" i="2"/>
  <c r="BF31" i="2"/>
  <c r="BE31" i="2"/>
  <c r="AV31" i="2"/>
  <c r="AV27" i="2" s="1"/>
  <c r="AI31" i="2"/>
  <c r="AH31" i="2"/>
  <c r="AB31" i="2"/>
  <c r="AA31" i="2"/>
  <c r="Z31" i="2"/>
  <c r="K31" i="2"/>
  <c r="BF30" i="2"/>
  <c r="BE30" i="2"/>
  <c r="BD30" i="2"/>
  <c r="BA30" i="2"/>
  <c r="BA27" i="2" s="1"/>
  <c r="AU30" i="2"/>
  <c r="AU27" i="2" s="1"/>
  <c r="AT30" i="2"/>
  <c r="AT27" i="2" s="1"/>
  <c r="AS30" i="2"/>
  <c r="AS27" i="2" s="1"/>
  <c r="AK30" i="2"/>
  <c r="AJ30" i="2"/>
  <c r="AD30" i="2"/>
  <c r="AD27" i="2" s="1"/>
  <c r="AC30" i="2"/>
  <c r="AB30" i="2"/>
  <c r="AA30" i="2"/>
  <c r="Z30" i="2"/>
  <c r="W30" i="2"/>
  <c r="W27" i="2" s="1"/>
  <c r="BH29" i="2"/>
  <c r="BF29" i="2"/>
  <c r="BE29" i="2"/>
  <c r="AO29" i="2"/>
  <c r="AO27" i="2" s="1"/>
  <c r="AN29" i="2"/>
  <c r="AN27" i="2" s="1"/>
  <c r="AK29" i="2"/>
  <c r="AJ29" i="2"/>
  <c r="AI29" i="2"/>
  <c r="AH29" i="2"/>
  <c r="AG29" i="2"/>
  <c r="AL29" i="2" s="1"/>
  <c r="AC29" i="2"/>
  <c r="K29" i="2"/>
  <c r="BJ28" i="2"/>
  <c r="BJ27" i="2" s="1"/>
  <c r="BI28" i="2"/>
  <c r="BF28" i="2"/>
  <c r="AZ28" i="2"/>
  <c r="AZ27" i="2" s="1"/>
  <c r="AY28" i="2"/>
  <c r="AY27" i="2" s="1"/>
  <c r="AC28" i="2"/>
  <c r="Q28" i="2"/>
  <c r="Q27" i="2" s="1"/>
  <c r="I28" i="2"/>
  <c r="I27" i="2" s="1"/>
  <c r="F28" i="2"/>
  <c r="F27" i="2" s="1"/>
  <c r="BC27" i="2"/>
  <c r="AX27" i="2"/>
  <c r="AR27" i="2"/>
  <c r="AQ27" i="2"/>
  <c r="AF27" i="2"/>
  <c r="Y27" i="2"/>
  <c r="X27" i="2"/>
  <c r="U27" i="2"/>
  <c r="T27" i="2"/>
  <c r="S27" i="2"/>
  <c r="R27" i="2"/>
  <c r="P27" i="2"/>
  <c r="O27" i="2"/>
  <c r="N27" i="2"/>
  <c r="L27" i="2"/>
  <c r="J27" i="2"/>
  <c r="H27" i="2"/>
  <c r="E27" i="2"/>
  <c r="D27" i="2"/>
  <c r="C27" i="2"/>
  <c r="BJ22" i="2"/>
  <c r="BI22" i="2"/>
  <c r="BD22" i="2"/>
  <c r="BA22" i="2"/>
  <c r="BA18" i="2" s="1"/>
  <c r="AK22" i="2"/>
  <c r="AJ22" i="2"/>
  <c r="AB22" i="2"/>
  <c r="AA22" i="2"/>
  <c r="Z22" i="2"/>
  <c r="AB21" i="2"/>
  <c r="AA21" i="2"/>
  <c r="P21" i="2"/>
  <c r="P18" i="2" s="1"/>
  <c r="BJ20" i="2"/>
  <c r="BI20" i="2"/>
  <c r="BF20" i="2"/>
  <c r="AO20" i="2"/>
  <c r="AO18" i="2" s="1"/>
  <c r="AN20" i="2"/>
  <c r="AN18" i="2" s="1"/>
  <c r="AL20" i="2"/>
  <c r="AK20" i="2"/>
  <c r="AJ20" i="2"/>
  <c r="AI20" i="2"/>
  <c r="AD20" i="2"/>
  <c r="Z20" i="2"/>
  <c r="Y20" i="2"/>
  <c r="F20" i="2"/>
  <c r="BJ19" i="2"/>
  <c r="BD19" i="2"/>
  <c r="BD18" i="2" s="1"/>
  <c r="AU19" i="2"/>
  <c r="AU18" i="2" s="1"/>
  <c r="AT19" i="2"/>
  <c r="AT18" i="2" s="1"/>
  <c r="AS19" i="2"/>
  <c r="AS18" i="2" s="1"/>
  <c r="AI19" i="2"/>
  <c r="AH19" i="2"/>
  <c r="AH18" i="2" s="1"/>
  <c r="AD19" i="2"/>
  <c r="AC19" i="2"/>
  <c r="AC18" i="2" s="1"/>
  <c r="Z19" i="2"/>
  <c r="Y19" i="2"/>
  <c r="I19" i="2"/>
  <c r="I18" i="2" s="1"/>
  <c r="H19" i="2"/>
  <c r="H18" i="2" s="1"/>
  <c r="F19" i="2"/>
  <c r="BH18" i="2"/>
  <c r="BE18" i="2"/>
  <c r="BC18" i="2"/>
  <c r="AZ18" i="2"/>
  <c r="AY18" i="2"/>
  <c r="AX18" i="2"/>
  <c r="AV18" i="2"/>
  <c r="AR18" i="2"/>
  <c r="AQ18" i="2"/>
  <c r="AG18" i="2"/>
  <c r="AF18" i="2"/>
  <c r="X18" i="2"/>
  <c r="W18" i="2"/>
  <c r="U18" i="2"/>
  <c r="T18" i="2"/>
  <c r="S18" i="2"/>
  <c r="R18" i="2"/>
  <c r="Q18" i="2"/>
  <c r="O18" i="2"/>
  <c r="N18" i="2"/>
  <c r="M18" i="2"/>
  <c r="L18" i="2"/>
  <c r="K18" i="2"/>
  <c r="J18" i="2"/>
  <c r="E18" i="2"/>
  <c r="D18" i="2"/>
  <c r="C18" i="2"/>
  <c r="BI16" i="2"/>
  <c r="AI16" i="2"/>
  <c r="AG16" i="2"/>
  <c r="AD16" i="2"/>
  <c r="Q16" i="2"/>
  <c r="K16" i="2"/>
  <c r="AZ15" i="2"/>
  <c r="AT15" i="2"/>
  <c r="AS15" i="2"/>
  <c r="AO15" i="2"/>
  <c r="AN15" i="2"/>
  <c r="AK15" i="2"/>
  <c r="AK10" i="2" s="1"/>
  <c r="AJ15" i="2"/>
  <c r="AJ10" i="2" s="1"/>
  <c r="AD15" i="2"/>
  <c r="AC15" i="2"/>
  <c r="Z15" i="2"/>
  <c r="Y15" i="2"/>
  <c r="U15" i="2"/>
  <c r="S15" i="2"/>
  <c r="R15" i="2"/>
  <c r="P15" i="2"/>
  <c r="P10" i="2" s="1"/>
  <c r="K15" i="2"/>
  <c r="J15" i="2"/>
  <c r="I15" i="2"/>
  <c r="F15" i="2"/>
  <c r="E15" i="2"/>
  <c r="D15" i="2"/>
  <c r="C15" i="2"/>
  <c r="BF14" i="2"/>
  <c r="BE14" i="2"/>
  <c r="AI14" i="2"/>
  <c r="AH14" i="2"/>
  <c r="AG14" i="2"/>
  <c r="F14" i="2"/>
  <c r="BJ13" i="2"/>
  <c r="BI13" i="2"/>
  <c r="BF13" i="2"/>
  <c r="AZ13" i="2"/>
  <c r="AY13" i="2"/>
  <c r="AY10" i="2" s="1"/>
  <c r="AO13" i="2"/>
  <c r="AN13" i="2"/>
  <c r="AD13" i="2"/>
  <c r="AC13" i="2"/>
  <c r="AB13" i="2"/>
  <c r="AB10" i="2" s="1"/>
  <c r="Z13" i="2"/>
  <c r="Y13" i="2"/>
  <c r="U13" i="2"/>
  <c r="T13" i="2"/>
  <c r="T10" i="2" s="1"/>
  <c r="S13" i="2"/>
  <c r="R13" i="2"/>
  <c r="Q13" i="2"/>
  <c r="K13" i="2"/>
  <c r="J13" i="2"/>
  <c r="I13" i="2"/>
  <c r="H13" i="2"/>
  <c r="F13" i="2"/>
  <c r="E13" i="2"/>
  <c r="D13" i="2"/>
  <c r="C13" i="2"/>
  <c r="BJ12" i="2"/>
  <c r="BI12" i="2"/>
  <c r="AT12" i="2"/>
  <c r="AS12" i="2"/>
  <c r="AO12" i="2"/>
  <c r="AN12" i="2"/>
  <c r="AH12" i="2"/>
  <c r="AD12" i="2"/>
  <c r="Q12" i="2"/>
  <c r="K12" i="2"/>
  <c r="I12" i="2"/>
  <c r="H12" i="2"/>
  <c r="F12" i="2"/>
  <c r="L11" i="2"/>
  <c r="BH10" i="2"/>
  <c r="BD10" i="2"/>
  <c r="BC10" i="2"/>
  <c r="BA10" i="2"/>
  <c r="AX10" i="2"/>
  <c r="AV10" i="2"/>
  <c r="AU10" i="2"/>
  <c r="AR10" i="2"/>
  <c r="AQ10" i="2"/>
  <c r="AF10" i="2"/>
  <c r="AA10" i="2"/>
  <c r="X10" i="2"/>
  <c r="W10" i="2"/>
  <c r="O10" i="2"/>
  <c r="N10" i="2"/>
  <c r="L10" i="2"/>
  <c r="AZ93" i="1"/>
  <c r="AY93" i="1"/>
  <c r="AX93" i="1"/>
  <c r="AV93" i="1"/>
  <c r="AU93" i="1"/>
  <c r="AT93" i="1"/>
  <c r="AS93" i="1"/>
  <c r="AQ93" i="1"/>
  <c r="AP93" i="1"/>
  <c r="AO93" i="1"/>
  <c r="AN93" i="1"/>
  <c r="AL93" i="1"/>
  <c r="AK93" i="1"/>
  <c r="AJ93" i="1"/>
  <c r="AI93" i="1"/>
  <c r="AG93" i="1"/>
  <c r="AF93" i="1"/>
  <c r="AE93" i="1"/>
  <c r="AD93" i="1"/>
  <c r="AC93" i="1"/>
  <c r="AA93" i="1"/>
  <c r="Z93" i="1"/>
  <c r="Y93" i="1"/>
  <c r="X93" i="1"/>
  <c r="V93" i="1"/>
  <c r="U93" i="1"/>
  <c r="T93" i="1"/>
  <c r="S93" i="1"/>
  <c r="R93" i="1"/>
  <c r="Q93" i="1"/>
  <c r="P93" i="1"/>
  <c r="N93" i="1"/>
  <c r="M93" i="1"/>
  <c r="L93" i="1"/>
  <c r="K93" i="1"/>
  <c r="J93" i="1"/>
  <c r="H93" i="1"/>
  <c r="G93" i="1"/>
  <c r="F93" i="1"/>
  <c r="E93" i="1"/>
  <c r="C93" i="1"/>
  <c r="AZ89" i="1"/>
  <c r="AZ90" i="1" s="1"/>
  <c r="AY89" i="1"/>
  <c r="AY90" i="1" s="1"/>
  <c r="AX89" i="1"/>
  <c r="AX90" i="1" s="1"/>
  <c r="AV89" i="1"/>
  <c r="AU89" i="1"/>
  <c r="AU90" i="1" s="1"/>
  <c r="AT89" i="1"/>
  <c r="AT90" i="1" s="1"/>
  <c r="AS89" i="1"/>
  <c r="AS90" i="1" s="1"/>
  <c r="AQ89" i="1"/>
  <c r="AQ90" i="1" s="1"/>
  <c r="AP89" i="1"/>
  <c r="AP90" i="1" s="1"/>
  <c r="AO89" i="1"/>
  <c r="AO90" i="1" s="1"/>
  <c r="AN89" i="1"/>
  <c r="AN90" i="1" s="1"/>
  <c r="AL89" i="1"/>
  <c r="AL90" i="1" s="1"/>
  <c r="AK89" i="1"/>
  <c r="AK90" i="1" s="1"/>
  <c r="AJ89" i="1"/>
  <c r="AJ90" i="1" s="1"/>
  <c r="AI89" i="1"/>
  <c r="AI90" i="1" s="1"/>
  <c r="AG89" i="1"/>
  <c r="AG90" i="1" s="1"/>
  <c r="AF89" i="1"/>
  <c r="AF90" i="1" s="1"/>
  <c r="AE89" i="1"/>
  <c r="AE90" i="1" s="1"/>
  <c r="AD89" i="1"/>
  <c r="AD90" i="1" s="1"/>
  <c r="AC89" i="1"/>
  <c r="AC90" i="1" s="1"/>
  <c r="AA89" i="1"/>
  <c r="AA90" i="1" s="1"/>
  <c r="Z89" i="1"/>
  <c r="Z90" i="1" s="1"/>
  <c r="Y89" i="1"/>
  <c r="Y90" i="1" s="1"/>
  <c r="X89" i="1"/>
  <c r="X90" i="1" s="1"/>
  <c r="T89" i="1"/>
  <c r="T90" i="1" s="1"/>
  <c r="R89" i="1"/>
  <c r="R90" i="1" s="1"/>
  <c r="P89" i="1"/>
  <c r="P90" i="1" s="1"/>
  <c r="L89" i="1"/>
  <c r="L90" i="1" s="1"/>
  <c r="K89" i="1"/>
  <c r="K90" i="1" s="1"/>
  <c r="J89" i="1"/>
  <c r="J90" i="1" s="1"/>
  <c r="G89" i="1"/>
  <c r="G90" i="1" s="1"/>
  <c r="F89" i="1"/>
  <c r="F90" i="1" s="1"/>
  <c r="E89" i="1"/>
  <c r="E90" i="1" s="1"/>
  <c r="C89" i="1"/>
  <c r="C90" i="1" s="1"/>
  <c r="AZ87" i="1"/>
  <c r="AY87" i="1"/>
  <c r="AX87" i="1"/>
  <c r="AV87" i="1"/>
  <c r="AU87" i="1"/>
  <c r="AU73" i="1" s="1"/>
  <c r="AU74" i="1" s="1"/>
  <c r="AT87" i="1"/>
  <c r="AT73" i="1" s="1"/>
  <c r="AT74" i="1" s="1"/>
  <c r="AS87" i="1"/>
  <c r="AS73" i="1" s="1"/>
  <c r="AS74" i="1" s="1"/>
  <c r="AQ87" i="1"/>
  <c r="AP87" i="1"/>
  <c r="AP73" i="1" s="1"/>
  <c r="AP74" i="1" s="1"/>
  <c r="AO87" i="1"/>
  <c r="AN87" i="1"/>
  <c r="AL87" i="1"/>
  <c r="AK87" i="1"/>
  <c r="AK73" i="1" s="1"/>
  <c r="AK74" i="1" s="1"/>
  <c r="AJ87" i="1"/>
  <c r="AJ73" i="1" s="1"/>
  <c r="AJ74" i="1" s="1"/>
  <c r="AI87" i="1"/>
  <c r="AI73" i="1" s="1"/>
  <c r="AI74" i="1" s="1"/>
  <c r="AG87" i="1"/>
  <c r="AF87" i="1"/>
  <c r="AF73" i="1" s="1"/>
  <c r="AF74" i="1" s="1"/>
  <c r="AE87" i="1"/>
  <c r="AD87" i="1"/>
  <c r="AC87" i="1"/>
  <c r="AA87" i="1"/>
  <c r="AA73" i="1" s="1"/>
  <c r="AA74" i="1" s="1"/>
  <c r="Z87" i="1"/>
  <c r="Z73" i="1" s="1"/>
  <c r="Z74" i="1" s="1"/>
  <c r="Y87" i="1"/>
  <c r="Y73" i="1" s="1"/>
  <c r="Y74" i="1" s="1"/>
  <c r="X87" i="1"/>
  <c r="X73" i="1" s="1"/>
  <c r="X74" i="1" s="1"/>
  <c r="T87" i="1"/>
  <c r="T73" i="1" s="1"/>
  <c r="T74" i="1" s="1"/>
  <c r="R87" i="1"/>
  <c r="R73" i="1" s="1"/>
  <c r="R74" i="1" s="1"/>
  <c r="P87" i="1"/>
  <c r="L87" i="1"/>
  <c r="K87" i="1"/>
  <c r="K73" i="1" s="1"/>
  <c r="K74" i="1" s="1"/>
  <c r="J87" i="1"/>
  <c r="G87" i="1"/>
  <c r="G73" i="1" s="1"/>
  <c r="G74" i="1" s="1"/>
  <c r="F87" i="1"/>
  <c r="E87" i="1"/>
  <c r="C87" i="1"/>
  <c r="C73" i="1" s="1"/>
  <c r="C74" i="1" s="1"/>
  <c r="N85" i="1"/>
  <c r="V84" i="1"/>
  <c r="N84" i="1"/>
  <c r="M84" i="1"/>
  <c r="H84" i="1"/>
  <c r="V83" i="1"/>
  <c r="U83" i="1"/>
  <c r="U89" i="1" s="1"/>
  <c r="U90" i="1" s="1"/>
  <c r="Q83" i="1"/>
  <c r="N83" i="1"/>
  <c r="M82" i="1"/>
  <c r="H82" i="1"/>
  <c r="S81" i="1"/>
  <c r="S87" i="1" s="1"/>
  <c r="S73" i="1" s="1"/>
  <c r="S74" i="1" s="1"/>
  <c r="M81" i="1"/>
  <c r="AZ68" i="1"/>
  <c r="AY68" i="1"/>
  <c r="AX68" i="1"/>
  <c r="AV68" i="1"/>
  <c r="AU68" i="1"/>
  <c r="AT68" i="1"/>
  <c r="AS68" i="1"/>
  <c r="AQ68" i="1"/>
  <c r="AP68" i="1"/>
  <c r="AO68" i="1"/>
  <c r="AN68" i="1"/>
  <c r="AL68" i="1"/>
  <c r="AK68" i="1"/>
  <c r="AJ68" i="1"/>
  <c r="AI68" i="1"/>
  <c r="AE68" i="1"/>
  <c r="AD68" i="1"/>
  <c r="AC68" i="1"/>
  <c r="AA68" i="1"/>
  <c r="Z68" i="1"/>
  <c r="Y68" i="1"/>
  <c r="X68" i="1"/>
  <c r="L66" i="1"/>
  <c r="K66" i="1"/>
  <c r="J66" i="1"/>
  <c r="H66" i="1"/>
  <c r="E66" i="1"/>
  <c r="H65" i="1"/>
  <c r="U62" i="1"/>
  <c r="U68" i="1" s="1"/>
  <c r="T62" i="1"/>
  <c r="T68" i="1" s="1"/>
  <c r="S62" i="1"/>
  <c r="R62" i="1"/>
  <c r="R68" i="1" s="1"/>
  <c r="Q62" i="1"/>
  <c r="Q68" i="1" s="1"/>
  <c r="P62" i="1"/>
  <c r="P68" i="1" s="1"/>
  <c r="M62" i="1"/>
  <c r="L62" i="1"/>
  <c r="K62" i="1"/>
  <c r="J62" i="1"/>
  <c r="H62" i="1"/>
  <c r="G62" i="1"/>
  <c r="G68" i="1" s="1"/>
  <c r="F62" i="1"/>
  <c r="F68" i="1" s="1"/>
  <c r="E62" i="1"/>
  <c r="C62" i="1"/>
  <c r="AG61" i="1"/>
  <c r="AG68" i="1" s="1"/>
  <c r="AF61" i="1"/>
  <c r="AF68" i="1" s="1"/>
  <c r="V61" i="1"/>
  <c r="V68" i="1" s="1"/>
  <c r="S61" i="1"/>
  <c r="N61" i="1"/>
  <c r="N68" i="1" s="1"/>
  <c r="M61" i="1"/>
  <c r="H61" i="1"/>
  <c r="C61" i="1"/>
  <c r="M58" i="1"/>
  <c r="H58" i="1"/>
  <c r="C58" i="1"/>
  <c r="C56" i="1"/>
  <c r="AZ54" i="1"/>
  <c r="AY54" i="1"/>
  <c r="AX54" i="1"/>
  <c r="AV54" i="1"/>
  <c r="AU54" i="1"/>
  <c r="AT54" i="1"/>
  <c r="AS54" i="1"/>
  <c r="AQ54" i="1"/>
  <c r="AP54" i="1"/>
  <c r="AO54" i="1"/>
  <c r="AN54" i="1"/>
  <c r="AL54" i="1"/>
  <c r="AJ54" i="1"/>
  <c r="AI54" i="1"/>
  <c r="AE54" i="1"/>
  <c r="AD54" i="1"/>
  <c r="AC54" i="1"/>
  <c r="AA54" i="1"/>
  <c r="Z54" i="1"/>
  <c r="Y54" i="1"/>
  <c r="X54" i="1"/>
  <c r="X70" i="1" s="1"/>
  <c r="X71" i="1" s="1"/>
  <c r="AK50" i="1"/>
  <c r="AK54" i="1" s="1"/>
  <c r="M50" i="1"/>
  <c r="K50" i="1"/>
  <c r="J50" i="1"/>
  <c r="U46" i="1"/>
  <c r="U54" i="1" s="1"/>
  <c r="T46" i="1"/>
  <c r="T54" i="1" s="1"/>
  <c r="S46" i="1"/>
  <c r="S54" i="1" s="1"/>
  <c r="R46" i="1"/>
  <c r="R54" i="1" s="1"/>
  <c r="Q46" i="1"/>
  <c r="Q54" i="1" s="1"/>
  <c r="P46" i="1"/>
  <c r="P54" i="1" s="1"/>
  <c r="M46" i="1"/>
  <c r="L46" i="1"/>
  <c r="L54" i="1" s="1"/>
  <c r="K46" i="1"/>
  <c r="J46" i="1"/>
  <c r="H46" i="1"/>
  <c r="G46" i="1"/>
  <c r="F46" i="1"/>
  <c r="E46" i="1"/>
  <c r="E54" i="1" s="1"/>
  <c r="C46" i="1"/>
  <c r="V43" i="1"/>
  <c r="V54" i="1" s="1"/>
  <c r="N43" i="1"/>
  <c r="N54" i="1" s="1"/>
  <c r="M43" i="1"/>
  <c r="K43" i="1"/>
  <c r="H43" i="1"/>
  <c r="G43" i="1"/>
  <c r="F43" i="1"/>
  <c r="C43" i="1"/>
  <c r="M42" i="1"/>
  <c r="H42" i="1"/>
  <c r="C42" i="1"/>
  <c r="AG40" i="1"/>
  <c r="AG54" i="1" s="1"/>
  <c r="AF40" i="1"/>
  <c r="AF54" i="1" s="1"/>
  <c r="C40" i="1"/>
  <c r="AZ35" i="1"/>
  <c r="AY35" i="1"/>
  <c r="AX35" i="1"/>
  <c r="AV35" i="1"/>
  <c r="AU35" i="1"/>
  <c r="AT35" i="1"/>
  <c r="AS35" i="1"/>
  <c r="AP35" i="1"/>
  <c r="AO35" i="1"/>
  <c r="AN35" i="1"/>
  <c r="AL35" i="1"/>
  <c r="AK35" i="1"/>
  <c r="AJ35" i="1"/>
  <c r="AI35" i="1"/>
  <c r="AE35" i="1"/>
  <c r="AD35" i="1"/>
  <c r="AC35" i="1"/>
  <c r="Z35" i="1"/>
  <c r="Y35" i="1"/>
  <c r="X35" i="1"/>
  <c r="T35" i="1"/>
  <c r="R35" i="1"/>
  <c r="Q35" i="1"/>
  <c r="P35" i="1"/>
  <c r="M35" i="1"/>
  <c r="L35" i="1"/>
  <c r="K35" i="1"/>
  <c r="H35" i="1"/>
  <c r="E35" i="1"/>
  <c r="C35" i="1"/>
  <c r="V33" i="1"/>
  <c r="N33" i="1"/>
  <c r="J33" i="1"/>
  <c r="J35" i="1" s="1"/>
  <c r="G33" i="1"/>
  <c r="G35" i="1" s="1"/>
  <c r="F33" i="1"/>
  <c r="F35" i="1" s="1"/>
  <c r="N25" i="1"/>
  <c r="AQ22" i="1"/>
  <c r="AQ35" i="1" s="1"/>
  <c r="AG22" i="1"/>
  <c r="AG35" i="1" s="1"/>
  <c r="AF22" i="1"/>
  <c r="AF35" i="1" s="1"/>
  <c r="AA22" i="1"/>
  <c r="AA35" i="1" s="1"/>
  <c r="V22" i="1"/>
  <c r="U22" i="1"/>
  <c r="U35" i="1" s="1"/>
  <c r="S22" i="1"/>
  <c r="S35" i="1" s="1"/>
  <c r="N22" i="1"/>
  <c r="AZ19" i="1"/>
  <c r="AY19" i="1"/>
  <c r="AX19" i="1"/>
  <c r="AV19" i="1"/>
  <c r="AU19" i="1"/>
  <c r="AT19" i="1"/>
  <c r="AS19" i="1"/>
  <c r="AQ19" i="1"/>
  <c r="AP19" i="1"/>
  <c r="AO19" i="1"/>
  <c r="AN19" i="1"/>
  <c r="AL19" i="1"/>
  <c r="AK19" i="1"/>
  <c r="AJ19" i="1"/>
  <c r="AI19" i="1"/>
  <c r="AE19" i="1"/>
  <c r="AD19" i="1"/>
  <c r="AC19" i="1"/>
  <c r="AA19" i="1"/>
  <c r="Z19" i="1"/>
  <c r="Y19" i="1"/>
  <c r="X19" i="1"/>
  <c r="U19" i="1"/>
  <c r="T19" i="1"/>
  <c r="S19" i="1"/>
  <c r="R19" i="1"/>
  <c r="R37" i="1" s="1"/>
  <c r="Q19" i="1"/>
  <c r="Q37" i="1" s="1"/>
  <c r="P19" i="1"/>
  <c r="K19" i="1"/>
  <c r="H19" i="1"/>
  <c r="G19" i="1"/>
  <c r="F19" i="1"/>
  <c r="E19" i="1"/>
  <c r="C19" i="1"/>
  <c r="V16" i="1"/>
  <c r="N16" i="1"/>
  <c r="M16" i="1"/>
  <c r="V13" i="1"/>
  <c r="N13" i="1"/>
  <c r="M13" i="1"/>
  <c r="L13" i="1"/>
  <c r="L19" i="1" s="1"/>
  <c r="J13" i="1"/>
  <c r="J19" i="1" s="1"/>
  <c r="AG12" i="1"/>
  <c r="AG19" i="1" s="1"/>
  <c r="AF12" i="1"/>
  <c r="AF19" i="1" s="1"/>
  <c r="V12" i="1"/>
  <c r="N12" i="1"/>
  <c r="V10" i="1"/>
  <c r="N10" i="1"/>
  <c r="M10" i="1"/>
  <c r="AV66" i="3" l="1"/>
  <c r="AV87" i="3"/>
  <c r="C37" i="1"/>
  <c r="E102" i="1"/>
  <c r="AH35" i="3"/>
  <c r="AH36" i="3" s="1"/>
  <c r="J35" i="3"/>
  <c r="AT70" i="1"/>
  <c r="AC37" i="1"/>
  <c r="W20" i="5"/>
  <c r="W21" i="5" s="1"/>
  <c r="G66" i="3"/>
  <c r="X35" i="3"/>
  <c r="S66" i="3"/>
  <c r="S72" i="3" s="1"/>
  <c r="K35" i="3"/>
  <c r="L35" i="3"/>
  <c r="AB35" i="3"/>
  <c r="AB36" i="3" s="1"/>
  <c r="J51" i="3"/>
  <c r="J66" i="3" s="1"/>
  <c r="J72" i="3" s="1"/>
  <c r="K66" i="3"/>
  <c r="W66" i="3"/>
  <c r="AL66" i="3"/>
  <c r="AL67" i="3" s="1"/>
  <c r="M35" i="3"/>
  <c r="AR35" i="3"/>
  <c r="AR36" i="3" s="1"/>
  <c r="L66" i="3"/>
  <c r="AM66" i="3"/>
  <c r="AM67" i="3" s="1"/>
  <c r="E66" i="3"/>
  <c r="E72" i="3" s="1"/>
  <c r="S68" i="1"/>
  <c r="S70" i="1" s="1"/>
  <c r="S76" i="1" s="1"/>
  <c r="H87" i="1"/>
  <c r="H73" i="1" s="1"/>
  <c r="H74" i="1" s="1"/>
  <c r="AK70" i="1"/>
  <c r="AK76" i="1" s="1"/>
  <c r="AG35" i="3"/>
  <c r="AG36" i="3" s="1"/>
  <c r="AQ35" i="3"/>
  <c r="AQ36" i="3" s="1"/>
  <c r="AQ66" i="3"/>
  <c r="C35" i="3"/>
  <c r="H66" i="3"/>
  <c r="H72" i="3" s="1"/>
  <c r="T66" i="3"/>
  <c r="T67" i="3" s="1"/>
  <c r="Z24" i="8"/>
  <c r="Z40" i="8" s="1"/>
  <c r="Z43" i="8" s="1"/>
  <c r="AB19" i="8"/>
  <c r="AG70" i="1"/>
  <c r="AG71" i="1" s="1"/>
  <c r="AO70" i="1"/>
  <c r="AO71" i="1" s="1"/>
  <c r="AY70" i="1"/>
  <c r="AY71" i="1" s="1"/>
  <c r="G37" i="1"/>
  <c r="G38" i="1" s="1"/>
  <c r="AJ37" i="1"/>
  <c r="AJ38" i="1" s="1"/>
  <c r="AU37" i="1"/>
  <c r="AU38" i="1" s="1"/>
  <c r="Z37" i="1"/>
  <c r="Z38" i="1" s="1"/>
  <c r="AE66" i="3"/>
  <c r="AS70" i="1"/>
  <c r="AS71" i="1" s="1"/>
  <c r="F102" i="1"/>
  <c r="N24" i="8"/>
  <c r="N40" i="8" s="1"/>
  <c r="N43" i="8" s="1"/>
  <c r="N44" i="8" s="1"/>
  <c r="AB55" i="8"/>
  <c r="BI27" i="2"/>
  <c r="AP37" i="1"/>
  <c r="AP99" i="1" s="1"/>
  <c r="T69" i="3"/>
  <c r="T70" i="3" s="1"/>
  <c r="U33" i="2"/>
  <c r="AF24" i="2"/>
  <c r="AF25" i="2" s="1"/>
  <c r="N24" i="2"/>
  <c r="N25" i="2" s="1"/>
  <c r="X24" i="2"/>
  <c r="X25" i="2" s="1"/>
  <c r="AX24" i="2"/>
  <c r="AX38" i="2" s="1"/>
  <c r="AG27" i="2"/>
  <c r="R10" i="2"/>
  <c r="R24" i="2" s="1"/>
  <c r="R38" i="2" s="1"/>
  <c r="R42" i="2" s="1"/>
  <c r="R44" i="2" s="1"/>
  <c r="AA18" i="2"/>
  <c r="AA24" i="2" s="1"/>
  <c r="AQ24" i="2"/>
  <c r="AQ25" i="2" s="1"/>
  <c r="E10" i="2"/>
  <c r="E24" i="2" s="1"/>
  <c r="E38" i="2" s="1"/>
  <c r="BH27" i="2"/>
  <c r="U10" i="2"/>
  <c r="U24" i="2" s="1"/>
  <c r="U25" i="2" s="1"/>
  <c r="H10" i="2"/>
  <c r="H24" i="2" s="1"/>
  <c r="I33" i="2"/>
  <c r="AB18" i="2"/>
  <c r="AB24" i="2" s="1"/>
  <c r="T24" i="2"/>
  <c r="T38" i="2" s="1"/>
  <c r="AH10" i="2"/>
  <c r="AH24" i="2" s="1"/>
  <c r="AH25" i="2" s="1"/>
  <c r="AZ20" i="5"/>
  <c r="AZ35" i="5" s="1"/>
  <c r="E20" i="5"/>
  <c r="E35" i="5" s="1"/>
  <c r="AF20" i="5"/>
  <c r="AF35" i="5" s="1"/>
  <c r="N20" i="5"/>
  <c r="N35" i="5" s="1"/>
  <c r="R20" i="5"/>
  <c r="R21" i="5" s="1"/>
  <c r="L20" i="5"/>
  <c r="L21" i="5" s="1"/>
  <c r="Z23" i="5"/>
  <c r="U10" i="5"/>
  <c r="U20" i="5" s="1"/>
  <c r="U21" i="5" s="1"/>
  <c r="U23" i="5"/>
  <c r="I29" i="5"/>
  <c r="AU20" i="5"/>
  <c r="AU35" i="5" s="1"/>
  <c r="K20" i="5"/>
  <c r="K21" i="5" s="1"/>
  <c r="AK20" i="5"/>
  <c r="AK35" i="5" s="1"/>
  <c r="AK39" i="5" s="1"/>
  <c r="AK41" i="5" s="1"/>
  <c r="AA20" i="5"/>
  <c r="AA21" i="5" s="1"/>
  <c r="U29" i="5"/>
  <c r="AS35" i="3"/>
  <c r="AS36" i="3" s="1"/>
  <c r="Z35" i="3"/>
  <c r="Z36" i="3" s="1"/>
  <c r="AI66" i="3"/>
  <c r="AI72" i="3" s="1"/>
  <c r="P35" i="3"/>
  <c r="P87" i="3" s="1"/>
  <c r="Y35" i="3"/>
  <c r="Z66" i="3"/>
  <c r="Z67" i="3" s="1"/>
  <c r="AJ66" i="3"/>
  <c r="AJ72" i="3" s="1"/>
  <c r="AI35" i="3"/>
  <c r="AI36" i="3" s="1"/>
  <c r="N69" i="3"/>
  <c r="AS66" i="3"/>
  <c r="AS72" i="3" s="1"/>
  <c r="C66" i="3"/>
  <c r="C72" i="3" s="1"/>
  <c r="Y66" i="3"/>
  <c r="Y72" i="3" s="1"/>
  <c r="AB27" i="2"/>
  <c r="K46" i="2"/>
  <c r="I10" i="2"/>
  <c r="I24" i="2" s="1"/>
  <c r="I25" i="2" s="1"/>
  <c r="AT10" i="2"/>
  <c r="AT24" i="2" s="1"/>
  <c r="Z10" i="2"/>
  <c r="O24" i="2"/>
  <c r="O25" i="2" s="1"/>
  <c r="E73" i="1"/>
  <c r="E74" i="1" s="1"/>
  <c r="AE102" i="1"/>
  <c r="AO102" i="1"/>
  <c r="AY102" i="1"/>
  <c r="H37" i="1"/>
  <c r="H38" i="1" s="1"/>
  <c r="AD70" i="1"/>
  <c r="AD71" i="1" s="1"/>
  <c r="F73" i="1"/>
  <c r="F74" i="1" s="1"/>
  <c r="AP70" i="1"/>
  <c r="AP71" i="1" s="1"/>
  <c r="AK37" i="1"/>
  <c r="AK38" i="1" s="1"/>
  <c r="K54" i="1"/>
  <c r="E68" i="1"/>
  <c r="E70" i="1" s="1"/>
  <c r="E71" i="1" s="1"/>
  <c r="P102" i="1"/>
  <c r="AD102" i="1"/>
  <c r="AN102" i="1"/>
  <c r="AX102" i="1"/>
  <c r="AE37" i="1"/>
  <c r="AE38" i="1" s="1"/>
  <c r="AT37" i="1"/>
  <c r="AT38" i="1" s="1"/>
  <c r="V35" i="1"/>
  <c r="AF37" i="1"/>
  <c r="AF38" i="1" s="1"/>
  <c r="AR20" i="5"/>
  <c r="AR35" i="5" s="1"/>
  <c r="U43" i="5"/>
  <c r="AB10" i="5"/>
  <c r="AB20" i="5" s="1"/>
  <c r="AB21" i="5" s="1"/>
  <c r="N51" i="3"/>
  <c r="N66" i="3" s="1"/>
  <c r="L69" i="3"/>
  <c r="AR24" i="2"/>
  <c r="AR38" i="2" s="1"/>
  <c r="AR40" i="2" s="1"/>
  <c r="AN10" i="2"/>
  <c r="AN24" i="2" s="1"/>
  <c r="AN25" i="2" s="1"/>
  <c r="S10" i="2"/>
  <c r="S24" i="2" s="1"/>
  <c r="AG10" i="2"/>
  <c r="AG24" i="2" s="1"/>
  <c r="AG25" i="2" s="1"/>
  <c r="AH27" i="2"/>
  <c r="J10" i="2"/>
  <c r="J24" i="2" s="1"/>
  <c r="J25" i="2" s="1"/>
  <c r="P24" i="2"/>
  <c r="P38" i="2" s="1"/>
  <c r="Z18" i="2"/>
  <c r="AB46" i="2"/>
  <c r="AC10" i="2"/>
  <c r="AC24" i="2" s="1"/>
  <c r="AC25" i="2" s="1"/>
  <c r="BF18" i="2"/>
  <c r="C74" i="2"/>
  <c r="Q46" i="2"/>
  <c r="BF10" i="2"/>
  <c r="AI18" i="2"/>
  <c r="BJ18" i="2"/>
  <c r="BH24" i="2"/>
  <c r="D10" i="2"/>
  <c r="D24" i="2" s="1"/>
  <c r="D38" i="2" s="1"/>
  <c r="BA46" i="2"/>
  <c r="AJ27" i="2"/>
  <c r="AA27" i="2"/>
  <c r="AJ18" i="2"/>
  <c r="AJ24" i="2" s="1"/>
  <c r="AQ70" i="1"/>
  <c r="AQ71" i="1" s="1"/>
  <c r="C68" i="1"/>
  <c r="Y37" i="1"/>
  <c r="Y38" i="1" s="1"/>
  <c r="AL37" i="1"/>
  <c r="AL38" i="1" s="1"/>
  <c r="R70" i="1"/>
  <c r="R76" i="1" s="1"/>
  <c r="L102" i="1"/>
  <c r="AC102" i="1"/>
  <c r="AL102" i="1"/>
  <c r="N70" i="1"/>
  <c r="N71" i="1" s="1"/>
  <c r="V87" i="1"/>
  <c r="V73" i="1" s="1"/>
  <c r="V74" i="1" s="1"/>
  <c r="U37" i="1"/>
  <c r="U38" i="1" s="1"/>
  <c r="L37" i="1"/>
  <c r="L38" i="1" s="1"/>
  <c r="AA70" i="1"/>
  <c r="AA76" i="1" s="1"/>
  <c r="L68" i="1"/>
  <c r="L70" i="1" s="1"/>
  <c r="L71" i="1" s="1"/>
  <c r="K68" i="1"/>
  <c r="E13" i="13"/>
  <c r="E24" i="13"/>
  <c r="E11" i="12"/>
  <c r="P20" i="5"/>
  <c r="P21" i="5" s="1"/>
  <c r="Y20" i="5"/>
  <c r="Y35" i="5" s="1"/>
  <c r="AO20" i="5"/>
  <c r="AO35" i="5" s="1"/>
  <c r="T20" i="5"/>
  <c r="T21" i="5" s="1"/>
  <c r="W69" i="3"/>
  <c r="W72" i="3" s="1"/>
  <c r="R35" i="3"/>
  <c r="U66" i="3"/>
  <c r="U72" i="3" s="1"/>
  <c r="AO66" i="3"/>
  <c r="AO72" i="3" s="1"/>
  <c r="N35" i="3"/>
  <c r="AB13" i="8"/>
  <c r="S46" i="8"/>
  <c r="K10" i="2"/>
  <c r="K24" i="2" s="1"/>
  <c r="K27" i="2"/>
  <c r="AI10" i="2"/>
  <c r="AD18" i="2"/>
  <c r="AK27" i="2"/>
  <c r="C91" i="2"/>
  <c r="C92" i="2" s="1"/>
  <c r="AA37" i="1"/>
  <c r="AF70" i="1"/>
  <c r="U70" i="1"/>
  <c r="U71" i="1" s="1"/>
  <c r="AO73" i="1"/>
  <c r="AO74" i="1" s="1"/>
  <c r="AN73" i="1"/>
  <c r="AN74" i="1" s="1"/>
  <c r="AU70" i="1"/>
  <c r="AU71" i="1" s="1"/>
  <c r="M54" i="1"/>
  <c r="J54" i="1"/>
  <c r="AY73" i="1"/>
  <c r="AY74" i="1" s="1"/>
  <c r="N19" i="1"/>
  <c r="M19" i="1"/>
  <c r="M37" i="1" s="1"/>
  <c r="M38" i="1" s="1"/>
  <c r="F37" i="1"/>
  <c r="F38" i="1" s="1"/>
  <c r="N35" i="1"/>
  <c r="T37" i="1"/>
  <c r="V19" i="1"/>
  <c r="AS37" i="1"/>
  <c r="AS38" i="1" s="1"/>
  <c r="K102" i="1"/>
  <c r="K37" i="1"/>
  <c r="K38" i="1" s="1"/>
  <c r="AE73" i="1"/>
  <c r="AE74" i="1" s="1"/>
  <c r="H89" i="1"/>
  <c r="H90" i="1" s="1"/>
  <c r="AW67" i="3"/>
  <c r="AW72" i="3"/>
  <c r="J37" i="1"/>
  <c r="J38" i="1" s="1"/>
  <c r="BA24" i="2"/>
  <c r="BA38" i="2" s="1"/>
  <c r="AR66" i="3"/>
  <c r="AR72" i="3" s="1"/>
  <c r="AW35" i="3"/>
  <c r="AW87" i="3" s="1"/>
  <c r="AB20" i="8"/>
  <c r="Z70" i="1"/>
  <c r="AL70" i="1"/>
  <c r="AL71" i="1" s="1"/>
  <c r="AV70" i="1"/>
  <c r="AV71" i="1" s="1"/>
  <c r="AE70" i="1"/>
  <c r="AZ70" i="1"/>
  <c r="AD73" i="1"/>
  <c r="AD74" i="1" s="1"/>
  <c r="AX73" i="1"/>
  <c r="AX74" i="1" s="1"/>
  <c r="AU24" i="2"/>
  <c r="AU38" i="2" s="1"/>
  <c r="AU42" i="2" s="1"/>
  <c r="AU44" i="2" s="1"/>
  <c r="BI18" i="2"/>
  <c r="AM20" i="2"/>
  <c r="AT70" i="3"/>
  <c r="D20" i="5"/>
  <c r="D21" i="5" s="1"/>
  <c r="AL20" i="5"/>
  <c r="AL35" i="5" s="1"/>
  <c r="AL50" i="5" s="1"/>
  <c r="AL57" i="5" s="1"/>
  <c r="AL59" i="5" s="1"/>
  <c r="AW20" i="5"/>
  <c r="F20" i="5"/>
  <c r="F35" i="5" s="1"/>
  <c r="AB38" i="8"/>
  <c r="W27" i="10"/>
  <c r="AC72" i="3"/>
  <c r="AV37" i="1"/>
  <c r="AV38" i="1" s="1"/>
  <c r="AV102" i="1"/>
  <c r="BC24" i="2"/>
  <c r="BC25" i="2" s="1"/>
  <c r="AM35" i="3"/>
  <c r="AB23" i="5"/>
  <c r="AX37" i="1"/>
  <c r="AX38" i="1" s="1"/>
  <c r="AN70" i="1"/>
  <c r="AN71" i="1" s="1"/>
  <c r="AX70" i="1"/>
  <c r="AX71" i="1" s="1"/>
  <c r="P73" i="1"/>
  <c r="P74" i="1" s="1"/>
  <c r="J102" i="1"/>
  <c r="X102" i="1"/>
  <c r="AG102" i="1"/>
  <c r="AQ102" i="1"/>
  <c r="AV24" i="2"/>
  <c r="AV25" i="2" s="1"/>
  <c r="Y10" i="2"/>
  <c r="Y18" i="2"/>
  <c r="G35" i="3"/>
  <c r="F35" i="3"/>
  <c r="AD66" i="3"/>
  <c r="AD67" i="3" s="1"/>
  <c r="AN66" i="3"/>
  <c r="AX66" i="3"/>
  <c r="AX72" i="3" s="1"/>
  <c r="M83" i="3"/>
  <c r="AM20" i="5"/>
  <c r="AM21" i="5" s="1"/>
  <c r="AH20" i="5"/>
  <c r="AH35" i="5" s="1"/>
  <c r="AB29" i="5"/>
  <c r="M18" i="8"/>
  <c r="P37" i="1"/>
  <c r="P38" i="1" s="1"/>
  <c r="AI37" i="1"/>
  <c r="AI38" i="1" s="1"/>
  <c r="AD37" i="1"/>
  <c r="AD38" i="1" s="1"/>
  <c r="AO37" i="1"/>
  <c r="AY37" i="1"/>
  <c r="AY38" i="1" s="1"/>
  <c r="AC70" i="1"/>
  <c r="AC71" i="1" s="1"/>
  <c r="V89" i="1"/>
  <c r="V90" i="1" s="1"/>
  <c r="Y102" i="1"/>
  <c r="AI102" i="1"/>
  <c r="AS102" i="1"/>
  <c r="W24" i="2"/>
  <c r="W25" i="2" s="1"/>
  <c r="F10" i="2"/>
  <c r="AO10" i="2"/>
  <c r="AO24" i="2" s="1"/>
  <c r="AO25" i="2" s="1"/>
  <c r="F18" i="2"/>
  <c r="BD33" i="2"/>
  <c r="AA46" i="2"/>
  <c r="AJ35" i="3"/>
  <c r="AJ36" i="3" s="1"/>
  <c r="AC20" i="5"/>
  <c r="AC21" i="5" s="1"/>
  <c r="Z10" i="5"/>
  <c r="Z20" i="5" s="1"/>
  <c r="Z21" i="5" s="1"/>
  <c r="AG20" i="5"/>
  <c r="AG21" i="5" s="1"/>
  <c r="Q20" i="5"/>
  <c r="AJ20" i="5"/>
  <c r="AT20" i="5"/>
  <c r="AT35" i="5" s="1"/>
  <c r="P10" i="8"/>
  <c r="S10" i="8"/>
  <c r="AB15" i="8"/>
  <c r="X24" i="8"/>
  <c r="X40" i="8" s="1"/>
  <c r="X52" i="8" s="1"/>
  <c r="X57" i="8" s="1"/>
  <c r="X59" i="8" s="1"/>
  <c r="AB50" i="8"/>
  <c r="W40" i="10"/>
  <c r="AF13" i="11"/>
  <c r="BE46" i="2"/>
  <c r="AH66" i="3"/>
  <c r="AH72" i="3" s="1"/>
  <c r="X76" i="1"/>
  <c r="AN37" i="1"/>
  <c r="AN38" i="1" s="1"/>
  <c r="E37" i="1"/>
  <c r="H54" i="1"/>
  <c r="AJ70" i="1"/>
  <c r="AL73" i="1"/>
  <c r="AL74" i="1" s="1"/>
  <c r="N89" i="1"/>
  <c r="N90" i="1" s="1"/>
  <c r="S89" i="1"/>
  <c r="S90" i="1" s="1"/>
  <c r="L24" i="2"/>
  <c r="L25" i="2" s="1"/>
  <c r="AY24" i="2"/>
  <c r="AY25" i="2" s="1"/>
  <c r="AS10" i="2"/>
  <c r="AS24" i="2" s="1"/>
  <c r="AS25" i="2" s="1"/>
  <c r="AZ10" i="2"/>
  <c r="AZ24" i="2" s="1"/>
  <c r="AZ25" i="2" s="1"/>
  <c r="Q35" i="3"/>
  <c r="S20" i="5"/>
  <c r="S35" i="5" s="1"/>
  <c r="S39" i="5" s="1"/>
  <c r="S41" i="5" s="1"/>
  <c r="AE20" i="5"/>
  <c r="AE21" i="5" s="1"/>
  <c r="AP20" i="5"/>
  <c r="AP35" i="5" s="1"/>
  <c r="BA20" i="5"/>
  <c r="BA35" i="5" s="1"/>
  <c r="T24" i="8"/>
  <c r="AA21" i="8"/>
  <c r="AB21" i="8" s="1"/>
  <c r="AB22" i="8"/>
  <c r="S27" i="8"/>
  <c r="AB30" i="8"/>
  <c r="W43" i="10"/>
  <c r="W14" i="10"/>
  <c r="AB48" i="8"/>
  <c r="X66" i="3"/>
  <c r="X72" i="3" s="1"/>
  <c r="AC35" i="3"/>
  <c r="AC87" i="3" s="1"/>
  <c r="AK18" i="2"/>
  <c r="AK24" i="2" s="1"/>
  <c r="BI46" i="2"/>
  <c r="S35" i="3"/>
  <c r="AD35" i="3"/>
  <c r="AD36" i="3" s="1"/>
  <c r="AN35" i="3"/>
  <c r="AN36" i="3" s="1"/>
  <c r="AX35" i="3"/>
  <c r="AT66" i="3"/>
  <c r="AT72" i="3" s="1"/>
  <c r="AA46" i="8"/>
  <c r="C21" i="12"/>
  <c r="D21" i="12"/>
  <c r="V70" i="1"/>
  <c r="V76" i="1" s="1"/>
  <c r="T70" i="1"/>
  <c r="T76" i="1" s="1"/>
  <c r="H68" i="1"/>
  <c r="T102" i="1"/>
  <c r="C54" i="1"/>
  <c r="G54" i="1"/>
  <c r="G70" i="1" s="1"/>
  <c r="G71" i="1" s="1"/>
  <c r="F54" i="1"/>
  <c r="F70" i="1" s="1"/>
  <c r="M68" i="1"/>
  <c r="J73" i="1"/>
  <c r="J74" i="1" s="1"/>
  <c r="AC73" i="1"/>
  <c r="AC74" i="1" s="1"/>
  <c r="AV73" i="1"/>
  <c r="U87" i="1"/>
  <c r="C102" i="1"/>
  <c r="BE10" i="2"/>
  <c r="BE24" i="2" s="1"/>
  <c r="BE25" i="2" s="1"/>
  <c r="AD10" i="2"/>
  <c r="C10" i="2"/>
  <c r="C24" i="2" s="1"/>
  <c r="C25" i="2" s="1"/>
  <c r="Q10" i="2"/>
  <c r="Q24" i="2" s="1"/>
  <c r="Q25" i="2" s="1"/>
  <c r="Z33" i="2"/>
  <c r="T35" i="3"/>
  <c r="T36" i="3" s="1"/>
  <c r="AE35" i="3"/>
  <c r="AE36" i="3" s="1"/>
  <c r="AO35" i="3"/>
  <c r="AO36" i="3" s="1"/>
  <c r="M51" i="3"/>
  <c r="M66" i="3" s="1"/>
  <c r="M72" i="3" s="1"/>
  <c r="G72" i="3"/>
  <c r="Q66" i="3"/>
  <c r="Q72" i="3" s="1"/>
  <c r="T83" i="3"/>
  <c r="K83" i="3"/>
  <c r="C20" i="5"/>
  <c r="C35" i="5" s="1"/>
  <c r="O20" i="5"/>
  <c r="O21" i="5" s="1"/>
  <c r="X20" i="5"/>
  <c r="X35" i="5" s="1"/>
  <c r="AV20" i="5"/>
  <c r="P18" i="8"/>
  <c r="P27" i="8"/>
  <c r="AB47" i="8"/>
  <c r="W7" i="10"/>
  <c r="AZ37" i="1"/>
  <c r="AZ38" i="1" s="1"/>
  <c r="AB31" i="8"/>
  <c r="C36" i="16"/>
  <c r="C38" i="16" s="1"/>
  <c r="E20" i="16"/>
  <c r="AF15" i="11"/>
  <c r="AB63" i="8"/>
  <c r="AE13" i="11"/>
  <c r="M10" i="8"/>
  <c r="AZ102" i="1"/>
  <c r="AB30" i="11"/>
  <c r="AA30" i="11"/>
  <c r="W21" i="10"/>
  <c r="W46" i="10"/>
  <c r="X64" i="8"/>
  <c r="X93" i="8" s="1"/>
  <c r="M46" i="8"/>
  <c r="P35" i="8"/>
  <c r="Q40" i="8"/>
  <c r="Q25" i="8"/>
  <c r="Y10" i="8"/>
  <c r="Y24" i="8" s="1"/>
  <c r="Y36" i="8"/>
  <c r="Y35" i="8" s="1"/>
  <c r="U10" i="8"/>
  <c r="AA16" i="8"/>
  <c r="W18" i="8"/>
  <c r="S35" i="8"/>
  <c r="AA11" i="8"/>
  <c r="AB11" i="8" s="1"/>
  <c r="W10" i="8"/>
  <c r="P24" i="8"/>
  <c r="AB14" i="8"/>
  <c r="S18" i="8"/>
  <c r="V35" i="8"/>
  <c r="V40" i="8" s="1"/>
  <c r="Z52" i="8"/>
  <c r="Z57" i="8" s="1"/>
  <c r="T40" i="8"/>
  <c r="AB28" i="8"/>
  <c r="AB32" i="8"/>
  <c r="AA12" i="8"/>
  <c r="AB12" i="8" s="1"/>
  <c r="U18" i="8"/>
  <c r="M27" i="8"/>
  <c r="AA29" i="8"/>
  <c r="AB29" i="8" s="1"/>
  <c r="M35" i="8"/>
  <c r="AA37" i="8"/>
  <c r="AB37" i="8" s="1"/>
  <c r="AF21" i="5"/>
  <c r="AQ35" i="5"/>
  <c r="AQ21" i="5"/>
  <c r="H10" i="5"/>
  <c r="H20" i="5" s="1"/>
  <c r="J20" i="5"/>
  <c r="I10" i="5"/>
  <c r="I20" i="5" s="1"/>
  <c r="AY20" i="5"/>
  <c r="AG72" i="3"/>
  <c r="AG67" i="3"/>
  <c r="F66" i="3"/>
  <c r="F72" i="3" s="1"/>
  <c r="AQ72" i="3"/>
  <c r="AQ67" i="3"/>
  <c r="U35" i="3"/>
  <c r="AB67" i="3"/>
  <c r="AB72" i="3"/>
  <c r="AL72" i="3"/>
  <c r="AV67" i="3"/>
  <c r="AV72" i="3"/>
  <c r="R66" i="3"/>
  <c r="R72" i="3" s="1"/>
  <c r="AT35" i="3"/>
  <c r="AL36" i="3"/>
  <c r="AV36" i="3"/>
  <c r="AX70" i="3"/>
  <c r="L83" i="3"/>
  <c r="K69" i="3"/>
  <c r="N83" i="3"/>
  <c r="X83" i="3"/>
  <c r="BI10" i="2"/>
  <c r="BE27" i="2"/>
  <c r="BD27" i="2"/>
  <c r="BJ33" i="2"/>
  <c r="BJ10" i="2"/>
  <c r="BD24" i="2"/>
  <c r="AC27" i="2"/>
  <c r="AM29" i="2"/>
  <c r="AI27" i="2"/>
  <c r="BF27" i="2"/>
  <c r="Z27" i="2"/>
  <c r="Q70" i="1"/>
  <c r="R38" i="1"/>
  <c r="AT76" i="1"/>
  <c r="AT71" i="1"/>
  <c r="P70" i="1"/>
  <c r="X37" i="1"/>
  <c r="AG37" i="1"/>
  <c r="AQ37" i="1"/>
  <c r="J68" i="1"/>
  <c r="L73" i="1"/>
  <c r="L74" i="1" s="1"/>
  <c r="AQ73" i="1"/>
  <c r="AQ74" i="1" s="1"/>
  <c r="Q38" i="1"/>
  <c r="M89" i="1"/>
  <c r="M90" i="1" s="1"/>
  <c r="C38" i="1"/>
  <c r="AI70" i="1"/>
  <c r="AG73" i="1"/>
  <c r="Q89" i="1"/>
  <c r="Q90" i="1" s="1"/>
  <c r="Q87" i="1"/>
  <c r="M87" i="1"/>
  <c r="AV90" i="1"/>
  <c r="AZ73" i="1"/>
  <c r="S37" i="1"/>
  <c r="AC38" i="1"/>
  <c r="Y70" i="1"/>
  <c r="N87" i="1"/>
  <c r="AF102" i="1"/>
  <c r="AP102" i="1"/>
  <c r="G102" i="1"/>
  <c r="Z102" i="1"/>
  <c r="AJ102" i="1"/>
  <c r="AT102" i="1"/>
  <c r="R102" i="1"/>
  <c r="AU102" i="1"/>
  <c r="AA102" i="1"/>
  <c r="AK102" i="1"/>
  <c r="AL21" i="5" l="1"/>
  <c r="AL37" i="5"/>
  <c r="AL39" i="5"/>
  <c r="AL41" i="5" s="1"/>
  <c r="W35" i="5"/>
  <c r="N72" i="3"/>
  <c r="AM72" i="3"/>
  <c r="AJ99" i="1"/>
  <c r="K87" i="3"/>
  <c r="G87" i="3"/>
  <c r="E87" i="3"/>
  <c r="S87" i="3"/>
  <c r="AM87" i="3"/>
  <c r="L72" i="3"/>
  <c r="AH87" i="3"/>
  <c r="AB87" i="3"/>
  <c r="AE87" i="3"/>
  <c r="AK71" i="1"/>
  <c r="AK100" i="1" s="1"/>
  <c r="AY100" i="1"/>
  <c r="AP76" i="1"/>
  <c r="V71" i="1"/>
  <c r="AP38" i="1"/>
  <c r="AP100" i="1" s="1"/>
  <c r="AK99" i="1"/>
  <c r="G100" i="1"/>
  <c r="S21" i="5"/>
  <c r="S50" i="5"/>
  <c r="S57" i="5" s="1"/>
  <c r="S59" i="5" s="1"/>
  <c r="L35" i="5"/>
  <c r="L50" i="5" s="1"/>
  <c r="L57" i="5" s="1"/>
  <c r="L59" i="5" s="1"/>
  <c r="C21" i="5"/>
  <c r="AU21" i="5"/>
  <c r="S37" i="5"/>
  <c r="H87" i="3"/>
  <c r="AL87" i="3"/>
  <c r="AQ87" i="3"/>
  <c r="T72" i="3"/>
  <c r="AG87" i="3"/>
  <c r="AR87" i="3"/>
  <c r="AW36" i="3"/>
  <c r="AW88" i="3" s="1"/>
  <c r="J87" i="3"/>
  <c r="U87" i="3"/>
  <c r="AS76" i="1"/>
  <c r="S71" i="1"/>
  <c r="P35" i="5"/>
  <c r="P39" i="5" s="1"/>
  <c r="P41" i="5" s="1"/>
  <c r="AZ21" i="5"/>
  <c r="AO21" i="5"/>
  <c r="AP21" i="5"/>
  <c r="AR21" i="5"/>
  <c r="D35" i="5"/>
  <c r="D39" i="5" s="1"/>
  <c r="D41" i="5" s="1"/>
  <c r="AK21" i="5"/>
  <c r="T35" i="5"/>
  <c r="T50" i="5" s="1"/>
  <c r="T57" i="5" s="1"/>
  <c r="T59" i="5" s="1"/>
  <c r="AE35" i="5"/>
  <c r="AE50" i="5" s="1"/>
  <c r="AE57" i="5" s="1"/>
  <c r="AE59" i="5" s="1"/>
  <c r="R35" i="5"/>
  <c r="R37" i="5" s="1"/>
  <c r="Z72" i="3"/>
  <c r="AE67" i="3"/>
  <c r="AE88" i="3" s="1"/>
  <c r="AE72" i="3"/>
  <c r="N41" i="8"/>
  <c r="AA18" i="8"/>
  <c r="N25" i="8"/>
  <c r="N52" i="8"/>
  <c r="N57" i="8" s="1"/>
  <c r="N59" i="8" s="1"/>
  <c r="M24" i="8"/>
  <c r="M25" i="8" s="1"/>
  <c r="X43" i="8"/>
  <c r="Z99" i="1"/>
  <c r="M70" i="1"/>
  <c r="M71" i="1" s="1"/>
  <c r="R71" i="1"/>
  <c r="R100" i="1" s="1"/>
  <c r="AG35" i="5"/>
  <c r="AG50" i="5" s="1"/>
  <c r="AG57" i="5" s="1"/>
  <c r="AG59" i="5" s="1"/>
  <c r="N21" i="5"/>
  <c r="AM35" i="5"/>
  <c r="AM39" i="5" s="1"/>
  <c r="AM41" i="5" s="1"/>
  <c r="Y21" i="5"/>
  <c r="R99" i="1"/>
  <c r="S24" i="8"/>
  <c r="S40" i="8" s="1"/>
  <c r="E21" i="5"/>
  <c r="AD72" i="3"/>
  <c r="AM36" i="3"/>
  <c r="AM88" i="3" s="1"/>
  <c r="AI67" i="3"/>
  <c r="AI88" i="3" s="1"/>
  <c r="AH67" i="3"/>
  <c r="AH88" i="3" s="1"/>
  <c r="C87" i="3"/>
  <c r="AT99" i="1"/>
  <c r="AD76" i="1"/>
  <c r="G76" i="1"/>
  <c r="G99" i="1"/>
  <c r="E99" i="1"/>
  <c r="E76" i="1"/>
  <c r="AT100" i="1"/>
  <c r="D36" i="16"/>
  <c r="D38" i="16" s="1"/>
  <c r="L87" i="3"/>
  <c r="AF99" i="1"/>
  <c r="P99" i="1"/>
  <c r="S102" i="1"/>
  <c r="AE99" i="1"/>
  <c r="AX67" i="3"/>
  <c r="AS87" i="3"/>
  <c r="AT67" i="3"/>
  <c r="Z87" i="3"/>
  <c r="AC36" i="3"/>
  <c r="AC88" i="3" s="1"/>
  <c r="Y87" i="3"/>
  <c r="AS67" i="3"/>
  <c r="AS88" i="3" s="1"/>
  <c r="N38" i="2"/>
  <c r="N42" i="2" s="1"/>
  <c r="N44" i="2" s="1"/>
  <c r="AF38" i="2"/>
  <c r="AF51" i="2" s="1"/>
  <c r="AF56" i="2" s="1"/>
  <c r="AF59" i="2" s="1"/>
  <c r="AF61" i="2" s="1"/>
  <c r="AQ38" i="2"/>
  <c r="AQ40" i="2" s="1"/>
  <c r="AX25" i="2"/>
  <c r="P25" i="2"/>
  <c r="X38" i="2"/>
  <c r="X51" i="2" s="1"/>
  <c r="X56" i="2" s="1"/>
  <c r="X59" i="2" s="1"/>
  <c r="X61" i="2" s="1"/>
  <c r="D25" i="2"/>
  <c r="BC38" i="2"/>
  <c r="BC42" i="2" s="1"/>
  <c r="AR25" i="2"/>
  <c r="AC38" i="2"/>
  <c r="AC40" i="2" s="1"/>
  <c r="S25" i="2"/>
  <c r="S38" i="2"/>
  <c r="S42" i="2" s="1"/>
  <c r="S44" i="2" s="1"/>
  <c r="H38" i="2"/>
  <c r="H42" i="2" s="1"/>
  <c r="H44" i="2" s="1"/>
  <c r="H25" i="2"/>
  <c r="BA25" i="2"/>
  <c r="I38" i="2"/>
  <c r="I40" i="2" s="1"/>
  <c r="L38" i="2"/>
  <c r="L40" i="2" s="1"/>
  <c r="Z24" i="2"/>
  <c r="Z25" i="2" s="1"/>
  <c r="AI24" i="2"/>
  <c r="AI38" i="2" s="1"/>
  <c r="Q38" i="2"/>
  <c r="Q42" i="2" s="1"/>
  <c r="Q44" i="2" s="1"/>
  <c r="T25" i="2"/>
  <c r="AU51" i="2"/>
  <c r="AU56" i="2" s="1"/>
  <c r="AU59" i="2" s="1"/>
  <c r="AU61" i="2" s="1"/>
  <c r="O38" i="2"/>
  <c r="O40" i="2" s="1"/>
  <c r="AU40" i="2"/>
  <c r="AB38" i="2"/>
  <c r="AB42" i="2" s="1"/>
  <c r="AB44" i="2" s="1"/>
  <c r="AB25" i="2"/>
  <c r="E42" i="2"/>
  <c r="E44" i="2" s="1"/>
  <c r="E40" i="2"/>
  <c r="W38" i="2"/>
  <c r="W40" i="2" s="1"/>
  <c r="AH38" i="2"/>
  <c r="AH40" i="2" s="1"/>
  <c r="C38" i="2"/>
  <c r="C42" i="2" s="1"/>
  <c r="C44" i="2" s="1"/>
  <c r="BE38" i="2"/>
  <c r="BE40" i="2" s="1"/>
  <c r="C70" i="1"/>
  <c r="C71" i="1" s="1"/>
  <c r="C100" i="1" s="1"/>
  <c r="K70" i="1"/>
  <c r="K71" i="1" s="1"/>
  <c r="K100" i="1" s="1"/>
  <c r="H102" i="1"/>
  <c r="AO76" i="1"/>
  <c r="N37" i="1"/>
  <c r="N38" i="1" s="1"/>
  <c r="U35" i="5"/>
  <c r="U50" i="5" s="1"/>
  <c r="U57" i="5" s="1"/>
  <c r="U59" i="5" s="1"/>
  <c r="Z35" i="5"/>
  <c r="Z37" i="5" s="1"/>
  <c r="AU39" i="5"/>
  <c r="AU41" i="5" s="1"/>
  <c r="AU37" i="5"/>
  <c r="AU50" i="5"/>
  <c r="AU57" i="5" s="1"/>
  <c r="AU59" i="5" s="1"/>
  <c r="O35" i="5"/>
  <c r="O37" i="5" s="1"/>
  <c r="AB35" i="5"/>
  <c r="AB39" i="5" s="1"/>
  <c r="AB41" i="5" s="1"/>
  <c r="AK50" i="5"/>
  <c r="AK57" i="5" s="1"/>
  <c r="AK59" i="5" s="1"/>
  <c r="AK37" i="5"/>
  <c r="K35" i="5"/>
  <c r="K39" i="5" s="1"/>
  <c r="K41" i="5" s="1"/>
  <c r="AB46" i="8"/>
  <c r="AA35" i="5"/>
  <c r="AJ67" i="3"/>
  <c r="AJ88" i="3" s="1"/>
  <c r="AI87" i="3"/>
  <c r="N87" i="3"/>
  <c r="AR67" i="3"/>
  <c r="AR88" i="3" s="1"/>
  <c r="AT25" i="2"/>
  <c r="AT38" i="2"/>
  <c r="AT42" i="2" s="1"/>
  <c r="AT44" i="2" s="1"/>
  <c r="E51" i="2"/>
  <c r="E56" i="2" s="1"/>
  <c r="E59" i="2" s="1"/>
  <c r="E65" i="2" s="1"/>
  <c r="E67" i="2" s="1"/>
  <c r="AN38" i="2"/>
  <c r="AN40" i="2" s="1"/>
  <c r="AO38" i="2"/>
  <c r="AO40" i="2" s="1"/>
  <c r="J38" i="2"/>
  <c r="BH25" i="2"/>
  <c r="AV38" i="2"/>
  <c r="AV42" i="2" s="1"/>
  <c r="AV44" i="2" s="1"/>
  <c r="E25" i="2"/>
  <c r="K38" i="2"/>
  <c r="K51" i="2" s="1"/>
  <c r="K56" i="2" s="1"/>
  <c r="K59" i="2" s="1"/>
  <c r="BH38" i="2"/>
  <c r="AH21" i="5"/>
  <c r="AD24" i="2"/>
  <c r="AD25" i="2" s="1"/>
  <c r="V37" i="1"/>
  <c r="V38" i="1" s="1"/>
  <c r="J70" i="1"/>
  <c r="J76" i="1" s="1"/>
  <c r="T71" i="1"/>
  <c r="AV99" i="1"/>
  <c r="F21" i="5"/>
  <c r="BA21" i="5"/>
  <c r="X21" i="5"/>
  <c r="AN87" i="3"/>
  <c r="T88" i="3"/>
  <c r="AN67" i="3"/>
  <c r="AN88" i="3" s="1"/>
  <c r="X87" i="3"/>
  <c r="AD87" i="3"/>
  <c r="T87" i="3"/>
  <c r="AG38" i="2"/>
  <c r="AG42" i="2" s="1"/>
  <c r="AG44" i="2" s="1"/>
  <c r="BJ24" i="2"/>
  <c r="BJ38" i="2" s="1"/>
  <c r="Y24" i="2"/>
  <c r="Y25" i="2" s="1"/>
  <c r="U38" i="2"/>
  <c r="U40" i="2" s="1"/>
  <c r="AU25" i="2"/>
  <c r="AY38" i="2"/>
  <c r="AY40" i="2" s="1"/>
  <c r="AS38" i="2"/>
  <c r="AS42" i="2" s="1"/>
  <c r="AS44" i="2" s="1"/>
  <c r="BF24" i="2"/>
  <c r="BF25" i="2" s="1"/>
  <c r="R25" i="2"/>
  <c r="AZ38" i="2"/>
  <c r="AZ40" i="2" s="1"/>
  <c r="R51" i="2"/>
  <c r="R56" i="2" s="1"/>
  <c r="R59" i="2" s="1"/>
  <c r="R65" i="2" s="1"/>
  <c r="R67" i="2" s="1"/>
  <c r="R40" i="2"/>
  <c r="K25" i="2"/>
  <c r="AE76" i="1"/>
  <c r="AL99" i="1"/>
  <c r="AU100" i="1"/>
  <c r="AJ76" i="1"/>
  <c r="AE71" i="1"/>
  <c r="AE100" i="1" s="1"/>
  <c r="AJ71" i="1"/>
  <c r="AJ100" i="1" s="1"/>
  <c r="AA71" i="1"/>
  <c r="AA99" i="1"/>
  <c r="AN76" i="1"/>
  <c r="AV76" i="1"/>
  <c r="AI99" i="1"/>
  <c r="AO99" i="1"/>
  <c r="T99" i="1"/>
  <c r="L100" i="1"/>
  <c r="AD100" i="1"/>
  <c r="D26" i="13"/>
  <c r="E34" i="16"/>
  <c r="AC35" i="5"/>
  <c r="AB88" i="3"/>
  <c r="AO87" i="3"/>
  <c r="AO67" i="3"/>
  <c r="AO88" i="3" s="1"/>
  <c r="AN72" i="3"/>
  <c r="W87" i="3"/>
  <c r="Q87" i="3"/>
  <c r="AJ87" i="3"/>
  <c r="AX87" i="3"/>
  <c r="AX36" i="3"/>
  <c r="AL100" i="1"/>
  <c r="Z71" i="1"/>
  <c r="Z100" i="1" s="1"/>
  <c r="AS100" i="1"/>
  <c r="V102" i="1"/>
  <c r="E38" i="1"/>
  <c r="E100" i="1" s="1"/>
  <c r="AA38" i="1"/>
  <c r="AA100" i="1" s="1"/>
  <c r="AY99" i="1"/>
  <c r="AL76" i="1"/>
  <c r="AU76" i="1"/>
  <c r="AU99" i="1"/>
  <c r="AS99" i="1"/>
  <c r="AZ99" i="1"/>
  <c r="AY76" i="1"/>
  <c r="AO38" i="1"/>
  <c r="AO100" i="1" s="1"/>
  <c r="AN99" i="1"/>
  <c r="AF71" i="1"/>
  <c r="AF100" i="1" s="1"/>
  <c r="AX76" i="1"/>
  <c r="AF76" i="1"/>
  <c r="T38" i="1"/>
  <c r="AX99" i="1"/>
  <c r="Z76" i="1"/>
  <c r="AZ76" i="1"/>
  <c r="AD99" i="1"/>
  <c r="AC76" i="1"/>
  <c r="AA36" i="8"/>
  <c r="AB36" i="8" s="1"/>
  <c r="Y40" i="8"/>
  <c r="U102" i="1"/>
  <c r="U73" i="1"/>
  <c r="E21" i="12"/>
  <c r="AA38" i="2"/>
  <c r="AA25" i="2"/>
  <c r="AB18" i="8"/>
  <c r="AV74" i="1"/>
  <c r="AV100" i="1" s="1"/>
  <c r="AT21" i="5"/>
  <c r="AW21" i="5"/>
  <c r="AW35" i="5"/>
  <c r="AJ35" i="5"/>
  <c r="AJ21" i="5"/>
  <c r="M87" i="3"/>
  <c r="AG88" i="3"/>
  <c r="AR42" i="2"/>
  <c r="AR44" i="2" s="1"/>
  <c r="AR51" i="2"/>
  <c r="AR56" i="2" s="1"/>
  <c r="AR59" i="2" s="1"/>
  <c r="Q35" i="5"/>
  <c r="Q21" i="5"/>
  <c r="AC99" i="1"/>
  <c r="L99" i="1"/>
  <c r="AC100" i="1"/>
  <c r="AN100" i="1"/>
  <c r="H70" i="1"/>
  <c r="AZ71" i="1"/>
  <c r="AV21" i="5"/>
  <c r="AV35" i="5"/>
  <c r="AV88" i="3"/>
  <c r="R87" i="3"/>
  <c r="U24" i="8"/>
  <c r="U40" i="8" s="1"/>
  <c r="U43" i="8" s="1"/>
  <c r="F24" i="2"/>
  <c r="AE15" i="11"/>
  <c r="W18" i="10"/>
  <c r="V43" i="8"/>
  <c r="V52" i="8"/>
  <c r="V57" i="8" s="1"/>
  <c r="W24" i="8"/>
  <c r="W40" i="8" s="1"/>
  <c r="T43" i="8"/>
  <c r="T52" i="8"/>
  <c r="T57" i="8" s="1"/>
  <c r="Z64" i="8"/>
  <c r="Z92" i="8" s="1"/>
  <c r="Z59" i="8"/>
  <c r="Y52" i="8"/>
  <c r="Y57" i="8" s="1"/>
  <c r="Y43" i="8"/>
  <c r="P40" i="8"/>
  <c r="P43" i="8" s="1"/>
  <c r="Q52" i="8"/>
  <c r="Q57" i="8" s="1"/>
  <c r="Q59" i="8" s="1"/>
  <c r="Q41" i="8"/>
  <c r="Q43" i="8"/>
  <c r="Q44" i="8" s="1"/>
  <c r="AF18" i="11"/>
  <c r="AA27" i="8"/>
  <c r="AB27" i="8" s="1"/>
  <c r="AA10" i="8"/>
  <c r="AB16" i="8"/>
  <c r="N64" i="8"/>
  <c r="N60" i="8"/>
  <c r="AH37" i="5"/>
  <c r="AH39" i="5"/>
  <c r="AH41" i="5" s="1"/>
  <c r="AH50" i="5"/>
  <c r="AH57" i="5" s="1"/>
  <c r="AH59" i="5" s="1"/>
  <c r="AT50" i="5"/>
  <c r="AT37" i="5"/>
  <c r="AT39" i="5"/>
  <c r="BA37" i="5"/>
  <c r="BA39" i="5"/>
  <c r="BA50" i="5"/>
  <c r="AR37" i="5"/>
  <c r="AR50" i="5"/>
  <c r="AR57" i="5" s="1"/>
  <c r="AR59" i="5" s="1"/>
  <c r="AR39" i="5"/>
  <c r="AR41" i="5" s="1"/>
  <c r="X37" i="5"/>
  <c r="X50" i="5"/>
  <c r="X57" i="5" s="1"/>
  <c r="X59" i="5" s="1"/>
  <c r="X39" i="5"/>
  <c r="X41" i="5" s="1"/>
  <c r="AG37" i="5"/>
  <c r="H35" i="5"/>
  <c r="H21" i="5"/>
  <c r="AP37" i="5"/>
  <c r="AP39" i="5"/>
  <c r="AP41" i="5" s="1"/>
  <c r="AP50" i="5"/>
  <c r="AP57" i="5" s="1"/>
  <c r="AP59" i="5" s="1"/>
  <c r="Y37" i="5"/>
  <c r="Y39" i="5"/>
  <c r="Y41" i="5" s="1"/>
  <c r="Y50" i="5"/>
  <c r="Y57" i="5" s="1"/>
  <c r="Y59" i="5" s="1"/>
  <c r="I21" i="5"/>
  <c r="I35" i="5"/>
  <c r="P37" i="5"/>
  <c r="C37" i="5"/>
  <c r="C50" i="5"/>
  <c r="C57" i="5" s="1"/>
  <c r="C73" i="5" s="1"/>
  <c r="C39" i="5"/>
  <c r="C41" i="5" s="1"/>
  <c r="AY21" i="5"/>
  <c r="AY35" i="5"/>
  <c r="J21" i="5"/>
  <c r="J35" i="5"/>
  <c r="AO37" i="5"/>
  <c r="AO50" i="5"/>
  <c r="AO57" i="5" s="1"/>
  <c r="AO59" i="5" s="1"/>
  <c r="AO39" i="5"/>
  <c r="AO41" i="5" s="1"/>
  <c r="E37" i="5"/>
  <c r="E39" i="5"/>
  <c r="E41" i="5" s="1"/>
  <c r="E50" i="5"/>
  <c r="E57" i="5" s="1"/>
  <c r="E59" i="5" s="1"/>
  <c r="W37" i="5"/>
  <c r="W39" i="5"/>
  <c r="W41" i="5" s="1"/>
  <c r="W50" i="5"/>
  <c r="W57" i="5" s="1"/>
  <c r="W59" i="5" s="1"/>
  <c r="AF37" i="5"/>
  <c r="AF39" i="5"/>
  <c r="AF41" i="5" s="1"/>
  <c r="AF50" i="5"/>
  <c r="AF57" i="5" s="1"/>
  <c r="AF59" i="5" s="1"/>
  <c r="N37" i="5"/>
  <c r="N39" i="5"/>
  <c r="N41" i="5" s="1"/>
  <c r="N50" i="5"/>
  <c r="N57" i="5" s="1"/>
  <c r="N59" i="5" s="1"/>
  <c r="AZ37" i="5"/>
  <c r="AZ39" i="5"/>
  <c r="AZ41" i="5" s="1"/>
  <c r="AZ50" i="5"/>
  <c r="AZ57" i="5" s="1"/>
  <c r="AZ59" i="5" s="1"/>
  <c r="AQ37" i="5"/>
  <c r="AQ50" i="5"/>
  <c r="AQ57" i="5" s="1"/>
  <c r="AQ59" i="5" s="1"/>
  <c r="AQ39" i="5"/>
  <c r="AQ41" i="5" s="1"/>
  <c r="F37" i="5"/>
  <c r="F39" i="5"/>
  <c r="F41" i="5" s="1"/>
  <c r="F50" i="5"/>
  <c r="F57" i="5" s="1"/>
  <c r="F59" i="5" s="1"/>
  <c r="F87" i="3"/>
  <c r="K72" i="3"/>
  <c r="Z88" i="3"/>
  <c r="AL88" i="3"/>
  <c r="AT36" i="3"/>
  <c r="AT87" i="3"/>
  <c r="AD88" i="3"/>
  <c r="AQ88" i="3"/>
  <c r="P42" i="2"/>
  <c r="P44" i="2" s="1"/>
  <c r="P40" i="2"/>
  <c r="P51" i="2"/>
  <c r="P56" i="2" s="1"/>
  <c r="P59" i="2" s="1"/>
  <c r="AK25" i="2"/>
  <c r="AK38" i="2"/>
  <c r="BD38" i="2"/>
  <c r="BD25" i="2"/>
  <c r="AX51" i="2"/>
  <c r="AX56" i="2" s="1"/>
  <c r="AX59" i="2" s="1"/>
  <c r="AX40" i="2"/>
  <c r="AX42" i="2"/>
  <c r="AX44" i="2" s="1"/>
  <c r="T51" i="2"/>
  <c r="T56" i="2" s="1"/>
  <c r="T59" i="2" s="1"/>
  <c r="T42" i="2"/>
  <c r="T44" i="2" s="1"/>
  <c r="T40" i="2"/>
  <c r="D51" i="2"/>
  <c r="D56" i="2" s="1"/>
  <c r="D59" i="2" s="1"/>
  <c r="D42" i="2"/>
  <c r="D44" i="2" s="1"/>
  <c r="D40" i="2"/>
  <c r="AJ38" i="2"/>
  <c r="AJ25" i="2"/>
  <c r="BA42" i="2"/>
  <c r="BA44" i="2" s="1"/>
  <c r="BA40" i="2"/>
  <c r="BA51" i="2"/>
  <c r="BA56" i="2" s="1"/>
  <c r="BA59" i="2" s="1"/>
  <c r="BI24" i="2"/>
  <c r="AG74" i="1"/>
  <c r="AG76" i="1"/>
  <c r="AQ99" i="1"/>
  <c r="AQ38" i="1"/>
  <c r="AQ100" i="1" s="1"/>
  <c r="AX100" i="1"/>
  <c r="Y76" i="1"/>
  <c r="Y71" i="1"/>
  <c r="Y100" i="1" s="1"/>
  <c r="F76" i="1"/>
  <c r="F71" i="1"/>
  <c r="F100" i="1" s="1"/>
  <c r="Q71" i="1"/>
  <c r="AQ76" i="1"/>
  <c r="AI76" i="1"/>
  <c r="AI71" i="1"/>
  <c r="AI100" i="1" s="1"/>
  <c r="AG99" i="1"/>
  <c r="AG38" i="1"/>
  <c r="L76" i="1"/>
  <c r="M73" i="1"/>
  <c r="M102" i="1"/>
  <c r="Y99" i="1"/>
  <c r="N102" i="1"/>
  <c r="N73" i="1"/>
  <c r="Q73" i="1"/>
  <c r="Q74" i="1" s="1"/>
  <c r="Q102" i="1"/>
  <c r="S38" i="1"/>
  <c r="S99" i="1"/>
  <c r="X99" i="1"/>
  <c r="X38" i="1"/>
  <c r="X100" i="1" s="1"/>
  <c r="AZ74" i="1"/>
  <c r="F99" i="1"/>
  <c r="P76" i="1"/>
  <c r="P71" i="1"/>
  <c r="P100" i="1" s="1"/>
  <c r="L37" i="5" l="1"/>
  <c r="L39" i="5"/>
  <c r="L41" i="5" s="1"/>
  <c r="U52" i="8"/>
  <c r="U57" i="8" s="1"/>
  <c r="U59" i="8" s="1"/>
  <c r="U64" i="8" s="1"/>
  <c r="U93" i="8" s="1"/>
  <c r="P50" i="5"/>
  <c r="P57" i="5" s="1"/>
  <c r="P59" i="5" s="1"/>
  <c r="AG39" i="5"/>
  <c r="AG41" i="5" s="1"/>
  <c r="AX88" i="3"/>
  <c r="V100" i="1"/>
  <c r="S100" i="1"/>
  <c r="AB50" i="5"/>
  <c r="AB57" i="5" s="1"/>
  <c r="AB59" i="5" s="1"/>
  <c r="D50" i="5"/>
  <c r="D57" i="5" s="1"/>
  <c r="D73" i="5" s="1"/>
  <c r="AB37" i="5"/>
  <c r="D37" i="5"/>
  <c r="U37" i="5"/>
  <c r="T100" i="1"/>
  <c r="J99" i="1"/>
  <c r="K76" i="1"/>
  <c r="J71" i="1"/>
  <c r="J100" i="1" s="1"/>
  <c r="T39" i="5"/>
  <c r="T41" i="5" s="1"/>
  <c r="T37" i="5"/>
  <c r="AE37" i="5"/>
  <c r="AE39" i="5"/>
  <c r="AE41" i="5" s="1"/>
  <c r="AM37" i="5"/>
  <c r="AM50" i="5"/>
  <c r="AM57" i="5" s="1"/>
  <c r="AM59" i="5" s="1"/>
  <c r="R50" i="5"/>
  <c r="R57" i="5" s="1"/>
  <c r="R59" i="5" s="1"/>
  <c r="R39" i="5"/>
  <c r="R41" i="5" s="1"/>
  <c r="O50" i="5"/>
  <c r="O57" i="5" s="1"/>
  <c r="O59" i="5" s="1"/>
  <c r="O39" i="5"/>
  <c r="O41" i="5" s="1"/>
  <c r="AC42" i="2"/>
  <c r="AC44" i="2" s="1"/>
  <c r="AF65" i="2"/>
  <c r="AF67" i="2" s="1"/>
  <c r="AA35" i="8"/>
  <c r="AB35" i="8" s="1"/>
  <c r="C99" i="1"/>
  <c r="C76" i="1"/>
  <c r="E36" i="16"/>
  <c r="K37" i="5"/>
  <c r="U39" i="5"/>
  <c r="U41" i="5" s="1"/>
  <c r="AQ42" i="2"/>
  <c r="AQ44" i="2" s="1"/>
  <c r="AQ51" i="2"/>
  <c r="AQ56" i="2" s="1"/>
  <c r="AQ59" i="2" s="1"/>
  <c r="AQ65" i="2" s="1"/>
  <c r="AQ67" i="2" s="1"/>
  <c r="BH51" i="2"/>
  <c r="BH56" i="2" s="1"/>
  <c r="K99" i="1"/>
  <c r="AF42" i="2"/>
  <c r="AF44" i="2" s="1"/>
  <c r="Q51" i="2"/>
  <c r="Q56" i="2" s="1"/>
  <c r="Q59" i="2" s="1"/>
  <c r="Q61" i="2" s="1"/>
  <c r="AI25" i="2"/>
  <c r="AD38" i="2"/>
  <c r="AD51" i="2" s="1"/>
  <c r="AD56" i="2" s="1"/>
  <c r="AD59" i="2" s="1"/>
  <c r="C51" i="2"/>
  <c r="C56" i="2" s="1"/>
  <c r="C59" i="2" s="1"/>
  <c r="C65" i="2" s="1"/>
  <c r="W51" i="2"/>
  <c r="W56" i="2" s="1"/>
  <c r="W59" i="2" s="1"/>
  <c r="W65" i="2" s="1"/>
  <c r="W67" i="2" s="1"/>
  <c r="W42" i="2"/>
  <c r="W44" i="2" s="1"/>
  <c r="AG40" i="2"/>
  <c r="Q40" i="2"/>
  <c r="BJ25" i="2"/>
  <c r="AZ42" i="2"/>
  <c r="AZ44" i="2" s="1"/>
  <c r="AZ51" i="2"/>
  <c r="AZ56" i="2" s="1"/>
  <c r="AZ59" i="2" s="1"/>
  <c r="AZ65" i="2" s="1"/>
  <c r="AZ67" i="2" s="1"/>
  <c r="N40" i="2"/>
  <c r="S51" i="2"/>
  <c r="S56" i="2" s="1"/>
  <c r="S59" i="2" s="1"/>
  <c r="S65" i="2" s="1"/>
  <c r="S67" i="2" s="1"/>
  <c r="N51" i="2"/>
  <c r="N56" i="2" s="1"/>
  <c r="N59" i="2" s="1"/>
  <c r="N65" i="2" s="1"/>
  <c r="N67" i="2" s="1"/>
  <c r="S40" i="2"/>
  <c r="C40" i="2"/>
  <c r="I42" i="2"/>
  <c r="I44" i="2" s="1"/>
  <c r="BC51" i="2"/>
  <c r="BC56" i="2" s="1"/>
  <c r="I51" i="2"/>
  <c r="I56" i="2" s="1"/>
  <c r="I59" i="2" s="1"/>
  <c r="I65" i="2" s="1"/>
  <c r="I67" i="2" s="1"/>
  <c r="BC40" i="2"/>
  <c r="AF40" i="2"/>
  <c r="AC51" i="2"/>
  <c r="AC56" i="2" s="1"/>
  <c r="AC59" i="2" s="1"/>
  <c r="AC65" i="2" s="1"/>
  <c r="AC67" i="2" s="1"/>
  <c r="L42" i="2"/>
  <c r="L44" i="2" s="1"/>
  <c r="BE51" i="2"/>
  <c r="BE56" i="2" s="1"/>
  <c r="BE59" i="2" s="1"/>
  <c r="BE65" i="2" s="1"/>
  <c r="BE67" i="2" s="1"/>
  <c r="AG51" i="2"/>
  <c r="AG56" i="2" s="1"/>
  <c r="AG59" i="2" s="1"/>
  <c r="AG65" i="2" s="1"/>
  <c r="AG67" i="2" s="1"/>
  <c r="O51" i="2"/>
  <c r="O56" i="2" s="1"/>
  <c r="O59" i="2" s="1"/>
  <c r="O61" i="2" s="1"/>
  <c r="AO51" i="2"/>
  <c r="AO56" i="2" s="1"/>
  <c r="AO59" i="2" s="1"/>
  <c r="AO65" i="2" s="1"/>
  <c r="AO67" i="2" s="1"/>
  <c r="X42" i="2"/>
  <c r="X44" i="2" s="1"/>
  <c r="X40" i="2"/>
  <c r="AH51" i="2"/>
  <c r="AH56" i="2" s="1"/>
  <c r="AH59" i="2" s="1"/>
  <c r="AH61" i="2" s="1"/>
  <c r="H51" i="2"/>
  <c r="H56" i="2" s="1"/>
  <c r="H59" i="2" s="1"/>
  <c r="H61" i="2" s="1"/>
  <c r="AH42" i="2"/>
  <c r="AH44" i="2" s="1"/>
  <c r="BH42" i="2"/>
  <c r="AN42" i="2"/>
  <c r="AN44" i="2" s="1"/>
  <c r="BH40" i="2"/>
  <c r="H40" i="2"/>
  <c r="K40" i="2"/>
  <c r="AN51" i="2"/>
  <c r="AN56" i="2" s="1"/>
  <c r="AN59" i="2" s="1"/>
  <c r="AN61" i="2" s="1"/>
  <c r="AU65" i="2"/>
  <c r="AU67" i="2" s="1"/>
  <c r="K42" i="2"/>
  <c r="K44" i="2" s="1"/>
  <c r="Y38" i="2"/>
  <c r="Y42" i="2" s="1"/>
  <c r="Y44" i="2" s="1"/>
  <c r="BE42" i="2"/>
  <c r="BE44" i="2" s="1"/>
  <c r="L51" i="2"/>
  <c r="L56" i="2" s="1"/>
  <c r="L59" i="2" s="1"/>
  <c r="L65" i="2" s="1"/>
  <c r="L67" i="2" s="1"/>
  <c r="Z38" i="2"/>
  <c r="Z51" i="2" s="1"/>
  <c r="Z56" i="2" s="1"/>
  <c r="Z59" i="2" s="1"/>
  <c r="O42" i="2"/>
  <c r="O44" i="2" s="1"/>
  <c r="AB51" i="2"/>
  <c r="AB56" i="2" s="1"/>
  <c r="AB59" i="2" s="1"/>
  <c r="AB65" i="2" s="1"/>
  <c r="AB67" i="2" s="1"/>
  <c r="AB40" i="2"/>
  <c r="U42" i="2"/>
  <c r="U44" i="2" s="1"/>
  <c r="AV51" i="2"/>
  <c r="AV56" i="2" s="1"/>
  <c r="AV59" i="2" s="1"/>
  <c r="AV61" i="2" s="1"/>
  <c r="U51" i="2"/>
  <c r="U56" i="2" s="1"/>
  <c r="U59" i="2" s="1"/>
  <c r="U61" i="2" s="1"/>
  <c r="AV40" i="2"/>
  <c r="AT51" i="2"/>
  <c r="AT56" i="2" s="1"/>
  <c r="AT59" i="2" s="1"/>
  <c r="AT61" i="2" s="1"/>
  <c r="AT40" i="2"/>
  <c r="E61" i="2"/>
  <c r="V99" i="1"/>
  <c r="Z50" i="5"/>
  <c r="Z57" i="5" s="1"/>
  <c r="Z59" i="5" s="1"/>
  <c r="Z39" i="5"/>
  <c r="Z41" i="5" s="1"/>
  <c r="K50" i="5"/>
  <c r="K57" i="5" s="1"/>
  <c r="K59" i="5" s="1"/>
  <c r="BA41" i="5"/>
  <c r="BA57" i="5"/>
  <c r="AA39" i="5"/>
  <c r="AA41" i="5" s="1"/>
  <c r="AA37" i="5"/>
  <c r="AA50" i="5"/>
  <c r="AA57" i="5" s="1"/>
  <c r="AA59" i="5" s="1"/>
  <c r="R61" i="2"/>
  <c r="AO42" i="2"/>
  <c r="AO44" i="2" s="1"/>
  <c r="X65" i="2"/>
  <c r="X67" i="2" s="1"/>
  <c r="J51" i="2"/>
  <c r="J56" i="2" s="1"/>
  <c r="J59" i="2" s="1"/>
  <c r="J40" i="2"/>
  <c r="J42" i="2"/>
  <c r="J44" i="2" s="1"/>
  <c r="AS51" i="2"/>
  <c r="AS56" i="2" s="1"/>
  <c r="AS59" i="2" s="1"/>
  <c r="AS65" i="2" s="1"/>
  <c r="AS67" i="2" s="1"/>
  <c r="AS40" i="2"/>
  <c r="AY42" i="2"/>
  <c r="AY44" i="2" s="1"/>
  <c r="AY51" i="2"/>
  <c r="AY56" i="2" s="1"/>
  <c r="AY59" i="2" s="1"/>
  <c r="AY65" i="2" s="1"/>
  <c r="AY67" i="2" s="1"/>
  <c r="BF38" i="2"/>
  <c r="AC39" i="5"/>
  <c r="AC41" i="5" s="1"/>
  <c r="AC50" i="5"/>
  <c r="AC57" i="5" s="1"/>
  <c r="AC59" i="5" s="1"/>
  <c r="AC37" i="5"/>
  <c r="AJ50" i="5"/>
  <c r="AJ57" i="5" s="1"/>
  <c r="AJ59" i="5" s="1"/>
  <c r="AJ37" i="5"/>
  <c r="AJ39" i="5"/>
  <c r="AJ41" i="5" s="1"/>
  <c r="U74" i="1"/>
  <c r="U100" i="1" s="1"/>
  <c r="U99" i="1"/>
  <c r="U76" i="1"/>
  <c r="Q39" i="5"/>
  <c r="Q41" i="5" s="1"/>
  <c r="Q37" i="5"/>
  <c r="Q50" i="5"/>
  <c r="Q57" i="5" s="1"/>
  <c r="Q59" i="5" s="1"/>
  <c r="AV37" i="5"/>
  <c r="AV50" i="5"/>
  <c r="AV57" i="5" s="1"/>
  <c r="AV59" i="5" s="1"/>
  <c r="AV39" i="5"/>
  <c r="AV41" i="5" s="1"/>
  <c r="AR65" i="2"/>
  <c r="AR67" i="2" s="1"/>
  <c r="AR61" i="2"/>
  <c r="H71" i="1"/>
  <c r="H100" i="1" s="1"/>
  <c r="H99" i="1"/>
  <c r="H76" i="1"/>
  <c r="AA42" i="2"/>
  <c r="AA44" i="2" s="1"/>
  <c r="AA51" i="2"/>
  <c r="AA56" i="2" s="1"/>
  <c r="AA59" i="2" s="1"/>
  <c r="AA40" i="2"/>
  <c r="AW39" i="5"/>
  <c r="AW41" i="5" s="1"/>
  <c r="AW37" i="5"/>
  <c r="AW50" i="5"/>
  <c r="AW57" i="5" s="1"/>
  <c r="AW59" i="5" s="1"/>
  <c r="AG100" i="1"/>
  <c r="Q100" i="1"/>
  <c r="Q76" i="1"/>
  <c r="F25" i="2"/>
  <c r="F38" i="2"/>
  <c r="AE18" i="11"/>
  <c r="M40" i="8"/>
  <c r="W19" i="10"/>
  <c r="W32" i="10"/>
  <c r="Q82" i="10"/>
  <c r="U82" i="10"/>
  <c r="Q64" i="8"/>
  <c r="Q65" i="8" s="1"/>
  <c r="Q60" i="8"/>
  <c r="Y64" i="8"/>
  <c r="Y92" i="8" s="1"/>
  <c r="Y59" i="8"/>
  <c r="W43" i="8"/>
  <c r="W52" i="8"/>
  <c r="W57" i="8" s="1"/>
  <c r="AA24" i="8"/>
  <c r="AB10" i="8"/>
  <c r="P52" i="8"/>
  <c r="T64" i="8"/>
  <c r="T93" i="8" s="1"/>
  <c r="T59" i="8"/>
  <c r="V64" i="8"/>
  <c r="V93" i="8" s="1"/>
  <c r="V59" i="8"/>
  <c r="N65" i="8"/>
  <c r="N93" i="8"/>
  <c r="S52" i="8"/>
  <c r="S43" i="8"/>
  <c r="H50" i="5"/>
  <c r="H57" i="5" s="1"/>
  <c r="H59" i="5" s="1"/>
  <c r="H37" i="5"/>
  <c r="H39" i="5"/>
  <c r="H41" i="5" s="1"/>
  <c r="AT57" i="5"/>
  <c r="J50" i="5"/>
  <c r="J57" i="5" s="1"/>
  <c r="J59" i="5" s="1"/>
  <c r="J39" i="5"/>
  <c r="J41" i="5" s="1"/>
  <c r="J37" i="5"/>
  <c r="C59" i="5"/>
  <c r="I50" i="5"/>
  <c r="I57" i="5" s="1"/>
  <c r="I59" i="5" s="1"/>
  <c r="I39" i="5"/>
  <c r="I41" i="5" s="1"/>
  <c r="I37" i="5"/>
  <c r="AT41" i="5"/>
  <c r="AY50" i="5"/>
  <c r="AY39" i="5"/>
  <c r="AY37" i="5"/>
  <c r="AT88" i="3"/>
  <c r="BA61" i="2"/>
  <c r="BA65" i="2"/>
  <c r="BA67" i="2" s="1"/>
  <c r="AK42" i="2"/>
  <c r="AK44" i="2" s="1"/>
  <c r="AK40" i="2"/>
  <c r="AK51" i="2"/>
  <c r="AK56" i="2" s="1"/>
  <c r="AK59" i="2" s="1"/>
  <c r="BJ51" i="2"/>
  <c r="BJ42" i="2"/>
  <c r="BJ40" i="2"/>
  <c r="AX61" i="2"/>
  <c r="AX65" i="2"/>
  <c r="AX67" i="2" s="1"/>
  <c r="P65" i="2"/>
  <c r="P67" i="2" s="1"/>
  <c r="P61" i="2"/>
  <c r="BC44" i="2"/>
  <c r="T61" i="2"/>
  <c r="T65" i="2"/>
  <c r="T67" i="2" s="1"/>
  <c r="AJ40" i="2"/>
  <c r="AJ51" i="2"/>
  <c r="AJ56" i="2" s="1"/>
  <c r="AJ59" i="2" s="1"/>
  <c r="AJ42" i="2"/>
  <c r="AJ44" i="2" s="1"/>
  <c r="K65" i="2"/>
  <c r="K67" i="2" s="1"/>
  <c r="K61" i="2"/>
  <c r="AI42" i="2"/>
  <c r="AI44" i="2" s="1"/>
  <c r="AI40" i="2"/>
  <c r="AI51" i="2"/>
  <c r="AI56" i="2" s="1"/>
  <c r="AI59" i="2" s="1"/>
  <c r="BI25" i="2"/>
  <c r="BI38" i="2"/>
  <c r="D61" i="2"/>
  <c r="D65" i="2"/>
  <c r="BD42" i="2"/>
  <c r="BD44" i="2" s="1"/>
  <c r="BD40" i="2"/>
  <c r="BD51" i="2"/>
  <c r="BD56" i="2" s="1"/>
  <c r="BD59" i="2" s="1"/>
  <c r="M74" i="1"/>
  <c r="M100" i="1" s="1"/>
  <c r="M99" i="1"/>
  <c r="M76" i="1"/>
  <c r="N74" i="1"/>
  <c r="N100" i="1" s="1"/>
  <c r="N76" i="1"/>
  <c r="N99" i="1"/>
  <c r="Q99" i="1"/>
  <c r="AZ100" i="1"/>
  <c r="D76" i="5" l="1"/>
  <c r="D59" i="5"/>
  <c r="AQ61" i="2"/>
  <c r="BH44" i="2"/>
  <c r="AD42" i="2"/>
  <c r="AD44" i="2" s="1"/>
  <c r="AD40" i="2"/>
  <c r="AG61" i="2"/>
  <c r="AV65" i="2"/>
  <c r="AV67" i="2" s="1"/>
  <c r="BE61" i="2"/>
  <c r="Q65" i="2"/>
  <c r="Q67" i="2" s="1"/>
  <c r="N61" i="2"/>
  <c r="C61" i="2"/>
  <c r="W61" i="2"/>
  <c r="Z40" i="2"/>
  <c r="AZ61" i="2"/>
  <c r="S61" i="2"/>
  <c r="AO61" i="2"/>
  <c r="I61" i="2"/>
  <c r="L61" i="2"/>
  <c r="Y51" i="2"/>
  <c r="Y56" i="2" s="1"/>
  <c r="Y59" i="2" s="1"/>
  <c r="Y61" i="2" s="1"/>
  <c r="Y40" i="2"/>
  <c r="AY61" i="2"/>
  <c r="AC61" i="2"/>
  <c r="AT65" i="2"/>
  <c r="AT67" i="2" s="1"/>
  <c r="AH65" i="2"/>
  <c r="AH67" i="2" s="1"/>
  <c r="AB61" i="2"/>
  <c r="Z42" i="2"/>
  <c r="Z44" i="2" s="1"/>
  <c r="H65" i="2"/>
  <c r="H67" i="2" s="1"/>
  <c r="O65" i="2"/>
  <c r="O67" i="2" s="1"/>
  <c r="U65" i="2"/>
  <c r="U67" i="2" s="1"/>
  <c r="AN65" i="2"/>
  <c r="AN67" i="2" s="1"/>
  <c r="AS61" i="2"/>
  <c r="BJ44" i="2"/>
  <c r="BJ56" i="2"/>
  <c r="BJ59" i="2" s="1"/>
  <c r="BA59" i="5"/>
  <c r="J61" i="2"/>
  <c r="J65" i="2"/>
  <c r="J67" i="2" s="1"/>
  <c r="BF42" i="2"/>
  <c r="BF44" i="2" s="1"/>
  <c r="BF40" i="2"/>
  <c r="BF51" i="2"/>
  <c r="BF56" i="2" s="1"/>
  <c r="BF59" i="2" s="1"/>
  <c r="F40" i="2"/>
  <c r="F51" i="2"/>
  <c r="F56" i="2" s="1"/>
  <c r="F59" i="2" s="1"/>
  <c r="F42" i="2"/>
  <c r="F44" i="2" s="1"/>
  <c r="AA65" i="2"/>
  <c r="AA67" i="2" s="1"/>
  <c r="AA61" i="2"/>
  <c r="AF21" i="11"/>
  <c r="M52" i="8"/>
  <c r="M43" i="8"/>
  <c r="M44" i="8" s="1"/>
  <c r="M41" i="8"/>
  <c r="AE21" i="11"/>
  <c r="W34" i="10"/>
  <c r="W36" i="10"/>
  <c r="W53" i="10"/>
  <c r="AA40" i="8"/>
  <c r="AB24" i="8"/>
  <c r="S57" i="8"/>
  <c r="W59" i="8"/>
  <c r="W64" i="8"/>
  <c r="W93" i="8" s="1"/>
  <c r="P57" i="8"/>
  <c r="AT59" i="5"/>
  <c r="AY41" i="5"/>
  <c r="AY57" i="5"/>
  <c r="BC59" i="2"/>
  <c r="Z61" i="2"/>
  <c r="Z65" i="2"/>
  <c r="Z67" i="2" s="1"/>
  <c r="AD65" i="2"/>
  <c r="AD67" i="2" s="1"/>
  <c r="AD61" i="2"/>
  <c r="C67" i="2"/>
  <c r="C70" i="2"/>
  <c r="BI40" i="2"/>
  <c r="BI42" i="2"/>
  <c r="BI51" i="2"/>
  <c r="BH59" i="2"/>
  <c r="AK65" i="2"/>
  <c r="AK67" i="2" s="1"/>
  <c r="AK61" i="2"/>
  <c r="BD61" i="2"/>
  <c r="BD65" i="2"/>
  <c r="BD67" i="2" s="1"/>
  <c r="D70" i="2"/>
  <c r="D67" i="2"/>
  <c r="AI61" i="2"/>
  <c r="AI65" i="2"/>
  <c r="AI67" i="2" s="1"/>
  <c r="AJ61" i="2"/>
  <c r="AJ65" i="2"/>
  <c r="AJ67" i="2" s="1"/>
  <c r="Y65" i="2" l="1"/>
  <c r="Y67" i="2" s="1"/>
  <c r="BJ65" i="2"/>
  <c r="BJ61" i="2"/>
  <c r="BF65" i="2"/>
  <c r="BF67" i="2" s="1"/>
  <c r="BF61" i="2"/>
  <c r="F65" i="2"/>
  <c r="F67" i="2" s="1"/>
  <c r="F61" i="2"/>
  <c r="M57" i="8"/>
  <c r="S82" i="10"/>
  <c r="W42" i="10"/>
  <c r="W59" i="10"/>
  <c r="W61" i="10"/>
  <c r="W38" i="10"/>
  <c r="P59" i="8"/>
  <c r="S59" i="8"/>
  <c r="AA52" i="8"/>
  <c r="AA43" i="8"/>
  <c r="AB43" i="8" s="1"/>
  <c r="AB40" i="8"/>
  <c r="AY59" i="5"/>
  <c r="BH61" i="2"/>
  <c r="BH65" i="2"/>
  <c r="BC65" i="2"/>
  <c r="BC61" i="2"/>
  <c r="BI56" i="2"/>
  <c r="BI44" i="2"/>
  <c r="BJ67" i="2" l="1"/>
  <c r="M59" i="8"/>
  <c r="M60" i="8" s="1"/>
  <c r="O82" i="10"/>
  <c r="W44" i="10"/>
  <c r="P64" i="8"/>
  <c r="AA57" i="8"/>
  <c r="AB52" i="8"/>
  <c r="S64" i="8"/>
  <c r="BC67" i="2"/>
  <c r="BI59" i="2"/>
  <c r="BH67" i="2"/>
  <c r="M64" i="8" l="1"/>
  <c r="AA64" i="8"/>
  <c r="AA92" i="8" s="1"/>
  <c r="AA59" i="8"/>
  <c r="AB59" i="8" s="1"/>
  <c r="AB57" i="8"/>
  <c r="P65" i="8"/>
  <c r="P93" i="8"/>
  <c r="S92" i="8"/>
  <c r="S93" i="8" s="1"/>
  <c r="BI65" i="2"/>
  <c r="BI61" i="2"/>
  <c r="AB64" i="8" l="1"/>
  <c r="M93" i="8"/>
  <c r="M65" i="8"/>
  <c r="AB92" i="8"/>
  <c r="BI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Elena Moreno</author>
  </authors>
  <commentList>
    <comment ref="B25" authorId="0" shapeId="0" xr:uid="{BB79EE5E-2D5F-4BA1-A358-514619672D07}">
      <text>
        <r>
          <rPr>
            <b/>
            <sz val="9"/>
            <color indexed="81"/>
            <rFont val="Tahoma"/>
            <family val="2"/>
          </rPr>
          <t>María Elena Moreno:</t>
        </r>
        <r>
          <rPr>
            <sz val="9"/>
            <color indexed="81"/>
            <rFont val="Tahoma"/>
            <family val="2"/>
          </rPr>
          <t xml:space="preserve">
intangibles + crédito mercantil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Elena Moreno</author>
    <author>Juan Aristizabal</author>
  </authors>
  <commentList>
    <comment ref="B62" authorId="0" shapeId="0" xr:uid="{44E63462-6F41-4224-80E2-30B3FCEE34BF}">
      <text>
        <r>
          <rPr>
            <b/>
            <sz val="9"/>
            <color indexed="81"/>
            <rFont val="Tahoma"/>
            <family val="2"/>
          </rPr>
          <t>María Elena Moreno:</t>
        </r>
        <r>
          <rPr>
            <sz val="9"/>
            <color indexed="81"/>
            <rFont val="Tahoma"/>
            <family val="2"/>
          </rPr>
          <t xml:space="preserve">
incluye otros pasivos no fros</t>
        </r>
      </text>
    </comment>
    <comment ref="BK77" authorId="1" shapeId="0" xr:uid="{CE091391-0ADF-4E9D-BFC4-224CBECE5F5D}">
      <text>
        <r>
          <rPr>
            <b/>
            <sz val="9"/>
            <color indexed="81"/>
            <rFont val="Tahoma"/>
            <family val="2"/>
          </rPr>
          <t>Otro Resultado Integral:</t>
        </r>
        <r>
          <rPr>
            <sz val="9"/>
            <color indexed="81"/>
            <rFont val="Tahoma"/>
            <family val="2"/>
          </rPr>
          <t xml:space="preserve">
MPP dif cam x conversión de negocios en el extranjero
Ganancias y pérdidas de inversiones patrimoniales
Otros componentes del ORI</t>
        </r>
      </text>
    </comment>
    <comment ref="BL77" authorId="1" shapeId="0" xr:uid="{987887D5-C2A5-4EDA-9514-FD912C3C2A3D}">
      <text>
        <r>
          <rPr>
            <b/>
            <sz val="9"/>
            <color indexed="81"/>
            <rFont val="Tahoma"/>
            <family val="2"/>
          </rPr>
          <t>Otro Resultado Integral:</t>
        </r>
        <r>
          <rPr>
            <sz val="9"/>
            <color indexed="81"/>
            <rFont val="Tahoma"/>
            <family val="2"/>
          </rPr>
          <t xml:space="preserve">
MPP dif cam x conversión de negocios en el extranjero
Ganancias y pérdidas de inversiones patrimoniales
Otros componentes del ORI</t>
        </r>
      </text>
    </comment>
    <comment ref="BM77" authorId="1" shapeId="0" xr:uid="{8E87806C-D1F3-482F-8668-7EA5753AC9D6}">
      <text>
        <r>
          <rPr>
            <b/>
            <sz val="9"/>
            <color indexed="81"/>
            <rFont val="Tahoma"/>
            <family val="2"/>
          </rPr>
          <t>Otro Resultado Integral:</t>
        </r>
        <r>
          <rPr>
            <sz val="9"/>
            <color indexed="81"/>
            <rFont val="Tahoma"/>
            <family val="2"/>
          </rPr>
          <t xml:space="preserve">
MPP dif cam x conversión de negocios en el extranjero
Ganancias y pérdidas de inversiones patrimoniales
Otros componentes del ORI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Elena Moreno</author>
  </authors>
  <commentList>
    <comment ref="C8" authorId="0" shapeId="0" xr:uid="{A42C25A7-9C18-4CE3-AF4D-F35366C27A73}">
      <text>
        <r>
          <rPr>
            <sz val="10"/>
            <color indexed="81"/>
            <rFont val="Arial  "/>
          </rPr>
          <t xml:space="preserve">
Incluye::
Efectivo de uso restringido:
Odinsa: $29.986 
Cementos: $2.885
Celsia: $60.224
Equivalentes de efectivo uso restringido:
Celsia: $34.844
</t>
        </r>
      </text>
    </comment>
    <comment ref="E8" authorId="0" shapeId="0" xr:uid="{B87CBB0A-4BBC-4535-A34D-89286F0FD5A8}">
      <text>
        <r>
          <rPr>
            <sz val="10"/>
            <color indexed="81"/>
            <rFont val="Arial  "/>
          </rPr>
          <t xml:space="preserve">
Incluye::
Efectivo de uso restringido:
Odinsa: $18.903 
Cementos: $2.727  
Equivalentes de efectivo uso restringido:
Celsia: $21.691
</t>
        </r>
      </text>
    </comment>
    <comment ref="B11" authorId="0" shapeId="0" xr:uid="{5F725917-4722-4128-BB0E-56EF28394F40}">
      <text>
        <r>
          <rPr>
            <b/>
            <sz val="9"/>
            <color indexed="81"/>
            <rFont val="Tahoma"/>
            <family val="2"/>
          </rPr>
          <t>María Elena Moreno:</t>
        </r>
        <r>
          <rPr>
            <sz val="9"/>
            <color indexed="81"/>
            <rFont val="Tahoma"/>
            <family val="2"/>
          </rPr>
          <t xml:space="preserve">
se incluyen activos por impuestos corrientes relacionados con el impto. renta</t>
        </r>
      </text>
    </comment>
    <comment ref="B23" authorId="0" shapeId="0" xr:uid="{1F41329F-65FD-4442-AB16-5F2C495A6931}">
      <text>
        <r>
          <rPr>
            <b/>
            <sz val="9"/>
            <color indexed="81"/>
            <rFont val="Tahoma"/>
            <family val="2"/>
          </rPr>
          <t>María Elena Moreno:</t>
        </r>
        <r>
          <rPr>
            <sz val="9"/>
            <color indexed="81"/>
            <rFont val="Tahoma"/>
            <family val="2"/>
          </rPr>
          <t xml:space="preserve">
intangibles + crédito mercantil</t>
        </r>
      </text>
    </comment>
    <comment ref="B63" authorId="0" shapeId="0" xr:uid="{AE361238-69D4-4B68-AA15-CC42E053D11C}">
      <text>
        <r>
          <rPr>
            <b/>
            <sz val="9"/>
            <color indexed="81"/>
            <rFont val="Tahoma"/>
            <family val="2"/>
          </rPr>
          <t>María Elena Moreno:</t>
        </r>
        <r>
          <rPr>
            <sz val="9"/>
            <color indexed="81"/>
            <rFont val="Tahoma"/>
            <family val="2"/>
          </rPr>
          <t xml:space="preserve">
incluye otros pasivos no fros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Diana Duque</author>
    <author>Maria Elena Moreno</author>
    <author>Luz Cenelia Hernandez</author>
    <author>Paula Andrea Yepes</author>
    <author>Andres Mateo Martinez Gaviria</author>
    <author>Andres Martinez</author>
    <author>Paula Andrea Yepes Alzate</author>
    <author>Mauricio Restrepo</author>
  </authors>
  <commentList>
    <comment ref="Y11" authorId="0" shapeId="0" xr:uid="{0F168CEB-FC76-472D-B248-76BD57C89722}">
      <text>
        <r>
          <rPr>
            <b/>
            <sz val="9"/>
            <color indexed="81"/>
            <rFont val="Tahoma"/>
            <family val="2"/>
          </rPr>
          <t>Diana Duque:</t>
        </r>
        <r>
          <rPr>
            <sz val="9"/>
            <color indexed="81"/>
            <rFont val="Tahoma"/>
            <family val="2"/>
          </rPr>
          <t xml:space="preserve">
Eliminación facturación Celsia a Opain - energía</t>
        </r>
      </text>
    </comment>
    <comment ref="AB11" authorId="0" shapeId="0" xr:uid="{B0B7C0C3-7EF1-4EAA-A5FF-CE678A1E6DB3}">
      <text>
        <r>
          <rPr>
            <sz val="9"/>
            <color indexed="81"/>
            <rFont val="Tahoma"/>
            <family val="2"/>
          </rPr>
          <t xml:space="preserve">*Sator $42.520.
</t>
        </r>
      </text>
    </comment>
    <comment ref="C12" authorId="1" shapeId="0" xr:uid="{D032C172-BCC6-4682-8C05-4370FD6E0F54}">
      <text>
        <r>
          <rPr>
            <sz val="9"/>
            <color indexed="81"/>
            <rFont val="Tahoma"/>
            <family val="2"/>
          </rPr>
          <t xml:space="preserve">-Intereses </t>
        </r>
        <r>
          <rPr>
            <b/>
            <sz val="9"/>
            <color indexed="81"/>
            <rFont val="Tahoma"/>
            <family val="2"/>
          </rPr>
          <t>$23.552</t>
        </r>
        <r>
          <rPr>
            <sz val="9"/>
            <color indexed="81"/>
            <rFont val="Tahoma"/>
            <family val="2"/>
          </rPr>
          <t xml:space="preserve"> (Odinsa)
-Venta de inversiones </t>
        </r>
        <r>
          <rPr>
            <b/>
            <sz val="9"/>
            <color indexed="81"/>
            <rFont val="Tahoma"/>
            <family val="2"/>
          </rPr>
          <t>$468.949</t>
        </r>
        <r>
          <rPr>
            <sz val="9"/>
            <color indexed="81"/>
            <rFont val="Tahoma"/>
            <family val="2"/>
          </rPr>
          <t xml:space="preserve"> (</t>
        </r>
        <r>
          <rPr>
            <b/>
            <sz val="9"/>
            <color indexed="81"/>
            <rFont val="Tahoma"/>
            <family val="2"/>
          </rPr>
          <t>$15.315</t>
        </r>
        <r>
          <rPr>
            <sz val="9"/>
            <color indexed="81"/>
            <rFont val="Tahoma"/>
            <family val="2"/>
          </rPr>
          <t xml:space="preserve"> por venta de unidades de FCP Pactia (Grupo Argos) y pérdida de control de activos de eficiencia energética Atera </t>
        </r>
        <r>
          <rPr>
            <b/>
            <sz val="9"/>
            <color indexed="81"/>
            <rFont val="Tahoma"/>
            <family val="2"/>
          </rPr>
          <t>$453.634</t>
        </r>
        <r>
          <rPr>
            <sz val="9"/>
            <color indexed="81"/>
            <rFont val="Tahoma"/>
            <family val="2"/>
          </rPr>
          <t xml:space="preserve">)
-Dividendos </t>
        </r>
        <r>
          <rPr>
            <b/>
            <sz val="9"/>
            <color indexed="81"/>
            <rFont val="Tahoma"/>
            <family val="2"/>
          </rPr>
          <t>$376</t>
        </r>
      </text>
    </comment>
    <comment ref="E12" authorId="1" shapeId="0" xr:uid="{55D556F8-8966-40F4-A9E8-120ED426C45D}">
      <text>
        <r>
          <rPr>
            <sz val="9"/>
            <color indexed="81"/>
            <rFont val="Tahoma"/>
            <family val="2"/>
          </rPr>
          <t xml:space="preserve">-Dividendos </t>
        </r>
        <r>
          <rPr>
            <b/>
            <sz val="9"/>
            <color indexed="81"/>
            <rFont val="Tahoma"/>
            <family val="2"/>
          </rPr>
          <t xml:space="preserve">$2.946 </t>
        </r>
        <r>
          <rPr>
            <sz val="9"/>
            <color indexed="81"/>
            <rFont val="Tahoma"/>
            <family val="2"/>
          </rPr>
          <t xml:space="preserve">(Sociedad Portafolio </t>
        </r>
        <r>
          <rPr>
            <b/>
            <sz val="9"/>
            <color indexed="81"/>
            <rFont val="Tahoma"/>
            <family val="2"/>
          </rPr>
          <t>$2.871</t>
        </r>
        <r>
          <rPr>
            <sz val="9"/>
            <color indexed="81"/>
            <rFont val="Tahoma"/>
            <family val="2"/>
          </rPr>
          <t xml:space="preserve">, FRG </t>
        </r>
        <r>
          <rPr>
            <b/>
            <sz val="9"/>
            <color indexed="81"/>
            <rFont val="Tahoma"/>
            <family val="2"/>
          </rPr>
          <t>$43</t>
        </r>
        <r>
          <rPr>
            <sz val="9"/>
            <color indexed="81"/>
            <rFont val="Tahoma"/>
            <family val="2"/>
          </rPr>
          <t xml:space="preserve">, reportados por Cementos Argos y Celsia </t>
        </r>
        <r>
          <rPr>
            <b/>
            <sz val="9"/>
            <color indexed="81"/>
            <rFont val="Tahoma"/>
            <family val="2"/>
          </rPr>
          <t>$41</t>
        </r>
        <r>
          <rPr>
            <sz val="9"/>
            <color indexed="81"/>
            <rFont val="Tahoma"/>
            <family val="2"/>
          </rPr>
          <t xml:space="preserve">)
-Intereses </t>
        </r>
        <r>
          <rPr>
            <b/>
            <sz val="9"/>
            <color indexed="81"/>
            <rFont val="Tahoma"/>
            <family val="2"/>
          </rPr>
          <t>$12.438</t>
        </r>
        <r>
          <rPr>
            <sz val="9"/>
            <color indexed="81"/>
            <rFont val="Tahoma"/>
            <family val="2"/>
          </rPr>
          <t xml:space="preserve"> (Odinsa)</t>
        </r>
      </text>
    </comment>
    <comment ref="N12" authorId="1" shapeId="0" xr:uid="{E84E4961-EA00-4D91-A8F4-F6F4F6136E46}">
      <text>
        <r>
          <rPr>
            <sz val="9"/>
            <color indexed="81"/>
            <rFont val="Tahoma"/>
            <family val="2"/>
          </rPr>
          <t xml:space="preserve">-Dividendos </t>
        </r>
        <r>
          <rPr>
            <b/>
            <sz val="9"/>
            <color indexed="81"/>
            <rFont val="Tahoma"/>
            <family val="2"/>
          </rPr>
          <t xml:space="preserve">$31.968 </t>
        </r>
        <r>
          <rPr>
            <sz val="9"/>
            <color indexed="81"/>
            <rFont val="Tahoma"/>
            <family val="2"/>
          </rPr>
          <t xml:space="preserve">(Dividendos Grupo Nutresa </t>
        </r>
        <r>
          <rPr>
            <b/>
            <sz val="9"/>
            <color indexed="81"/>
            <rFont val="Tahoma"/>
            <family val="2"/>
          </rPr>
          <t xml:space="preserve">$31.761 </t>
        </r>
        <r>
          <rPr>
            <sz val="9"/>
            <color indexed="81"/>
            <rFont val="Tahoma"/>
            <family val="2"/>
          </rPr>
          <t xml:space="preserve">y Fondo Regional de Garantías </t>
        </r>
        <r>
          <rPr>
            <b/>
            <sz val="9"/>
            <color indexed="81"/>
            <rFont val="Tahoma"/>
            <family val="2"/>
          </rPr>
          <t>$46</t>
        </r>
        <r>
          <rPr>
            <sz val="9"/>
            <color indexed="81"/>
            <rFont val="Tahoma"/>
            <family val="2"/>
          </rPr>
          <t xml:space="preserve">, dividendos reconocidos por Cementos Argos y Celsia </t>
        </r>
        <r>
          <rPr>
            <b/>
            <sz val="9"/>
            <color indexed="81"/>
            <rFont val="Tahoma"/>
            <family val="2"/>
          </rPr>
          <t>$161</t>
        </r>
        <r>
          <rPr>
            <sz val="9"/>
            <color indexed="81"/>
            <rFont val="Tahoma"/>
            <family val="2"/>
          </rPr>
          <t xml:space="preserve">).
-Intereses </t>
        </r>
        <r>
          <rPr>
            <b/>
            <sz val="9"/>
            <color indexed="81"/>
            <rFont val="Tahoma"/>
            <family val="2"/>
          </rPr>
          <t>$148.937</t>
        </r>
        <r>
          <rPr>
            <sz val="9"/>
            <color indexed="81"/>
            <rFont val="Tahoma"/>
            <family val="2"/>
          </rPr>
          <t xml:space="preserve"> (Odinsa)
-Venta de inversiones </t>
        </r>
        <r>
          <rPr>
            <b/>
            <sz val="9"/>
            <color indexed="81"/>
            <rFont val="Tahoma"/>
            <family val="2"/>
          </rPr>
          <t>$1.148</t>
        </r>
        <r>
          <rPr>
            <sz val="9"/>
            <color indexed="81"/>
            <rFont val="Tahoma"/>
            <family val="2"/>
          </rPr>
          <t xml:space="preserve"> (Venta parcial de acciones de IEA)</t>
        </r>
      </text>
    </comment>
    <comment ref="Y12" authorId="0" shapeId="0" xr:uid="{FF6488C6-56E9-483D-82AE-BBF1B54EE439}">
      <text>
        <r>
          <rPr>
            <sz val="9"/>
            <color indexed="81"/>
            <rFont val="Tahoma"/>
            <family val="2"/>
          </rPr>
          <t>*Reclasificación de otros ingresos a ingresos de actividades ordinariasdel ajuste de venta de Zona Franca por $13.263.
*Venta de agregados desde Odinsa por $1.256 que se elimina a nivel consolidado GA.</t>
        </r>
      </text>
    </comment>
    <comment ref="Z12" authorId="0" shapeId="0" xr:uid="{6BEB0E22-18D7-45FA-AE94-46182791993E}">
      <text>
        <r>
          <rPr>
            <sz val="9"/>
            <color indexed="81"/>
            <rFont val="Tahoma"/>
            <family val="2"/>
          </rPr>
          <t>Dividendo de SURA (eliminados en el consolidado)</t>
        </r>
      </text>
    </comment>
    <comment ref="C13" authorId="2" shapeId="0" xr:uid="{4713E419-E53E-414B-B530-14765A11A431}">
      <text>
        <r>
          <rPr>
            <sz val="9"/>
            <color indexed="81"/>
            <rFont val="Tahoma"/>
            <family val="2"/>
          </rPr>
          <t xml:space="preserve">-Grupo Argos </t>
        </r>
        <r>
          <rPr>
            <b/>
            <sz val="9"/>
            <color indexed="81"/>
            <rFont val="Tahoma"/>
            <family val="2"/>
          </rPr>
          <t>$165.033</t>
        </r>
        <r>
          <rPr>
            <sz val="9"/>
            <color indexed="81"/>
            <rFont val="Tahoma"/>
            <family val="2"/>
          </rPr>
          <t xml:space="preserve"> (neto de eliminaciónes)
-Cementos </t>
        </r>
        <r>
          <rPr>
            <b/>
            <sz val="9"/>
            <color indexed="81"/>
            <rFont val="Tahoma"/>
            <family val="2"/>
          </rPr>
          <t>$6.901</t>
        </r>
        <r>
          <rPr>
            <sz val="9"/>
            <color indexed="81"/>
            <rFont val="Tahoma"/>
            <family val="2"/>
          </rPr>
          <t xml:space="preserve">
-Odinsa </t>
        </r>
        <r>
          <rPr>
            <b/>
            <sz val="9"/>
            <color indexed="81"/>
            <rFont val="Tahoma"/>
            <family val="2"/>
          </rPr>
          <t xml:space="preserve">$495 </t>
        </r>
        <r>
          <rPr>
            <sz val="9"/>
            <color indexed="81"/>
            <rFont val="Tahoma"/>
            <family val="2"/>
          </rPr>
          <t xml:space="preserve">(Contrato construcción </t>
        </r>
        <r>
          <rPr>
            <b/>
            <sz val="9"/>
            <color indexed="81"/>
            <rFont val="Tahoma"/>
            <family val="2"/>
          </rPr>
          <t>$495</t>
        </r>
        <r>
          <rPr>
            <sz val="9"/>
            <color indexed="81"/>
            <rFont val="Tahoma"/>
            <family val="2"/>
          </rPr>
          <t>)</t>
        </r>
        <r>
          <rPr>
            <b/>
            <sz val="9"/>
            <color indexed="81"/>
            <rFont val="Tahoma"/>
            <family val="2"/>
          </rPr>
          <t xml:space="preserve">
</t>
        </r>
      </text>
    </comment>
    <comment ref="E13" authorId="2" shapeId="0" xr:uid="{E50C44CD-746F-49EB-BFC1-76C8FA48D1C4}">
      <text>
        <r>
          <rPr>
            <sz val="9"/>
            <color indexed="81"/>
            <rFont val="Tahoma"/>
            <family val="2"/>
          </rPr>
          <t xml:space="preserve">-Odinsa </t>
        </r>
        <r>
          <rPr>
            <b/>
            <sz val="9"/>
            <color indexed="81"/>
            <rFont val="Tahoma"/>
            <family val="2"/>
          </rPr>
          <t>$230</t>
        </r>
        <r>
          <rPr>
            <sz val="9"/>
            <color indexed="81"/>
            <rFont val="Tahoma"/>
            <family val="2"/>
          </rPr>
          <t xml:space="preserve"> (Contrato construcción </t>
        </r>
        <r>
          <rPr>
            <b/>
            <sz val="9"/>
            <color indexed="81"/>
            <rFont val="Tahoma"/>
            <family val="2"/>
          </rPr>
          <t>$75</t>
        </r>
        <r>
          <rPr>
            <sz val="9"/>
            <color indexed="81"/>
            <rFont val="Tahoma"/>
            <family val="2"/>
          </rPr>
          <t xml:space="preserve">,  Arrend. inmuebles  </t>
        </r>
        <r>
          <rPr>
            <b/>
            <sz val="9"/>
            <color indexed="81"/>
            <rFont val="Tahoma"/>
            <family val="2"/>
          </rPr>
          <t>$155</t>
        </r>
        <r>
          <rPr>
            <sz val="9"/>
            <color indexed="81"/>
            <rFont val="Tahoma"/>
            <family val="2"/>
          </rPr>
          <t xml:space="preserve">, Valoración PI </t>
        </r>
        <r>
          <rPr>
            <b/>
            <sz val="9"/>
            <color indexed="81"/>
            <rFont val="Tahoma"/>
            <family val="2"/>
          </rPr>
          <t>$0</t>
        </r>
        <r>
          <rPr>
            <sz val="9"/>
            <color indexed="81"/>
            <rFont val="Tahoma"/>
            <family val="2"/>
          </rPr>
          <t xml:space="preserve">)
-Grupo Argos </t>
        </r>
        <r>
          <rPr>
            <b/>
            <sz val="9"/>
            <color indexed="81"/>
            <rFont val="Tahoma"/>
            <family val="2"/>
          </rPr>
          <t>$56.128</t>
        </r>
        <r>
          <rPr>
            <sz val="9"/>
            <color indexed="81"/>
            <rFont val="Tahoma"/>
            <family val="2"/>
          </rPr>
          <t xml:space="preserve"> (neto de eliminaciónes)
-Cementos </t>
        </r>
        <r>
          <rPr>
            <b/>
            <sz val="9"/>
            <color indexed="81"/>
            <rFont val="Tahoma"/>
            <family val="2"/>
          </rPr>
          <t>$4.523</t>
        </r>
      </text>
    </comment>
    <comment ref="N13" authorId="2" shapeId="0" xr:uid="{F14237F5-A53F-4504-95F2-A3D2333E82EC}">
      <text>
        <r>
          <rPr>
            <sz val="9"/>
            <color indexed="81"/>
            <rFont val="Tahoma"/>
            <family val="2"/>
          </rPr>
          <t xml:space="preserve">-Opain </t>
        </r>
        <r>
          <rPr>
            <b/>
            <sz val="9"/>
            <color indexed="81"/>
            <rFont val="Tahoma"/>
            <family val="2"/>
          </rPr>
          <t>$146.298</t>
        </r>
        <r>
          <rPr>
            <sz val="9"/>
            <color indexed="81"/>
            <rFont val="Tahoma"/>
            <family val="2"/>
          </rPr>
          <t xml:space="preserve"> (Arrend. inmuebles </t>
        </r>
        <r>
          <rPr>
            <b/>
            <sz val="9"/>
            <color indexed="81"/>
            <rFont val="Tahoma"/>
            <family val="2"/>
          </rPr>
          <t>$146.298</t>
        </r>
        <r>
          <rPr>
            <sz val="9"/>
            <color indexed="81"/>
            <rFont val="Tahoma"/>
            <family val="2"/>
          </rPr>
          <t xml:space="preserve">)
-Odinsa </t>
        </r>
        <r>
          <rPr>
            <b/>
            <sz val="9"/>
            <color indexed="81"/>
            <rFont val="Tahoma"/>
            <family val="2"/>
          </rPr>
          <t>$56.585</t>
        </r>
        <r>
          <rPr>
            <sz val="9"/>
            <color indexed="81"/>
            <rFont val="Tahoma"/>
            <family val="2"/>
          </rPr>
          <t xml:space="preserve"> (Contrato construcción </t>
        </r>
        <r>
          <rPr>
            <b/>
            <sz val="9"/>
            <color indexed="81"/>
            <rFont val="Tahoma"/>
            <family val="2"/>
          </rPr>
          <t>$56.028</t>
        </r>
        <r>
          <rPr>
            <sz val="9"/>
            <color indexed="81"/>
            <rFont val="Tahoma"/>
            <family val="2"/>
          </rPr>
          <t xml:space="preserve">,  Arrend. inmuebles  </t>
        </r>
        <r>
          <rPr>
            <b/>
            <sz val="9"/>
            <color indexed="81"/>
            <rFont val="Tahoma"/>
            <family val="2"/>
          </rPr>
          <t>$557</t>
        </r>
        <r>
          <rPr>
            <sz val="9"/>
            <color indexed="81"/>
            <rFont val="Tahoma"/>
            <family val="2"/>
          </rPr>
          <t xml:space="preserve">)
-GA </t>
        </r>
        <r>
          <rPr>
            <b/>
            <sz val="9"/>
            <color indexed="81"/>
            <rFont val="Tahoma"/>
            <family val="2"/>
          </rPr>
          <t>$164.562</t>
        </r>
        <r>
          <rPr>
            <sz val="9"/>
            <color indexed="81"/>
            <rFont val="Tahoma"/>
            <family val="2"/>
          </rPr>
          <t xml:space="preserve"> (neto de eliminaciónes)
-Cementos </t>
        </r>
        <r>
          <rPr>
            <b/>
            <sz val="9"/>
            <color indexed="81"/>
            <rFont val="Tahoma"/>
            <family val="2"/>
          </rPr>
          <t>$4.962</t>
        </r>
        <r>
          <rPr>
            <sz val="9"/>
            <color indexed="81"/>
            <rFont val="Tahoma"/>
            <family val="2"/>
          </rPr>
          <t xml:space="preserve">
</t>
        </r>
      </text>
    </comment>
    <comment ref="C14" authorId="3" shapeId="0" xr:uid="{2BAA4BDF-9698-45BB-A243-5B59C9AB4C99}">
      <text>
        <r>
          <rPr>
            <sz val="9"/>
            <color indexed="81"/>
            <rFont val="Tahoma"/>
            <family val="2"/>
          </rPr>
          <t xml:space="preserve">Ver anexo </t>
        </r>
        <r>
          <rPr>
            <b/>
            <sz val="9"/>
            <color indexed="81"/>
            <rFont val="Tahoma"/>
            <family val="2"/>
          </rPr>
          <t>MPP cons</t>
        </r>
        <r>
          <rPr>
            <sz val="9"/>
            <color indexed="81"/>
            <rFont val="Tahoma"/>
            <family val="2"/>
          </rPr>
          <t>.</t>
        </r>
      </text>
    </comment>
    <comment ref="E14" authorId="3" shapeId="0" xr:uid="{95F78E0B-D753-4E32-BA1A-298C8FA6D6C7}">
      <text>
        <r>
          <rPr>
            <sz val="9"/>
            <color indexed="81"/>
            <rFont val="Tahoma"/>
            <family val="2"/>
          </rPr>
          <t xml:space="preserve">Ver anexo </t>
        </r>
        <r>
          <rPr>
            <b/>
            <sz val="9"/>
            <color indexed="81"/>
            <rFont val="Tahoma"/>
            <family val="2"/>
          </rPr>
          <t>MPP cons</t>
        </r>
        <r>
          <rPr>
            <sz val="9"/>
            <color indexed="81"/>
            <rFont val="Tahoma"/>
            <family val="2"/>
          </rPr>
          <t>.</t>
        </r>
      </text>
    </comment>
    <comment ref="N14" authorId="3" shapeId="0" xr:uid="{FDC8DFF5-3E28-42BF-BC46-E1621A3479EC}">
      <text>
        <r>
          <rPr>
            <sz val="9"/>
            <color indexed="81"/>
            <rFont val="Tahoma"/>
            <family val="2"/>
          </rPr>
          <t xml:space="preserve">Ver anexo </t>
        </r>
        <r>
          <rPr>
            <b/>
            <sz val="9"/>
            <color indexed="81"/>
            <rFont val="Tahoma"/>
            <family val="2"/>
          </rPr>
          <t>MPP cons</t>
        </r>
        <r>
          <rPr>
            <sz val="9"/>
            <color indexed="81"/>
            <rFont val="Tahoma"/>
            <family val="2"/>
          </rPr>
          <t>.</t>
        </r>
      </text>
    </comment>
    <comment ref="Y14" authorId="0" shapeId="0" xr:uid="{D6106BB6-E2C7-4B64-8CF4-0FA02D9FAC26}">
      <text>
        <r>
          <rPr>
            <sz val="9"/>
            <color indexed="81"/>
            <rFont val="Tahoma"/>
            <family val="2"/>
          </rPr>
          <t xml:space="preserve">*Var. 2021 vs 2020 =&gt; *MPP Opain (Este MPP se elimina en el Consolidado de GA).
</t>
        </r>
      </text>
    </comment>
    <comment ref="Z14" authorId="0" shapeId="0" xr:uid="{35EF0C1E-350A-4F29-BB4C-6D8B1C60CAB5}">
      <text>
        <r>
          <rPr>
            <sz val="9"/>
            <color indexed="81"/>
            <rFont val="Tahoma"/>
            <family val="2"/>
          </rPr>
          <t>Eliminación MPP en subsidiarias del EEEFF separado e inclusión del MPP en asociadas y negocios conjuntos del EEFF consolidado.</t>
        </r>
      </text>
    </comment>
    <comment ref="AB14" authorId="0" shapeId="0" xr:uid="{F174ADFD-FD23-4FEC-B61B-C835BB0D7F6F}">
      <text>
        <r>
          <rPr>
            <sz val="9"/>
            <color indexed="81"/>
            <rFont val="Tahoma"/>
            <family val="2"/>
          </rPr>
          <t xml:space="preserve">Corresponde a la eliminación del MPP de SUMMA a nivel consolidado de GA
</t>
        </r>
      </text>
    </comment>
    <comment ref="C16" authorId="2" shapeId="0" xr:uid="{E1F08239-9BD6-4D76-8672-C389386EDD1D}">
      <text>
        <r>
          <rPr>
            <sz val="9"/>
            <color indexed="81"/>
            <rFont val="Tahoma"/>
            <family val="2"/>
          </rPr>
          <t xml:space="preserve">-Cementos Argos </t>
        </r>
        <r>
          <rPr>
            <b/>
            <sz val="9"/>
            <color indexed="81"/>
            <rFont val="Tahoma"/>
            <family val="2"/>
          </rPr>
          <t xml:space="preserve">$122.131
</t>
        </r>
        <r>
          <rPr>
            <sz val="9"/>
            <color indexed="81"/>
            <rFont val="Tahoma"/>
            <family val="2"/>
          </rPr>
          <t xml:space="preserve">-Ajustes de consolidación </t>
        </r>
        <r>
          <rPr>
            <b/>
            <sz val="9"/>
            <color indexed="81"/>
            <rFont val="Tahoma"/>
            <family val="2"/>
          </rPr>
          <t>$(8)</t>
        </r>
      </text>
    </comment>
    <comment ref="E16" authorId="2" shapeId="0" xr:uid="{274FBFFE-8875-41C4-82F7-088B56A8ED2A}">
      <text>
        <r>
          <rPr>
            <sz val="9"/>
            <color indexed="81"/>
            <rFont val="Tahoma"/>
            <family val="2"/>
          </rPr>
          <t xml:space="preserve">-Cementos Argos </t>
        </r>
        <r>
          <rPr>
            <b/>
            <sz val="9"/>
            <color indexed="81"/>
            <rFont val="Tahoma"/>
            <family val="2"/>
          </rPr>
          <t xml:space="preserve">$154.819.
</t>
        </r>
      </text>
    </comment>
    <comment ref="N16" authorId="2" shapeId="0" xr:uid="{6FD8627F-644A-4453-92EA-E188FDF21529}">
      <text>
        <r>
          <rPr>
            <sz val="9"/>
            <color indexed="81"/>
            <rFont val="Tahoma"/>
            <family val="2"/>
          </rPr>
          <t xml:space="preserve">-Cementos Argos </t>
        </r>
        <r>
          <rPr>
            <b/>
            <sz val="9"/>
            <color indexed="81"/>
            <rFont val="Tahoma"/>
            <family val="2"/>
          </rPr>
          <t>$146.412</t>
        </r>
      </text>
    </comment>
    <comment ref="AB19" authorId="0" shapeId="0" xr:uid="{35EF2784-14C3-49EC-8BA1-833969B54708}">
      <text>
        <r>
          <rPr>
            <sz val="9"/>
            <color indexed="81"/>
            <rFont val="Tahoma"/>
            <family val="2"/>
          </rPr>
          <t>Sator $23.396</t>
        </r>
      </text>
    </comment>
    <comment ref="C21" authorId="4" shapeId="0" xr:uid="{5DA1C19A-F24A-410C-8B17-8C0C0F0993D9}">
      <text>
        <r>
          <rPr>
            <sz val="9"/>
            <color indexed="81"/>
            <rFont val="Tahoma"/>
            <family val="2"/>
          </rPr>
          <t>-Costo asociado a la venta de unidades de FCP Pactia por $15.315.
-Costo de activos de eficiencia energética entregados a Atera por $533.668</t>
        </r>
      </text>
    </comment>
    <comment ref="N21" authorId="5" shapeId="0" xr:uid="{40376BA5-7537-478D-BF45-83CD0D339707}">
      <text>
        <r>
          <rPr>
            <sz val="9"/>
            <color indexed="81"/>
            <rFont val="Tahoma"/>
            <family val="2"/>
          </rPr>
          <t xml:space="preserve">-Venta parcial de IEA </t>
        </r>
        <r>
          <rPr>
            <b/>
            <sz val="9"/>
            <color indexed="81"/>
            <rFont val="Tahoma"/>
            <family val="2"/>
          </rPr>
          <t>$909</t>
        </r>
      </text>
    </comment>
    <comment ref="Y21" authorId="0" shapeId="0" xr:uid="{33EA6FED-16C5-48D9-8957-CB502A7857D1}">
      <text>
        <r>
          <rPr>
            <sz val="9"/>
            <color indexed="81"/>
            <rFont val="Tahoma"/>
            <family val="2"/>
          </rPr>
          <t>*Diferencia en el costo de Odempa entre el separado y consolidado $20.322 (En el conso se aplica MPP).
*Diferencia en el costo de Odempa entre el separado y consolidado $238 (En el conso se aplica MPP).
*Eliminación costo venta agregados $1.056</t>
        </r>
      </text>
    </comment>
    <comment ref="C22" authorId="0" shapeId="0" xr:uid="{1D03BB81-956F-4026-B95A-CEF87A615F2F}">
      <text>
        <r>
          <rPr>
            <sz val="9"/>
            <color indexed="81"/>
            <rFont val="Tahoma"/>
            <family val="2"/>
          </rPr>
          <t xml:space="preserve">Grupo Argos </t>
        </r>
        <r>
          <rPr>
            <b/>
            <sz val="9"/>
            <color indexed="81"/>
            <rFont val="Tahoma"/>
            <family val="2"/>
          </rPr>
          <t xml:space="preserve">$44.902 </t>
        </r>
        <r>
          <rPr>
            <sz val="9"/>
            <color indexed="81"/>
            <rFont val="Tahoma"/>
            <family val="2"/>
          </rPr>
          <t xml:space="preserve">(neto de eliminaciones)
Odinsa </t>
        </r>
        <r>
          <rPr>
            <b/>
            <sz val="9"/>
            <color indexed="81"/>
            <rFont val="Tahoma"/>
            <family val="2"/>
          </rPr>
          <t>$2</t>
        </r>
      </text>
    </comment>
    <comment ref="E22" authorId="0" shapeId="0" xr:uid="{9903F249-390E-4F63-B6FE-3175192EE52C}">
      <text>
        <r>
          <rPr>
            <sz val="9"/>
            <color indexed="81"/>
            <rFont val="Tahoma"/>
            <family val="2"/>
          </rPr>
          <t xml:space="preserve">Grupo Argos </t>
        </r>
        <r>
          <rPr>
            <b/>
            <sz val="9"/>
            <color indexed="81"/>
            <rFont val="Tahoma"/>
            <family val="2"/>
          </rPr>
          <t>$63.085</t>
        </r>
        <r>
          <rPr>
            <sz val="9"/>
            <color indexed="81"/>
            <rFont val="Tahoma"/>
            <family val="2"/>
          </rPr>
          <t xml:space="preserve"> (neto de eliminaciones)</t>
        </r>
      </text>
    </comment>
    <comment ref="N22" authorId="0" shapeId="0" xr:uid="{0EB8F18E-F59E-4074-A560-A896909606C3}">
      <text>
        <r>
          <rPr>
            <sz val="9"/>
            <color indexed="81"/>
            <rFont val="Tahoma"/>
            <family val="2"/>
          </rPr>
          <t xml:space="preserve">Odinsa </t>
        </r>
        <r>
          <rPr>
            <b/>
            <sz val="9"/>
            <color indexed="81"/>
            <rFont val="Tahoma"/>
            <family val="2"/>
          </rPr>
          <t>$18.561</t>
        </r>
        <r>
          <rPr>
            <sz val="9"/>
            <color indexed="81"/>
            <rFont val="Tahoma"/>
            <family val="2"/>
          </rPr>
          <t xml:space="preserve">
Grupo Argos </t>
        </r>
        <r>
          <rPr>
            <b/>
            <sz val="9"/>
            <color indexed="81"/>
            <rFont val="Tahoma"/>
            <family val="2"/>
          </rPr>
          <t>$76.201</t>
        </r>
        <r>
          <rPr>
            <sz val="9"/>
            <color indexed="81"/>
            <rFont val="Tahoma"/>
            <family val="2"/>
          </rPr>
          <t xml:space="preserve"> (neto de eliminaciones)</t>
        </r>
      </text>
    </comment>
    <comment ref="C28" authorId="2" shapeId="0" xr:uid="{470D6A2A-E3C6-4CF0-A863-63FEE555060C}">
      <text>
        <r>
          <rPr>
            <sz val="9"/>
            <color indexed="81"/>
            <rFont val="Tahoma"/>
            <family val="2"/>
          </rPr>
          <t xml:space="preserve">Ver Anexo Adm. Cias
</t>
        </r>
      </text>
    </comment>
    <comment ref="E28" authorId="2" shapeId="0" xr:uid="{F8BC73DB-BB70-498E-92B4-3A94147C221C}">
      <text>
        <r>
          <rPr>
            <sz val="9"/>
            <color indexed="81"/>
            <rFont val="Tahoma"/>
            <family val="2"/>
          </rPr>
          <t>Ver Anexo Adm. Cias Sep</t>
        </r>
      </text>
    </comment>
    <comment ref="N28" authorId="2" shapeId="0" xr:uid="{16EF096E-2AE2-4B51-ABB7-6EA12052817C}">
      <text>
        <r>
          <rPr>
            <sz val="9"/>
            <color indexed="81"/>
            <rFont val="Tahoma"/>
            <family val="2"/>
          </rPr>
          <t>Anexo Adm. Tiene el detalle</t>
        </r>
      </text>
    </comment>
    <comment ref="C29" authorId="2" shapeId="0" xr:uid="{2CFC6E20-026D-4E7B-901C-CC7216DC5050}">
      <text>
        <r>
          <rPr>
            <sz val="9"/>
            <color indexed="81"/>
            <rFont val="Tahoma"/>
            <family val="2"/>
          </rPr>
          <t xml:space="preserve">Ver Anexo Adm. Cias
</t>
        </r>
      </text>
    </comment>
    <comment ref="E29" authorId="2" shapeId="0" xr:uid="{CC29D9B5-9641-4D66-80F4-17BA02D253CE}">
      <text>
        <r>
          <rPr>
            <sz val="9"/>
            <color indexed="81"/>
            <rFont val="Tahoma"/>
            <family val="2"/>
          </rPr>
          <t>Ver Anexo Adm. Cias Sep</t>
        </r>
      </text>
    </comment>
    <comment ref="C30" authorId="2" shapeId="0" xr:uid="{FBC1DC7F-85DD-47D5-83A3-FAF36D7822C7}">
      <text>
        <r>
          <rPr>
            <sz val="9"/>
            <color indexed="81"/>
            <rFont val="Tahoma"/>
            <family val="2"/>
          </rPr>
          <t xml:space="preserve">Ver Anexo Adm. Cias
</t>
        </r>
      </text>
    </comment>
    <comment ref="E30" authorId="2" shapeId="0" xr:uid="{20263E2F-7348-4C33-BC41-687FD21B6EF3}">
      <text>
        <r>
          <rPr>
            <sz val="9"/>
            <color indexed="81"/>
            <rFont val="Tahoma"/>
            <family val="2"/>
          </rPr>
          <t>Ver Anexo Adm. Cias Sep</t>
        </r>
      </text>
    </comment>
    <comment ref="C31" authorId="2" shapeId="0" xr:uid="{D9B41091-9801-4FE1-A71C-55CD42269435}">
      <text>
        <r>
          <rPr>
            <sz val="9"/>
            <color indexed="81"/>
            <rFont val="Tahoma"/>
            <family val="2"/>
          </rPr>
          <t xml:space="preserve">Ver Anexo Adm. Cias
</t>
        </r>
      </text>
    </comment>
    <comment ref="E31" authorId="2" shapeId="0" xr:uid="{2AFDDF8F-36FE-4CC5-B778-7B9BC30C9407}">
      <text>
        <r>
          <rPr>
            <sz val="9"/>
            <color indexed="81"/>
            <rFont val="Tahoma"/>
            <family val="2"/>
          </rPr>
          <t>Ver Anexo Adm. Cias Sep</t>
        </r>
      </text>
    </comment>
    <comment ref="N31" authorId="2" shapeId="0" xr:uid="{CE79EF9A-E12D-4353-AB45-926B3ACE07D9}">
      <text>
        <r>
          <rPr>
            <sz val="9"/>
            <color indexed="81"/>
            <rFont val="Tahoma"/>
            <family val="2"/>
          </rPr>
          <t>Anexo Adm. Tiene el detalle</t>
        </r>
      </text>
    </comment>
    <comment ref="C32" authorId="2" shapeId="0" xr:uid="{7F150D8D-AECA-4C07-96AC-5F17A83BB78A}">
      <text>
        <r>
          <rPr>
            <sz val="9"/>
            <color indexed="81"/>
            <rFont val="Tahoma"/>
            <family val="2"/>
          </rPr>
          <t xml:space="preserve">Ver Anexo Adm. Cias
</t>
        </r>
      </text>
    </comment>
    <comment ref="E32" authorId="2" shapeId="0" xr:uid="{00220528-469D-4C30-9451-9797A995FFC7}">
      <text>
        <r>
          <rPr>
            <sz val="9"/>
            <color indexed="81"/>
            <rFont val="Tahoma"/>
            <family val="2"/>
          </rPr>
          <t>Ver Anexo Adm. Cias Sep</t>
        </r>
      </text>
    </comment>
    <comment ref="C36" authorId="1" shapeId="0" xr:uid="{35A779DA-A619-45E4-B43F-414E771FF102}">
      <text>
        <r>
          <rPr>
            <sz val="9"/>
            <color indexed="81"/>
            <rFont val="Tahoma"/>
            <family val="2"/>
          </rPr>
          <t xml:space="preserve">-Recuperaciones </t>
        </r>
        <r>
          <rPr>
            <b/>
            <sz val="9"/>
            <color indexed="81"/>
            <rFont val="Tahoma"/>
            <family val="2"/>
          </rPr>
          <t>$44.060</t>
        </r>
        <r>
          <rPr>
            <sz val="9"/>
            <color indexed="81"/>
            <rFont val="Tahoma"/>
            <family val="2"/>
          </rPr>
          <t xml:space="preserve"> (Reintegro costos y gastos </t>
        </r>
        <r>
          <rPr>
            <b/>
            <sz val="9"/>
            <color indexed="81"/>
            <rFont val="Tahoma"/>
            <family val="2"/>
          </rPr>
          <t>$32.309</t>
        </r>
        <r>
          <rPr>
            <sz val="9"/>
            <color indexed="81"/>
            <rFont val="Tahoma"/>
            <family val="2"/>
          </rPr>
          <t xml:space="preserve">*, recuperación deterioro </t>
        </r>
        <r>
          <rPr>
            <b/>
            <sz val="9"/>
            <color indexed="81"/>
            <rFont val="Tahoma"/>
            <family val="2"/>
          </rPr>
          <t>$2.331</t>
        </r>
        <r>
          <rPr>
            <sz val="9"/>
            <color indexed="81"/>
            <rFont val="Tahoma"/>
            <family val="2"/>
          </rPr>
          <t xml:space="preserve">, recuperación de cuentas por cobrar </t>
        </r>
        <r>
          <rPr>
            <b/>
            <sz val="9"/>
            <color indexed="81"/>
            <rFont val="Tahoma"/>
            <family val="2"/>
          </rPr>
          <t>$762</t>
        </r>
        <r>
          <rPr>
            <sz val="9"/>
            <color indexed="81"/>
            <rFont val="Tahoma"/>
            <family val="2"/>
          </rPr>
          <t xml:space="preserve">, recuperación provisiones litigios </t>
        </r>
        <r>
          <rPr>
            <b/>
            <sz val="9"/>
            <color indexed="81"/>
            <rFont val="Tahoma"/>
            <family val="2"/>
          </rPr>
          <t>$1.768</t>
        </r>
        <r>
          <rPr>
            <sz val="9"/>
            <color indexed="81"/>
            <rFont val="Tahoma"/>
            <family val="2"/>
          </rPr>
          <t xml:space="preserve">, recuperación otras provisiones </t>
        </r>
        <r>
          <rPr>
            <b/>
            <sz val="9"/>
            <color indexed="81"/>
            <rFont val="Tahoma"/>
            <family val="2"/>
          </rPr>
          <t>$5.631</t>
        </r>
        <r>
          <rPr>
            <sz val="9"/>
            <color indexed="81"/>
            <rFont val="Tahoma"/>
            <family val="2"/>
          </rPr>
          <t xml:space="preserve">, recuperación de seguros </t>
        </r>
        <r>
          <rPr>
            <b/>
            <sz val="9"/>
            <color indexed="81"/>
            <rFont val="Tahoma"/>
            <family val="2"/>
          </rPr>
          <t>$3</t>
        </r>
        <r>
          <rPr>
            <sz val="9"/>
            <color indexed="81"/>
            <rFont val="Tahoma"/>
            <family val="2"/>
          </rPr>
          <t xml:space="preserve">, recuperación derechos de uso </t>
        </r>
        <r>
          <rPr>
            <b/>
            <sz val="9"/>
            <color indexed="81"/>
            <rFont val="Tahoma"/>
            <family val="2"/>
          </rPr>
          <t>$901</t>
        </r>
        <r>
          <rPr>
            <sz val="9"/>
            <color indexed="81"/>
            <rFont val="Tahoma"/>
            <family val="2"/>
          </rPr>
          <t xml:space="preserve">, recuperación beneficios por terminación </t>
        </r>
        <r>
          <rPr>
            <b/>
            <sz val="9"/>
            <color indexed="81"/>
            <rFont val="Tahoma"/>
            <family val="2"/>
          </rPr>
          <t>$12</t>
        </r>
        <r>
          <rPr>
            <sz val="9"/>
            <color indexed="81"/>
            <rFont val="Tahoma"/>
            <family val="2"/>
          </rPr>
          <t xml:space="preserve">, recuperación préstamos a empleados </t>
        </r>
        <r>
          <rPr>
            <b/>
            <sz val="9"/>
            <color indexed="81"/>
            <rFont val="Tahoma"/>
            <family val="2"/>
          </rPr>
          <t>$343</t>
        </r>
        <r>
          <rPr>
            <sz val="9"/>
            <color indexed="81"/>
            <rFont val="Tahoma"/>
            <family val="2"/>
          </rPr>
          <t xml:space="preserve">).
 -Util. vta. AF. </t>
        </r>
        <r>
          <rPr>
            <b/>
            <sz val="9"/>
            <color indexed="81"/>
            <rFont val="Tahoma"/>
            <family val="2"/>
          </rPr>
          <t>$18.848</t>
        </r>
        <r>
          <rPr>
            <sz val="9"/>
            <color indexed="81"/>
            <rFont val="Tahoma"/>
            <family val="2"/>
          </rPr>
          <t xml:space="preserve"> (en Celsia $7.258, principalmente por venta a la universidad del Valle de maquinaria y equipo del campamento San Miguel ubicado en la central hidroeléctrica Salvajina en Suarez Cauca por $6.431 y venta de turbina por $630; en Cementos, principalmente venta de terrenos $1.671, venta de finca Belén en San Onofre - Colombia a Distracom y flota y equipo de transporte por $2.564 y maquinaria por $1.029). 
-Otros ingresos </t>
        </r>
        <r>
          <rPr>
            <b/>
            <sz val="9"/>
            <color indexed="81"/>
            <rFont val="Tahoma"/>
            <family val="2"/>
          </rPr>
          <t>$14.744</t>
        </r>
        <r>
          <rPr>
            <sz val="9"/>
            <color indexed="81"/>
            <rFont val="Tahoma"/>
            <family val="2"/>
          </rPr>
          <t xml:space="preserve"> (Aprovechamientos $1.486, otros $9.997 (principalmente en Cementos $1.955 por cobros por obras por impuestos, servicios administrativos por protección de recursos)
 -Indemnizaciones </t>
        </r>
        <r>
          <rPr>
            <b/>
            <sz val="9"/>
            <color indexed="81"/>
            <rFont val="Tahoma"/>
            <family val="2"/>
          </rPr>
          <t>$3.158</t>
        </r>
        <r>
          <rPr>
            <sz val="9"/>
            <color indexed="81"/>
            <rFont val="Tahoma"/>
            <family val="2"/>
          </rPr>
          <t xml:space="preserve">
-Ingresos especiales </t>
        </r>
        <r>
          <rPr>
            <b/>
            <sz val="9"/>
            <color indexed="81"/>
            <rFont val="Tahoma"/>
            <family val="2"/>
          </rPr>
          <t>$76.871</t>
        </r>
        <r>
          <rPr>
            <sz val="9"/>
            <color indexed="81"/>
            <rFont val="Tahoma"/>
            <family val="2"/>
          </rPr>
          <t xml:space="preserve"> (Subvenciones </t>
        </r>
        <r>
          <rPr>
            <b/>
            <sz val="9"/>
            <color indexed="81"/>
            <rFont val="Tahoma"/>
            <family val="2"/>
          </rPr>
          <t>$342</t>
        </r>
        <r>
          <rPr>
            <sz val="9"/>
            <color indexed="81"/>
            <rFont val="Tahoma"/>
            <family val="2"/>
          </rPr>
          <t xml:space="preserve">, Valoración participación remanente Atera </t>
        </r>
        <r>
          <rPr>
            <b/>
            <sz val="9"/>
            <color indexed="81"/>
            <rFont val="Tahoma"/>
            <family val="2"/>
          </rPr>
          <t>$76.529</t>
        </r>
        <r>
          <rPr>
            <sz val="9"/>
            <color indexed="81"/>
            <rFont val="Tahoma"/>
            <family val="2"/>
          </rPr>
          <t xml:space="preserve">)
* Reintegro de costos y gastos </t>
        </r>
        <r>
          <rPr>
            <b/>
            <sz val="9"/>
            <color indexed="81"/>
            <rFont val="Tahoma"/>
            <family val="2"/>
          </rPr>
          <t>$32.309</t>
        </r>
        <r>
          <rPr>
            <sz val="9"/>
            <color indexed="81"/>
            <rFont val="Tahoma"/>
            <family val="2"/>
          </rPr>
          <t xml:space="preserve">: principalmente en Cementos </t>
        </r>
        <r>
          <rPr>
            <b/>
            <sz val="9"/>
            <color indexed="81"/>
            <rFont val="Tahoma"/>
            <family val="2"/>
          </rPr>
          <t>$18.113</t>
        </r>
        <r>
          <rPr>
            <sz val="9"/>
            <color indexed="81"/>
            <rFont val="Tahoma"/>
            <family val="2"/>
          </rPr>
          <t xml:space="preserve">, mayoritariamente por recobro de gastos de energía asumidos inicialmente por Argos Panamá en la planta Vacamonte y los recobros realizados por Cementos Argos bajo contratos firmados, anulación de facturas del periodo anterior y depuraciones de recibido no facturado en Cementos Argos, recuperaciones de beneficios de PRO de CP destinado a educación en Colombia, recuperación provisiones de impuestos de alumbrado público y ajustes derivados de las declaraciones anuales de ICA en Cementos Argos. En Celsia </t>
        </r>
        <r>
          <rPr>
            <b/>
            <sz val="9"/>
            <color indexed="81"/>
            <rFont val="Tahoma"/>
            <family val="2"/>
          </rPr>
          <t>$11.143</t>
        </r>
        <r>
          <rPr>
            <sz val="9"/>
            <color indexed="81"/>
            <rFont val="Tahoma"/>
            <family val="2"/>
          </rPr>
          <t xml:space="preserve">, principalmente por ingreso por recuperación de mayor valor provisionado para el bono por resultados PRO-2024 en Celsia Centroamérica y Celsia Honduras por </t>
        </r>
        <r>
          <rPr>
            <b/>
            <sz val="9"/>
            <color indexed="81"/>
            <rFont val="Tahoma"/>
            <family val="2"/>
          </rPr>
          <t>$2.639</t>
        </r>
        <r>
          <rPr>
            <sz val="9"/>
            <color indexed="81"/>
            <rFont val="Tahoma"/>
            <family val="2"/>
          </rPr>
          <t xml:space="preserve">, depuración de la CxP de pedidos recibidos no facturados, y venta de excedentes industriales y material resultante para disposición, entre otros.
</t>
        </r>
      </text>
    </comment>
    <comment ref="E36" authorId="1" shapeId="0" xr:uid="{4F7F9E22-6196-496D-9D41-F40B91A42FB8}">
      <text>
        <r>
          <rPr>
            <sz val="9"/>
            <color indexed="81"/>
            <rFont val="Tahoma"/>
            <family val="2"/>
          </rPr>
          <t xml:space="preserve"> -Indemnizaciones </t>
        </r>
        <r>
          <rPr>
            <b/>
            <sz val="9"/>
            <color indexed="81"/>
            <rFont val="Tahoma"/>
            <family val="2"/>
          </rPr>
          <t>$527</t>
        </r>
        <r>
          <rPr>
            <sz val="9"/>
            <color indexed="81"/>
            <rFont val="Tahoma"/>
            <family val="2"/>
          </rPr>
          <t xml:space="preserve">
 -Util. vta. AF. </t>
        </r>
        <r>
          <rPr>
            <b/>
            <sz val="9"/>
            <color indexed="81"/>
            <rFont val="Tahoma"/>
            <family val="2"/>
          </rPr>
          <t>$5.008</t>
        </r>
        <r>
          <rPr>
            <sz val="9"/>
            <color indexed="81"/>
            <rFont val="Tahoma"/>
            <family val="2"/>
          </rPr>
          <t xml:space="preserve">
-Recuperaciones </t>
        </r>
        <r>
          <rPr>
            <b/>
            <sz val="9"/>
            <color indexed="81"/>
            <rFont val="Tahoma"/>
            <family val="2"/>
          </rPr>
          <t>$67.274</t>
        </r>
        <r>
          <rPr>
            <sz val="9"/>
            <color indexed="81"/>
            <rFont val="Tahoma"/>
            <family val="2"/>
          </rPr>
          <t xml:space="preserve"> (Reintegro costos y gastos </t>
        </r>
        <r>
          <rPr>
            <b/>
            <sz val="9"/>
            <color indexed="81"/>
            <rFont val="Tahoma"/>
            <family val="2"/>
          </rPr>
          <t>$35.297</t>
        </r>
        <r>
          <rPr>
            <sz val="9"/>
            <color indexed="81"/>
            <rFont val="Tahoma"/>
            <family val="2"/>
          </rPr>
          <t xml:space="preserve">, recuperación deterioro </t>
        </r>
        <r>
          <rPr>
            <b/>
            <sz val="9"/>
            <color indexed="81"/>
            <rFont val="Tahoma"/>
            <family val="2"/>
          </rPr>
          <t>$23.768</t>
        </r>
        <r>
          <rPr>
            <sz val="9"/>
            <color indexed="81"/>
            <rFont val="Tahoma"/>
            <family val="2"/>
          </rPr>
          <t xml:space="preserve">, recuperación de cuentas por cobrar </t>
        </r>
        <r>
          <rPr>
            <b/>
            <sz val="9"/>
            <color indexed="81"/>
            <rFont val="Tahoma"/>
            <family val="2"/>
          </rPr>
          <t>$706</t>
        </r>
        <r>
          <rPr>
            <sz val="9"/>
            <color indexed="81"/>
            <rFont val="Tahoma"/>
            <family val="2"/>
          </rPr>
          <t xml:space="preserve">, recuperación provisiones litigios </t>
        </r>
        <r>
          <rPr>
            <b/>
            <sz val="9"/>
            <color indexed="81"/>
            <rFont val="Tahoma"/>
            <family val="2"/>
          </rPr>
          <t>$3.541</t>
        </r>
        <r>
          <rPr>
            <sz val="9"/>
            <color indexed="81"/>
            <rFont val="Tahoma"/>
            <family val="2"/>
          </rPr>
          <t xml:space="preserve">, recuperación otras provisiones </t>
        </r>
        <r>
          <rPr>
            <b/>
            <sz val="9"/>
            <color indexed="81"/>
            <rFont val="Tahoma"/>
            <family val="2"/>
          </rPr>
          <t>$1.251</t>
        </r>
        <r>
          <rPr>
            <sz val="9"/>
            <color indexed="81"/>
            <rFont val="Tahoma"/>
            <family val="2"/>
          </rPr>
          <t xml:space="preserve">, recuperación de seguros </t>
        </r>
        <r>
          <rPr>
            <b/>
            <sz val="9"/>
            <color indexed="81"/>
            <rFont val="Tahoma"/>
            <family val="2"/>
          </rPr>
          <t>$40</t>
        </r>
        <r>
          <rPr>
            <sz val="9"/>
            <color indexed="81"/>
            <rFont val="Tahoma"/>
            <family val="2"/>
          </rPr>
          <t xml:space="preserve">, recuperación deterioro de intangibles </t>
        </r>
        <r>
          <rPr>
            <b/>
            <sz val="9"/>
            <color indexed="81"/>
            <rFont val="Tahoma"/>
            <family val="2"/>
          </rPr>
          <t>$0</t>
        </r>
        <r>
          <rPr>
            <sz val="9"/>
            <color indexed="81"/>
            <rFont val="Tahoma"/>
            <family val="2"/>
          </rPr>
          <t xml:space="preserve">, recuperación derechos de uso </t>
        </r>
        <r>
          <rPr>
            <b/>
            <sz val="9"/>
            <color indexed="81"/>
            <rFont val="Tahoma"/>
            <family val="2"/>
          </rPr>
          <t>$2.554</t>
        </r>
        <r>
          <rPr>
            <sz val="9"/>
            <color indexed="81"/>
            <rFont val="Tahoma"/>
            <family val="2"/>
          </rPr>
          <t xml:space="preserve">, recuperación beneficios por terminación </t>
        </r>
        <r>
          <rPr>
            <b/>
            <sz val="9"/>
            <color indexed="81"/>
            <rFont val="Tahoma"/>
            <family val="2"/>
          </rPr>
          <t>$14</t>
        </r>
        <r>
          <rPr>
            <sz val="9"/>
            <color indexed="81"/>
            <rFont val="Tahoma"/>
            <family val="2"/>
          </rPr>
          <t xml:space="preserve">, recuperación préstamos a empleados </t>
        </r>
        <r>
          <rPr>
            <b/>
            <sz val="9"/>
            <color indexed="81"/>
            <rFont val="Tahoma"/>
            <family val="2"/>
          </rPr>
          <t>$103</t>
        </r>
        <r>
          <rPr>
            <sz val="9"/>
            <color indexed="81"/>
            <rFont val="Tahoma"/>
            <family val="2"/>
          </rPr>
          <t xml:space="preserve">).
-Utilidad en venta de ANCMV </t>
        </r>
        <r>
          <rPr>
            <b/>
            <sz val="9"/>
            <color indexed="81"/>
            <rFont val="Tahoma"/>
            <family val="2"/>
          </rPr>
          <t xml:space="preserve">$540
</t>
        </r>
        <r>
          <rPr>
            <sz val="9"/>
            <color indexed="81"/>
            <rFont val="Tahoma"/>
            <family val="2"/>
          </rPr>
          <t xml:space="preserve">-Utilidad en venta de inversiones </t>
        </r>
        <r>
          <rPr>
            <b/>
            <sz val="9"/>
            <color indexed="81"/>
            <rFont val="Tahoma"/>
            <family val="2"/>
          </rPr>
          <t xml:space="preserve">$74.700
</t>
        </r>
        <r>
          <rPr>
            <sz val="9"/>
            <color indexed="81"/>
            <rFont val="Tahoma"/>
            <family val="2"/>
          </rPr>
          <t xml:space="preserve">-Utilidad en venta y valoración de activos biológicos </t>
        </r>
        <r>
          <rPr>
            <b/>
            <sz val="9"/>
            <color indexed="81"/>
            <rFont val="Tahoma"/>
            <family val="2"/>
          </rPr>
          <t>$0</t>
        </r>
        <r>
          <rPr>
            <sz val="9"/>
            <color indexed="81"/>
            <rFont val="Tahoma"/>
            <family val="2"/>
          </rPr>
          <t xml:space="preserve">
-Otros ingresos </t>
        </r>
        <r>
          <rPr>
            <b/>
            <sz val="9"/>
            <color indexed="81"/>
            <rFont val="Tahoma"/>
            <family val="2"/>
          </rPr>
          <t>$9.960</t>
        </r>
        <r>
          <rPr>
            <sz val="9"/>
            <color indexed="81"/>
            <rFont val="Tahoma"/>
            <family val="2"/>
          </rPr>
          <t xml:space="preserve"> (Aprovechamientos </t>
        </r>
        <r>
          <rPr>
            <b/>
            <sz val="9"/>
            <color indexed="81"/>
            <rFont val="Tahoma"/>
            <family val="2"/>
          </rPr>
          <t>$1.742</t>
        </r>
        <r>
          <rPr>
            <sz val="9"/>
            <color indexed="81"/>
            <rFont val="Tahoma"/>
            <family val="2"/>
          </rPr>
          <t xml:space="preserve">, otros </t>
        </r>
        <r>
          <rPr>
            <b/>
            <sz val="9"/>
            <color indexed="81"/>
            <rFont val="Tahoma"/>
            <family val="2"/>
          </rPr>
          <t>$8.218</t>
        </r>
        <r>
          <rPr>
            <sz val="9"/>
            <color indexed="81"/>
            <rFont val="Tahoma"/>
            <family val="2"/>
          </rPr>
          <t xml:space="preserve">)
-Ingresos especiales </t>
        </r>
        <r>
          <rPr>
            <b/>
            <sz val="9"/>
            <color indexed="81"/>
            <rFont val="Tahoma"/>
            <family val="2"/>
          </rPr>
          <t>$512</t>
        </r>
        <r>
          <rPr>
            <sz val="9"/>
            <color indexed="81"/>
            <rFont val="Tahoma"/>
            <family val="2"/>
          </rPr>
          <t xml:space="preserve"> (Subvenciones </t>
        </r>
        <r>
          <rPr>
            <b/>
            <sz val="9"/>
            <color indexed="81"/>
            <rFont val="Tahoma"/>
            <family val="2"/>
          </rPr>
          <t>$512</t>
        </r>
        <r>
          <rPr>
            <sz val="9"/>
            <color indexed="81"/>
            <rFont val="Tahoma"/>
            <family val="2"/>
          </rPr>
          <t>)</t>
        </r>
      </text>
    </comment>
    <comment ref="N36" authorId="1" shapeId="0" xr:uid="{8D6C9D36-0F3F-43AD-BF9B-3934728DFF38}">
      <text>
        <r>
          <rPr>
            <sz val="9"/>
            <color indexed="81"/>
            <rFont val="Tahoma"/>
            <family val="2"/>
          </rPr>
          <t xml:space="preserve"> -Indemnizaciones </t>
        </r>
        <r>
          <rPr>
            <b/>
            <sz val="9"/>
            <color indexed="81"/>
            <rFont val="Tahoma"/>
            <family val="2"/>
          </rPr>
          <t>$3.395</t>
        </r>
        <r>
          <rPr>
            <sz val="9"/>
            <color indexed="81"/>
            <rFont val="Tahoma"/>
            <family val="2"/>
          </rPr>
          <t xml:space="preserve"> (Siniestro </t>
        </r>
        <r>
          <rPr>
            <b/>
            <sz val="9"/>
            <color indexed="81"/>
            <rFont val="Tahoma"/>
            <family val="2"/>
          </rPr>
          <t>$3.109</t>
        </r>
        <r>
          <rPr>
            <sz val="9"/>
            <color indexed="81"/>
            <rFont val="Tahoma"/>
            <family val="2"/>
          </rPr>
          <t xml:space="preserve">, Otras </t>
        </r>
        <r>
          <rPr>
            <b/>
            <sz val="9"/>
            <color indexed="81"/>
            <rFont val="Tahoma"/>
            <family val="2"/>
          </rPr>
          <t>$286</t>
        </r>
        <r>
          <rPr>
            <sz val="9"/>
            <color indexed="81"/>
            <rFont val="Tahoma"/>
            <family val="2"/>
          </rPr>
          <t xml:space="preserve">)
 -Util. vta. AF. </t>
        </r>
        <r>
          <rPr>
            <b/>
            <sz val="9"/>
            <color indexed="81"/>
            <rFont val="Tahoma"/>
            <family val="2"/>
          </rPr>
          <t>$4.709</t>
        </r>
        <r>
          <rPr>
            <sz val="9"/>
            <color indexed="81"/>
            <rFont val="Tahoma"/>
            <family val="2"/>
          </rPr>
          <t xml:space="preserve">
 -Recuperaciones </t>
        </r>
        <r>
          <rPr>
            <b/>
            <sz val="9"/>
            <color indexed="81"/>
            <rFont val="Tahoma"/>
            <family val="2"/>
          </rPr>
          <t>$74.936</t>
        </r>
        <r>
          <rPr>
            <sz val="9"/>
            <color indexed="81"/>
            <rFont val="Tahoma"/>
            <family val="2"/>
          </rPr>
          <t xml:space="preserve"> (Reintegro costos y gastos </t>
        </r>
        <r>
          <rPr>
            <b/>
            <sz val="9"/>
            <color indexed="81"/>
            <rFont val="Tahoma"/>
            <family val="2"/>
          </rPr>
          <t>$39.527</t>
        </r>
        <r>
          <rPr>
            <sz val="9"/>
            <color indexed="81"/>
            <rFont val="Tahoma"/>
            <family val="2"/>
          </rPr>
          <t xml:space="preserve">, recuperación deterioro </t>
        </r>
        <r>
          <rPr>
            <b/>
            <sz val="9"/>
            <color indexed="81"/>
            <rFont val="Tahoma"/>
            <family val="2"/>
          </rPr>
          <t>$9.289</t>
        </r>
        <r>
          <rPr>
            <sz val="9"/>
            <color indexed="81"/>
            <rFont val="Tahoma"/>
            <family val="2"/>
          </rPr>
          <t xml:space="preserve">, recuperación de cuentas por cobrar </t>
        </r>
        <r>
          <rPr>
            <b/>
            <sz val="9"/>
            <color indexed="81"/>
            <rFont val="Tahoma"/>
            <family val="2"/>
          </rPr>
          <t>$456</t>
        </r>
        <r>
          <rPr>
            <sz val="9"/>
            <color indexed="81"/>
            <rFont val="Tahoma"/>
            <family val="2"/>
          </rPr>
          <t xml:space="preserve">, recuperación provisiones litigios </t>
        </r>
        <r>
          <rPr>
            <b/>
            <sz val="9"/>
            <color indexed="81"/>
            <rFont val="Tahoma"/>
            <family val="2"/>
          </rPr>
          <t>$1.172</t>
        </r>
        <r>
          <rPr>
            <sz val="9"/>
            <color indexed="81"/>
            <rFont val="Tahoma"/>
            <family val="2"/>
          </rPr>
          <t xml:space="preserve">, recuperación otras provisiones </t>
        </r>
        <r>
          <rPr>
            <b/>
            <sz val="9"/>
            <color indexed="81"/>
            <rFont val="Tahoma"/>
            <family val="2"/>
          </rPr>
          <t>$2.387</t>
        </r>
        <r>
          <rPr>
            <sz val="9"/>
            <color indexed="81"/>
            <rFont val="Tahoma"/>
            <family val="2"/>
          </rPr>
          <t xml:space="preserve">, recuperación seguros </t>
        </r>
        <r>
          <rPr>
            <b/>
            <sz val="9"/>
            <color indexed="81"/>
            <rFont val="Tahoma"/>
            <family val="2"/>
          </rPr>
          <t>$1.136</t>
        </r>
        <r>
          <rPr>
            <sz val="9"/>
            <color indexed="81"/>
            <rFont val="Tahoma"/>
            <family val="2"/>
          </rPr>
          <t xml:space="preserve">, recuperación derechos de uso </t>
        </r>
        <r>
          <rPr>
            <b/>
            <sz val="9"/>
            <color indexed="81"/>
            <rFont val="Tahoma"/>
            <family val="2"/>
          </rPr>
          <t>$18.259</t>
        </r>
        <r>
          <rPr>
            <sz val="9"/>
            <color indexed="81"/>
            <rFont val="Tahoma"/>
            <family val="2"/>
          </rPr>
          <t xml:space="preserve">, recuperación beneficios por terminación </t>
        </r>
        <r>
          <rPr>
            <b/>
            <sz val="9"/>
            <color indexed="81"/>
            <rFont val="Tahoma"/>
            <family val="2"/>
          </rPr>
          <t>$2.159</t>
        </r>
        <r>
          <rPr>
            <sz val="9"/>
            <color indexed="81"/>
            <rFont val="Tahoma"/>
            <family val="2"/>
          </rPr>
          <t xml:space="preserve">, recuperación préstamos a empleados </t>
        </r>
        <r>
          <rPr>
            <b/>
            <sz val="9"/>
            <color indexed="81"/>
            <rFont val="Tahoma"/>
            <family val="2"/>
          </rPr>
          <t>$551</t>
        </r>
        <r>
          <rPr>
            <sz val="9"/>
            <color indexed="81"/>
            <rFont val="Tahoma"/>
            <family val="2"/>
          </rPr>
          <t xml:space="preserve">).
-Utilidad en venta de ANCMV </t>
        </r>
        <r>
          <rPr>
            <b/>
            <sz val="9"/>
            <color indexed="81"/>
            <rFont val="Tahoma"/>
            <family val="2"/>
          </rPr>
          <t>$7</t>
        </r>
        <r>
          <rPr>
            <sz val="9"/>
            <color indexed="81"/>
            <rFont val="Tahoma"/>
            <family val="2"/>
          </rPr>
          <t xml:space="preserve">
 -Otros ingresos </t>
        </r>
        <r>
          <rPr>
            <b/>
            <sz val="9"/>
            <color indexed="81"/>
            <rFont val="Tahoma"/>
            <family val="2"/>
          </rPr>
          <t>$18.678</t>
        </r>
        <r>
          <rPr>
            <sz val="9"/>
            <color indexed="81"/>
            <rFont val="Tahoma"/>
            <family val="2"/>
          </rPr>
          <t xml:space="preserve"> (Aprovechamientos </t>
        </r>
        <r>
          <rPr>
            <b/>
            <sz val="9"/>
            <color indexed="81"/>
            <rFont val="Tahoma"/>
            <family val="2"/>
          </rPr>
          <t>$2.752</t>
        </r>
        <r>
          <rPr>
            <sz val="9"/>
            <color indexed="81"/>
            <rFont val="Tahoma"/>
            <family val="2"/>
          </rPr>
          <t xml:space="preserve">, otros </t>
        </r>
        <r>
          <rPr>
            <b/>
            <sz val="9"/>
            <color indexed="81"/>
            <rFont val="Tahoma"/>
            <family val="2"/>
          </rPr>
          <t>$15.926</t>
        </r>
        <r>
          <rPr>
            <sz val="9"/>
            <color indexed="81"/>
            <rFont val="Tahoma"/>
            <family val="2"/>
          </rPr>
          <t xml:space="preserve">)
-Ingresos especiales </t>
        </r>
        <r>
          <rPr>
            <b/>
            <sz val="9"/>
            <color indexed="81"/>
            <rFont val="Tahoma"/>
            <family val="2"/>
          </rPr>
          <t>$177.239</t>
        </r>
        <r>
          <rPr>
            <sz val="9"/>
            <color indexed="81"/>
            <rFont val="Tahoma"/>
            <family val="2"/>
          </rPr>
          <t xml:space="preserve"> (Subvenciones </t>
        </r>
        <r>
          <rPr>
            <b/>
            <sz val="9"/>
            <color indexed="81"/>
            <rFont val="Tahoma"/>
            <family val="2"/>
          </rPr>
          <t>$47</t>
        </r>
        <r>
          <rPr>
            <sz val="9"/>
            <color indexed="81"/>
            <rFont val="Tahoma"/>
            <family val="2"/>
          </rPr>
          <t xml:space="preserve">, utilidad en disposición de activos que constituyen un negocio </t>
        </r>
        <r>
          <rPr>
            <b/>
            <sz val="9"/>
            <color indexed="81"/>
            <rFont val="Tahoma"/>
            <family val="2"/>
          </rPr>
          <t>$177.192</t>
        </r>
        <r>
          <rPr>
            <sz val="9"/>
            <color indexed="81"/>
            <rFont val="Tahoma"/>
            <family val="2"/>
          </rPr>
          <t>)</t>
        </r>
      </text>
    </comment>
    <comment ref="C37" authorId="2" shapeId="0" xr:uid="{5B1ADACB-1347-48DF-84B0-A2500B1CE675}">
      <text>
        <r>
          <rPr>
            <sz val="9"/>
            <color indexed="81"/>
            <rFont val="Tahoma"/>
            <family val="2"/>
          </rPr>
          <t xml:space="preserve">-Deterioro de activos y crédito mercantil </t>
        </r>
        <r>
          <rPr>
            <b/>
            <sz val="9"/>
            <color indexed="81"/>
            <rFont val="Tahoma"/>
            <family val="2"/>
          </rPr>
          <t>$71.177</t>
        </r>
        <r>
          <rPr>
            <sz val="9"/>
            <color indexed="81"/>
            <rFont val="Tahoma"/>
            <family val="2"/>
          </rPr>
          <t xml:space="preserve"> (En Celsia principalmente por deterioro de construcciones y edificaciones en curso de Povernir II </t>
        </r>
        <r>
          <rPr>
            <b/>
            <sz val="9"/>
            <color indexed="81"/>
            <rFont val="Tahoma"/>
            <family val="2"/>
          </rPr>
          <t>$12.500</t>
        </r>
        <r>
          <rPr>
            <sz val="9"/>
            <color indexed="81"/>
            <rFont val="Tahoma"/>
            <family val="2"/>
          </rPr>
          <t xml:space="preserve"> y deterioro de la inversión en el negocio conjunto Muverang </t>
        </r>
        <r>
          <rPr>
            <b/>
            <sz val="9"/>
            <color indexed="81"/>
            <rFont val="Tahoma"/>
            <family val="2"/>
          </rPr>
          <t>$4.740</t>
        </r>
        <r>
          <rPr>
            <sz val="9"/>
            <color indexed="81"/>
            <rFont val="Tahoma"/>
            <family val="2"/>
          </rPr>
          <t xml:space="preserve">, y en Cementos Argos por </t>
        </r>
        <r>
          <rPr>
            <b/>
            <sz val="9"/>
            <color indexed="81"/>
            <rFont val="Tahoma"/>
            <family val="2"/>
          </rPr>
          <t>$52.406</t>
        </r>
        <r>
          <rPr>
            <sz val="9"/>
            <color indexed="81"/>
            <rFont val="Tahoma"/>
            <family val="2"/>
          </rPr>
          <t xml:space="preserve"> correspondiente a deterioro de inventarios, maquinaria y equipo y repuestos estratégicos en Puerto Rico).
-Otros gastos </t>
        </r>
        <r>
          <rPr>
            <b/>
            <sz val="9"/>
            <color indexed="81"/>
            <rFont val="Tahoma"/>
            <family val="2"/>
          </rPr>
          <t>$76.500</t>
        </r>
        <r>
          <rPr>
            <sz val="9"/>
            <color indexed="81"/>
            <rFont val="Tahoma"/>
            <family val="2"/>
          </rPr>
          <t xml:space="preserve"> (GMF e impuestos asumidos </t>
        </r>
        <r>
          <rPr>
            <b/>
            <sz val="9"/>
            <color indexed="81"/>
            <rFont val="Tahoma"/>
            <family val="2"/>
          </rPr>
          <t>$29.569</t>
        </r>
        <r>
          <rPr>
            <sz val="9"/>
            <color indexed="81"/>
            <rFont val="Tahoma"/>
            <family val="2"/>
          </rPr>
          <t xml:space="preserve"> (principalmente GMF por </t>
        </r>
        <r>
          <rPr>
            <b/>
            <sz val="9"/>
            <color indexed="81"/>
            <rFont val="Tahoma"/>
            <family val="2"/>
          </rPr>
          <t>$20.766</t>
        </r>
        <r>
          <rPr>
            <sz val="9"/>
            <color indexed="81"/>
            <rFont val="Tahoma"/>
            <family val="2"/>
          </rPr>
          <t xml:space="preserve"> e impuestos asumidos por </t>
        </r>
        <r>
          <rPr>
            <b/>
            <sz val="9"/>
            <color indexed="81"/>
            <rFont val="Tahoma"/>
            <family val="2"/>
          </rPr>
          <t>$8.803</t>
        </r>
        <r>
          <rPr>
            <sz val="9"/>
            <color indexed="81"/>
            <rFont val="Tahoma"/>
            <family val="2"/>
          </rPr>
          <t xml:space="preserve"> (Celsia </t>
        </r>
        <r>
          <rPr>
            <b/>
            <sz val="9"/>
            <color indexed="81"/>
            <rFont val="Tahoma"/>
            <family val="2"/>
          </rPr>
          <t>$2.289</t>
        </r>
        <r>
          <rPr>
            <sz val="9"/>
            <color indexed="81"/>
            <rFont val="Tahoma"/>
            <family val="2"/>
          </rPr>
          <t xml:space="preserve">*; Cementos </t>
        </r>
        <r>
          <rPr>
            <b/>
            <sz val="9"/>
            <color indexed="81"/>
            <rFont val="Tahoma"/>
            <family val="2"/>
          </rPr>
          <t>$4.775</t>
        </r>
        <r>
          <rPr>
            <sz val="9"/>
            <color indexed="81"/>
            <rFont val="Tahoma"/>
            <family val="2"/>
          </rPr>
          <t xml:space="preserve">**), multas, sanciones y litigios </t>
        </r>
        <r>
          <rPr>
            <b/>
            <sz val="9"/>
            <color indexed="81"/>
            <rFont val="Tahoma"/>
            <family val="2"/>
          </rPr>
          <t>$11.205</t>
        </r>
        <r>
          <rPr>
            <sz val="9"/>
            <color indexed="81"/>
            <rFont val="Tahoma"/>
            <family val="2"/>
          </rPr>
          <t xml:space="preserve">, donaciones </t>
        </r>
        <r>
          <rPr>
            <b/>
            <sz val="9"/>
            <color indexed="81"/>
            <rFont val="Tahoma"/>
            <family val="2"/>
          </rPr>
          <t>$35.726</t>
        </r>
        <r>
          <rPr>
            <sz val="9"/>
            <color indexed="81"/>
            <rFont val="Tahoma"/>
            <family val="2"/>
          </rPr>
          <t xml:space="preserve">).
-Pérdida en venta y retiro de bienes </t>
        </r>
        <r>
          <rPr>
            <b/>
            <sz val="9"/>
            <color indexed="81"/>
            <rFont val="Tahoma"/>
            <family val="2"/>
          </rPr>
          <t>$8.241</t>
        </r>
        <r>
          <rPr>
            <sz val="9"/>
            <color indexed="81"/>
            <rFont val="Tahoma"/>
            <family val="2"/>
          </rPr>
          <t xml:space="preserve"> (principalmente en Celsia </t>
        </r>
        <r>
          <rPr>
            <b/>
            <sz val="9"/>
            <color indexed="81"/>
            <rFont val="Tahoma"/>
            <family val="2"/>
          </rPr>
          <t>$3.507</t>
        </r>
        <r>
          <rPr>
            <sz val="9"/>
            <color indexed="81"/>
            <rFont val="Tahoma"/>
            <family val="2"/>
          </rPr>
          <t xml:space="preserve">, saneamiento predial de terrenos rurales del bajo Anchicayá en donde se dieron de baja 32 folios de Celsia Colombia S.A. E.S.P. y baja de construcciones en curso activos del contrato; en Cementos </t>
        </r>
        <r>
          <rPr>
            <b/>
            <sz val="9"/>
            <color indexed="81"/>
            <rFont val="Tahoma"/>
            <family val="2"/>
          </rPr>
          <t>$4.446</t>
        </r>
        <r>
          <rPr>
            <sz val="9"/>
            <color indexed="81"/>
            <rFont val="Tahoma"/>
            <family val="2"/>
          </rPr>
          <t xml:space="preserve">, pérdida en venta y retiro de propiedad, planta y equipo </t>
        </r>
        <r>
          <rPr>
            <b/>
            <sz val="9"/>
            <color indexed="81"/>
            <rFont val="Tahoma"/>
            <family val="2"/>
          </rPr>
          <t>$3.025</t>
        </r>
        <r>
          <rPr>
            <sz val="9"/>
            <color indexed="81"/>
            <rFont val="Tahoma"/>
            <family val="2"/>
          </rPr>
          <t xml:space="preserve">, pérdida en retiro de cartera </t>
        </r>
        <r>
          <rPr>
            <b/>
            <sz val="9"/>
            <color indexed="81"/>
            <rFont val="Tahoma"/>
            <family val="2"/>
          </rPr>
          <t>$749</t>
        </r>
        <r>
          <rPr>
            <sz val="9"/>
            <color indexed="81"/>
            <rFont val="Tahoma"/>
            <family val="2"/>
          </rPr>
          <t xml:space="preserve">, pérdida en retiro de activos por derecho de uso </t>
        </r>
        <r>
          <rPr>
            <b/>
            <sz val="9"/>
            <color indexed="81"/>
            <rFont val="Tahoma"/>
            <family val="2"/>
          </rPr>
          <t>$388</t>
        </r>
        <r>
          <rPr>
            <sz val="9"/>
            <color indexed="81"/>
            <rFont val="Tahoma"/>
            <family val="2"/>
          </rPr>
          <t xml:space="preserve"> y otros activos </t>
        </r>
        <r>
          <rPr>
            <b/>
            <sz val="9"/>
            <color indexed="81"/>
            <rFont val="Tahoma"/>
            <family val="2"/>
          </rPr>
          <t>$284</t>
        </r>
        <r>
          <rPr>
            <sz val="9"/>
            <color indexed="81"/>
            <rFont val="Tahoma"/>
            <family val="2"/>
          </rPr>
          <t xml:space="preserve">)
-Gastos no recurrentes </t>
        </r>
        <r>
          <rPr>
            <b/>
            <sz val="9"/>
            <color indexed="81"/>
            <rFont val="Tahoma"/>
            <family val="2"/>
          </rPr>
          <t>$9.557</t>
        </r>
        <r>
          <rPr>
            <sz val="9"/>
            <color indexed="81"/>
            <rFont val="Tahoma"/>
            <family val="2"/>
          </rPr>
          <t xml:space="preserve"> (Indemnizaciones </t>
        </r>
        <r>
          <rPr>
            <b/>
            <sz val="9"/>
            <color indexed="81"/>
            <rFont val="Tahoma"/>
            <family val="2"/>
          </rPr>
          <t>$62</t>
        </r>
        <r>
          <rPr>
            <sz val="9"/>
            <color indexed="81"/>
            <rFont val="Tahoma"/>
            <family val="2"/>
          </rPr>
          <t xml:space="preserve">, Otros gastos no recurrentes </t>
        </r>
        <r>
          <rPr>
            <b/>
            <sz val="9"/>
            <color indexed="81"/>
            <rFont val="Tahoma"/>
            <family val="2"/>
          </rPr>
          <t>$9.495</t>
        </r>
        <r>
          <rPr>
            <sz val="9"/>
            <color indexed="81"/>
            <rFont val="Tahoma"/>
            <family val="2"/>
          </rPr>
          <t xml:space="preserve">***).
-Otros </t>
        </r>
        <r>
          <rPr>
            <b/>
            <sz val="9"/>
            <color indexed="81"/>
            <rFont val="Tahoma"/>
            <family val="2"/>
          </rPr>
          <t>$213.</t>
        </r>
        <r>
          <rPr>
            <sz val="9"/>
            <color indexed="81"/>
            <rFont val="Tahoma"/>
            <family val="2"/>
          </rPr>
          <t xml:space="preserve">
*Corresponde a impuestos asumidos en Celsia Centroamérica WHT (with holding tax), impuestos asumidos de deudores del servicio de internet, y rete ICA asumido por las sociedades en Colombia, especialmente Celsia Colombia S.A. E.S.P. 
**Principalmente por retenciones asumidas en rendimientos del exterior.
***Principalmente por reversiones de aprovechamientos en Cementos Argos S.A.
</t>
        </r>
      </text>
    </comment>
    <comment ref="E37" authorId="2" shapeId="0" xr:uid="{9ACAE317-F0A1-4B10-AC02-9D46EC9D2FBB}">
      <text>
        <r>
          <rPr>
            <sz val="9"/>
            <color indexed="81"/>
            <rFont val="Tahoma"/>
            <family val="2"/>
          </rPr>
          <t xml:space="preserve"> -Gastos no recurrentes </t>
        </r>
        <r>
          <rPr>
            <b/>
            <sz val="9"/>
            <color indexed="81"/>
            <rFont val="Tahoma"/>
            <family val="2"/>
          </rPr>
          <t>$9.401</t>
        </r>
        <r>
          <rPr>
            <sz val="9"/>
            <color indexed="81"/>
            <rFont val="Tahoma"/>
            <family val="2"/>
          </rPr>
          <t xml:space="preserve"> (Indemnizaciones </t>
        </r>
        <r>
          <rPr>
            <b/>
            <sz val="9"/>
            <color indexed="81"/>
            <rFont val="Tahoma"/>
            <family val="2"/>
          </rPr>
          <t>$3</t>
        </r>
        <r>
          <rPr>
            <sz val="9"/>
            <color indexed="81"/>
            <rFont val="Tahoma"/>
            <family val="2"/>
          </rPr>
          <t xml:space="preserve">, Otros gastos no recurrentes </t>
        </r>
        <r>
          <rPr>
            <b/>
            <sz val="9"/>
            <color indexed="81"/>
            <rFont val="Tahoma"/>
            <family val="2"/>
          </rPr>
          <t>$9.398</t>
        </r>
        <r>
          <rPr>
            <sz val="9"/>
            <color indexed="81"/>
            <rFont val="Tahoma"/>
            <family val="2"/>
          </rPr>
          <t xml:space="preserve">).
-Pérdida en venta de inversiones </t>
        </r>
        <r>
          <rPr>
            <b/>
            <sz val="9"/>
            <color indexed="81"/>
            <rFont val="Tahoma"/>
            <family val="2"/>
          </rPr>
          <t>$0</t>
        </r>
        <r>
          <rPr>
            <sz val="9"/>
            <color indexed="81"/>
            <rFont val="Tahoma"/>
            <family val="2"/>
          </rPr>
          <t xml:space="preserve">
 -Pérdida en venta y retiro de bienes </t>
        </r>
        <r>
          <rPr>
            <b/>
            <sz val="9"/>
            <color indexed="81"/>
            <rFont val="Tahoma"/>
            <family val="2"/>
          </rPr>
          <t xml:space="preserve">$3.696
</t>
        </r>
        <r>
          <rPr>
            <sz val="9"/>
            <color indexed="81"/>
            <rFont val="Tahoma"/>
            <family val="2"/>
          </rPr>
          <t xml:space="preserve"> -Pérdida en venta y valoración de activos biológicos </t>
        </r>
        <r>
          <rPr>
            <b/>
            <sz val="9"/>
            <color indexed="81"/>
            <rFont val="Tahoma"/>
            <family val="2"/>
          </rPr>
          <t>$0</t>
        </r>
        <r>
          <rPr>
            <sz val="9"/>
            <color indexed="81"/>
            <rFont val="Tahoma"/>
            <family val="2"/>
          </rPr>
          <t xml:space="preserve">
 -Pérdida en venta y retiro de propiedades de inversión </t>
        </r>
        <r>
          <rPr>
            <b/>
            <sz val="9"/>
            <color indexed="81"/>
            <rFont val="Tahoma"/>
            <family val="2"/>
          </rPr>
          <t>$0</t>
        </r>
        <r>
          <rPr>
            <sz val="9"/>
            <color indexed="81"/>
            <rFont val="Tahoma"/>
            <family val="2"/>
          </rPr>
          <t xml:space="preserve">
  -Otros gastos </t>
        </r>
        <r>
          <rPr>
            <b/>
            <sz val="9"/>
            <color indexed="81"/>
            <rFont val="Tahoma"/>
            <family val="2"/>
          </rPr>
          <t>$87.475</t>
        </r>
        <r>
          <rPr>
            <sz val="9"/>
            <color indexed="81"/>
            <rFont val="Tahoma"/>
            <family val="2"/>
          </rPr>
          <t xml:space="preserve"> (GMF e impuestos asumidos </t>
        </r>
        <r>
          <rPr>
            <b/>
            <sz val="9"/>
            <color indexed="81"/>
            <rFont val="Tahoma"/>
            <family val="2"/>
          </rPr>
          <t>$31.399</t>
        </r>
        <r>
          <rPr>
            <sz val="9"/>
            <color indexed="81"/>
            <rFont val="Tahoma"/>
            <family val="2"/>
          </rPr>
          <t xml:space="preserve">, multas, sanciones y litigios </t>
        </r>
        <r>
          <rPr>
            <b/>
            <sz val="9"/>
            <color indexed="81"/>
            <rFont val="Tahoma"/>
            <family val="2"/>
          </rPr>
          <t>$20.013</t>
        </r>
        <r>
          <rPr>
            <sz val="9"/>
            <color indexed="81"/>
            <rFont val="Tahoma"/>
            <family val="2"/>
          </rPr>
          <t xml:space="preserve">, donaciones </t>
        </r>
        <r>
          <rPr>
            <b/>
            <sz val="9"/>
            <color indexed="81"/>
            <rFont val="Tahoma"/>
            <family val="2"/>
          </rPr>
          <t>$36.064</t>
        </r>
        <r>
          <rPr>
            <sz val="9"/>
            <color indexed="81"/>
            <rFont val="Tahoma"/>
            <family val="2"/>
          </rPr>
          <t xml:space="preserve">)
-Deterioro de activos y crédito mercantil </t>
        </r>
        <r>
          <rPr>
            <b/>
            <sz val="9"/>
            <color indexed="81"/>
            <rFont val="Tahoma"/>
            <family val="2"/>
          </rPr>
          <t>$8.317</t>
        </r>
        <r>
          <rPr>
            <sz val="9"/>
            <color indexed="81"/>
            <rFont val="Tahoma"/>
            <family val="2"/>
          </rPr>
          <t xml:space="preserve">
-Gastos asociados a ANCMV </t>
        </r>
        <r>
          <rPr>
            <b/>
            <sz val="9"/>
            <color indexed="81"/>
            <rFont val="Tahoma"/>
            <family val="2"/>
          </rPr>
          <t>$0</t>
        </r>
      </text>
    </comment>
    <comment ref="N37" authorId="2" shapeId="0" xr:uid="{1ED464B2-F061-45A1-BD5A-072CFC67446B}">
      <text>
        <r>
          <rPr>
            <sz val="9"/>
            <color indexed="81"/>
            <rFont val="Tahoma"/>
            <family val="2"/>
          </rPr>
          <t xml:space="preserve"> -Gastos no recurrentes </t>
        </r>
        <r>
          <rPr>
            <b/>
            <sz val="9"/>
            <color indexed="81"/>
            <rFont val="Tahoma"/>
            <family val="2"/>
          </rPr>
          <t>$14.722</t>
        </r>
        <r>
          <rPr>
            <sz val="9"/>
            <color indexed="81"/>
            <rFont val="Tahoma"/>
            <family val="2"/>
          </rPr>
          <t xml:space="preserve"> (Otros gastos no recurrentes </t>
        </r>
        <r>
          <rPr>
            <b/>
            <sz val="9"/>
            <color indexed="81"/>
            <rFont val="Tahoma"/>
            <family val="2"/>
          </rPr>
          <t>$14.722</t>
        </r>
        <r>
          <rPr>
            <sz val="9"/>
            <color indexed="81"/>
            <rFont val="Tahoma"/>
            <family val="2"/>
          </rPr>
          <t xml:space="preserve">).
 -Pérdida en venta y retiro de bienes </t>
        </r>
        <r>
          <rPr>
            <b/>
            <sz val="9"/>
            <color indexed="81"/>
            <rFont val="Tahoma"/>
            <family val="2"/>
          </rPr>
          <t>$15.273</t>
        </r>
        <r>
          <rPr>
            <sz val="9"/>
            <color indexed="81"/>
            <rFont val="Tahoma"/>
            <family val="2"/>
          </rPr>
          <t xml:space="preserve">
 -Otros gastos </t>
        </r>
        <r>
          <rPr>
            <b/>
            <sz val="9"/>
            <color indexed="81"/>
            <rFont val="Tahoma"/>
            <family val="2"/>
          </rPr>
          <t>$53.568</t>
        </r>
        <r>
          <rPr>
            <sz val="9"/>
            <color indexed="81"/>
            <rFont val="Tahoma"/>
            <family val="2"/>
          </rPr>
          <t xml:space="preserve"> (GMF e impuestos asumidos </t>
        </r>
        <r>
          <rPr>
            <b/>
            <sz val="9"/>
            <color indexed="81"/>
            <rFont val="Tahoma"/>
            <family val="2"/>
          </rPr>
          <t>$19.920</t>
        </r>
        <r>
          <rPr>
            <sz val="9"/>
            <color indexed="81"/>
            <rFont val="Tahoma"/>
            <family val="2"/>
          </rPr>
          <t xml:space="preserve">, multas, sanciones y litigios </t>
        </r>
        <r>
          <rPr>
            <b/>
            <sz val="9"/>
            <color indexed="81"/>
            <rFont val="Tahoma"/>
            <family val="2"/>
          </rPr>
          <t>$3.904</t>
        </r>
        <r>
          <rPr>
            <sz val="9"/>
            <color indexed="81"/>
            <rFont val="Tahoma"/>
            <family val="2"/>
          </rPr>
          <t xml:space="preserve">, donaciones </t>
        </r>
        <r>
          <rPr>
            <b/>
            <sz val="9"/>
            <color indexed="81"/>
            <rFont val="Tahoma"/>
            <family val="2"/>
          </rPr>
          <t>$29.743</t>
        </r>
        <r>
          <rPr>
            <sz val="9"/>
            <color indexed="81"/>
            <rFont val="Tahoma"/>
            <family val="2"/>
          </rPr>
          <t xml:space="preserve">, gastos por procesos judiciales </t>
        </r>
        <r>
          <rPr>
            <b/>
            <sz val="9"/>
            <color indexed="81"/>
            <rFont val="Tahoma"/>
            <family val="2"/>
          </rPr>
          <t>$1</t>
        </r>
        <r>
          <rPr>
            <sz val="9"/>
            <color indexed="81"/>
            <rFont val="Tahoma"/>
            <family val="2"/>
          </rPr>
          <t>)</t>
        </r>
      </text>
    </comment>
    <comment ref="C47" authorId="2" shapeId="0" xr:uid="{96473BCF-1B1C-4B26-991E-50D5D4736241}">
      <text>
        <r>
          <rPr>
            <b/>
            <sz val="9"/>
            <color indexed="81"/>
            <rFont val="Tahoma"/>
            <family val="2"/>
          </rPr>
          <t>Anexo fcieros.</t>
        </r>
      </text>
    </comment>
    <comment ref="E47" authorId="2" shapeId="0" xr:uid="{B65493F6-4D6B-43A2-AB21-D579851799E8}">
      <text>
        <r>
          <rPr>
            <b/>
            <sz val="9"/>
            <color indexed="81"/>
            <rFont val="Tahoma"/>
            <family val="2"/>
          </rPr>
          <t>Anexo fcieros.</t>
        </r>
      </text>
    </comment>
    <comment ref="N47" authorId="2" shapeId="0" xr:uid="{E027E9F6-C58F-4D67-B63A-5BF23713714A}">
      <text>
        <r>
          <rPr>
            <b/>
            <sz val="9"/>
            <color indexed="81"/>
            <rFont val="Tahoma"/>
            <family val="2"/>
          </rPr>
          <t>Anexo fcieros.</t>
        </r>
      </text>
    </comment>
    <comment ref="C49" authorId="6" shapeId="0" xr:uid="{B3F9C10B-9140-449A-BDFD-550E08F78DF1}">
      <text>
        <r>
          <rPr>
            <b/>
            <sz val="9"/>
            <color indexed="81"/>
            <rFont val="Tahoma"/>
            <family val="2"/>
          </rPr>
          <t>$119.319:</t>
        </r>
        <r>
          <rPr>
            <sz val="9"/>
            <color indexed="81"/>
            <rFont val="Tahoma"/>
            <family val="2"/>
          </rPr>
          <t xml:space="preserve">
Grupo Argos </t>
        </r>
        <r>
          <rPr>
            <b/>
            <sz val="9"/>
            <color indexed="81"/>
            <rFont val="Tahoma"/>
            <family val="2"/>
          </rPr>
          <t>($17.374)</t>
        </r>
        <r>
          <rPr>
            <sz val="9"/>
            <color indexed="81"/>
            <rFont val="Tahoma"/>
            <family val="2"/>
          </rPr>
          <t xml:space="preserve">
Cementos </t>
        </r>
        <r>
          <rPr>
            <b/>
            <sz val="9"/>
            <color indexed="81"/>
            <rFont val="Tahoma"/>
            <family val="2"/>
          </rPr>
          <t>$131.475</t>
        </r>
        <r>
          <rPr>
            <sz val="9"/>
            <color indexed="81"/>
            <rFont val="Tahoma"/>
            <family val="2"/>
          </rPr>
          <t xml:space="preserve"> Durante el periodo se registraron ingresos por diferencia en cambio no realizada por $110.448, principalmente en Cementos Argos, como resultado de la disminución del valor del dólar estadounidense (USD) frente al peso colombiano, lo que generó ingresos no realizados debido a una posición neta negativa en USD y pasivos en esta moneda que no están totalmente cubiertos. Adicionalmente, se reconocieron ingresos por $24.593 en Argos Honduras, derivados de la valoración de la inversión en bonos en moneda extranjera con Cementos Argos por USD 198,5 millones. Por otro lado, se presentó una pérdida de ($3.566) en las demás filiales, atribuida a la volatilidad en la tasa representativa del mercado (TRM).
Celsia </t>
        </r>
        <r>
          <rPr>
            <b/>
            <sz val="9"/>
            <color indexed="81"/>
            <rFont val="Tahoma"/>
            <family val="2"/>
          </rPr>
          <t>$9.503</t>
        </r>
        <r>
          <rPr>
            <sz val="9"/>
            <color indexed="81"/>
            <rFont val="Tahoma"/>
            <family val="2"/>
          </rPr>
          <t xml:space="preserve"> *Efecto de la variación de tasas de cambio en obligaciones financieras, deudores e inversiones.
Odinsa </t>
        </r>
        <r>
          <rPr>
            <b/>
            <sz val="9"/>
            <color indexed="81"/>
            <rFont val="Tahoma"/>
            <family val="2"/>
          </rPr>
          <t>($3.573)</t>
        </r>
        <r>
          <rPr>
            <sz val="9"/>
            <color indexed="81"/>
            <rFont val="Tahoma"/>
            <family val="2"/>
          </rPr>
          <t xml:space="preserve">
Otras </t>
        </r>
        <r>
          <rPr>
            <b/>
            <sz val="9"/>
            <color indexed="81"/>
            <rFont val="Tahoma"/>
            <family val="2"/>
          </rPr>
          <t>($712)</t>
        </r>
      </text>
    </comment>
    <comment ref="E49" authorId="2" shapeId="0" xr:uid="{A9AD9AD1-0FF6-4914-860D-ED55FEA7C2B2}">
      <text>
        <r>
          <rPr>
            <b/>
            <sz val="9"/>
            <color indexed="81"/>
            <rFont val="Tahoma"/>
            <family val="2"/>
          </rPr>
          <t>Anexo fcieros.</t>
        </r>
      </text>
    </comment>
    <comment ref="N49" authorId="2" shapeId="0" xr:uid="{27A55DBE-ECB0-4C7C-9DED-726396B6118E}">
      <text>
        <r>
          <rPr>
            <b/>
            <sz val="9"/>
            <color indexed="81"/>
            <rFont val="Tahoma"/>
            <family val="2"/>
          </rPr>
          <t>Anexo fcieros.</t>
        </r>
      </text>
    </comment>
    <comment ref="C55" authorId="3" shapeId="0" xr:uid="{4DA1FB15-EFD9-44F1-803E-4891421D8B7F}">
      <text>
        <r>
          <rPr>
            <sz val="9"/>
            <color indexed="81"/>
            <rFont val="Tahoma"/>
            <family val="2"/>
          </rPr>
          <t>Ver anexo "Imp. Renta"</t>
        </r>
      </text>
    </comment>
    <comment ref="E55" authorId="3" shapeId="0" xr:uid="{AD008970-4547-47A6-95B7-6C9145454D65}">
      <text>
        <r>
          <rPr>
            <sz val="9"/>
            <color indexed="81"/>
            <rFont val="Tahoma"/>
            <family val="2"/>
          </rPr>
          <t>Ver anexo "Imp. Renta"</t>
        </r>
      </text>
    </comment>
    <comment ref="N55" authorId="3" shapeId="0" xr:uid="{0B3CA14D-C8BB-4CE1-BBC3-7FF2DB57ED92}">
      <text>
        <r>
          <rPr>
            <sz val="9"/>
            <color indexed="81"/>
            <rFont val="Tahoma"/>
            <family val="2"/>
          </rPr>
          <t xml:space="preserve">Impuesto de renta corriente:          </t>
        </r>
        <r>
          <rPr>
            <b/>
            <sz val="9"/>
            <color indexed="81"/>
            <rFont val="Tahoma"/>
            <family val="2"/>
          </rPr>
          <t>290.510</t>
        </r>
        <r>
          <rPr>
            <sz val="9"/>
            <color indexed="81"/>
            <rFont val="Tahoma"/>
            <family val="2"/>
          </rPr>
          <t xml:space="preserve">
Impuesto diferido (ingreso):            </t>
        </r>
        <r>
          <rPr>
            <b/>
            <sz val="9"/>
            <color indexed="81"/>
            <rFont val="Tahoma"/>
            <family val="2"/>
          </rPr>
          <t>(61.505)</t>
        </r>
        <r>
          <rPr>
            <sz val="9"/>
            <color indexed="81"/>
            <rFont val="Tahoma"/>
            <family val="2"/>
          </rPr>
          <t xml:space="preserve">
Total                                                               </t>
        </r>
        <r>
          <rPr>
            <b/>
            <sz val="9"/>
            <color indexed="81"/>
            <rFont val="Tahoma"/>
            <family val="2"/>
          </rPr>
          <t>352.015</t>
        </r>
        <r>
          <rPr>
            <sz val="9"/>
            <color indexed="81"/>
            <rFont val="Tahoma"/>
            <family val="2"/>
          </rPr>
          <t xml:space="preserve">
*Grupo Argos </t>
        </r>
        <r>
          <rPr>
            <b/>
            <sz val="9"/>
            <color indexed="81"/>
            <rFont val="Tahoma"/>
            <family val="2"/>
          </rPr>
          <t>$(14.767)</t>
        </r>
        <r>
          <rPr>
            <sz val="9"/>
            <color indexed="81"/>
            <rFont val="Tahoma"/>
            <family val="2"/>
          </rPr>
          <t xml:space="preserve"> (Corriente </t>
        </r>
        <r>
          <rPr>
            <b/>
            <sz val="9"/>
            <color indexed="81"/>
            <rFont val="Tahoma"/>
            <family val="2"/>
          </rPr>
          <t>$(1.165)</t>
        </r>
        <r>
          <rPr>
            <sz val="9"/>
            <color indexed="81"/>
            <rFont val="Tahoma"/>
            <family val="2"/>
          </rPr>
          <t xml:space="preserve">; Diferido </t>
        </r>
        <r>
          <rPr>
            <b/>
            <sz val="9"/>
            <color indexed="81"/>
            <rFont val="Tahoma"/>
            <family val="2"/>
          </rPr>
          <t>$(13.602)</t>
        </r>
        <r>
          <rPr>
            <sz val="9"/>
            <color indexed="81"/>
            <rFont val="Tahoma"/>
            <family val="2"/>
          </rPr>
          <t xml:space="preserve">)
*Cementos </t>
        </r>
        <r>
          <rPr>
            <b/>
            <sz val="9"/>
            <color indexed="81"/>
            <rFont val="Tahoma"/>
            <family val="2"/>
          </rPr>
          <t>$217.745</t>
        </r>
        <r>
          <rPr>
            <sz val="9"/>
            <color indexed="81"/>
            <rFont val="Tahoma"/>
            <family val="2"/>
          </rPr>
          <t xml:space="preserve"> (Corriente </t>
        </r>
        <r>
          <rPr>
            <b/>
            <sz val="9"/>
            <color indexed="81"/>
            <rFont val="Tahoma"/>
            <family val="2"/>
          </rPr>
          <t>$101.166</t>
        </r>
        <r>
          <rPr>
            <sz val="9"/>
            <color indexed="81"/>
            <rFont val="Tahoma"/>
            <family val="2"/>
          </rPr>
          <t xml:space="preserve">; Diferido </t>
        </r>
        <r>
          <rPr>
            <b/>
            <sz val="9"/>
            <color indexed="81"/>
            <rFont val="Tahoma"/>
            <family val="2"/>
          </rPr>
          <t>$116.579</t>
        </r>
        <r>
          <rPr>
            <sz val="9"/>
            <color indexed="81"/>
            <rFont val="Tahoma"/>
            <family val="2"/>
          </rPr>
          <t xml:space="preserve">) 
*Celsia </t>
        </r>
        <r>
          <rPr>
            <b/>
            <sz val="9"/>
            <color indexed="81"/>
            <rFont val="Tahoma"/>
            <family val="2"/>
          </rPr>
          <t>$133.842</t>
        </r>
        <r>
          <rPr>
            <sz val="9"/>
            <color indexed="81"/>
            <rFont val="Tahoma"/>
            <family val="2"/>
          </rPr>
          <t xml:space="preserve"> (Corriente </t>
        </r>
        <r>
          <rPr>
            <b/>
            <sz val="9"/>
            <color indexed="81"/>
            <rFont val="Tahoma"/>
            <family val="2"/>
          </rPr>
          <t>$122.046</t>
        </r>
        <r>
          <rPr>
            <sz val="9"/>
            <color indexed="81"/>
            <rFont val="Tahoma"/>
            <family val="2"/>
          </rPr>
          <t xml:space="preserve">; Diferido </t>
        </r>
        <r>
          <rPr>
            <b/>
            <sz val="9"/>
            <color indexed="81"/>
            <rFont val="Tahoma"/>
            <family val="2"/>
          </rPr>
          <t>$11.796</t>
        </r>
        <r>
          <rPr>
            <sz val="9"/>
            <color indexed="81"/>
            <rFont val="Tahoma"/>
            <family val="2"/>
          </rPr>
          <t xml:space="preserve">)
*Odinsa </t>
        </r>
        <r>
          <rPr>
            <b/>
            <sz val="9"/>
            <color indexed="81"/>
            <rFont val="Tahoma"/>
            <family val="2"/>
          </rPr>
          <t>$60.180</t>
        </r>
        <r>
          <rPr>
            <sz val="9"/>
            <color indexed="81"/>
            <rFont val="Tahoma"/>
            <family val="2"/>
          </rPr>
          <t xml:space="preserve"> (Corriente </t>
        </r>
        <r>
          <rPr>
            <b/>
            <sz val="9"/>
            <color indexed="81"/>
            <rFont val="Tahoma"/>
            <family val="2"/>
          </rPr>
          <t>$62.353</t>
        </r>
        <r>
          <rPr>
            <sz val="9"/>
            <color indexed="81"/>
            <rFont val="Tahoma"/>
            <family val="2"/>
          </rPr>
          <t xml:space="preserve">; Diferido </t>
        </r>
        <r>
          <rPr>
            <b/>
            <sz val="9"/>
            <color indexed="81"/>
            <rFont val="Tahoma"/>
            <family val="2"/>
          </rPr>
          <t>$(2.173)</t>
        </r>
        <r>
          <rPr>
            <sz val="9"/>
            <color indexed="81"/>
            <rFont val="Tahoma"/>
            <family val="2"/>
          </rPr>
          <t xml:space="preserve">)
*Opain </t>
        </r>
        <r>
          <rPr>
            <b/>
            <sz val="9"/>
            <color indexed="81"/>
            <rFont val="Tahoma"/>
            <family val="2"/>
          </rPr>
          <t>$(51.856)</t>
        </r>
        <r>
          <rPr>
            <sz val="9"/>
            <color indexed="81"/>
            <rFont val="Tahoma"/>
            <family val="2"/>
          </rPr>
          <t xml:space="preserve"> (Corriente </t>
        </r>
        <r>
          <rPr>
            <b/>
            <sz val="9"/>
            <color indexed="81"/>
            <rFont val="Tahoma"/>
            <family val="2"/>
          </rPr>
          <t>$0</t>
        </r>
        <r>
          <rPr>
            <sz val="9"/>
            <color indexed="81"/>
            <rFont val="Tahoma"/>
            <family val="2"/>
          </rPr>
          <t xml:space="preserve">; Diferido </t>
        </r>
        <r>
          <rPr>
            <b/>
            <sz val="9"/>
            <color indexed="81"/>
            <rFont val="Tahoma"/>
            <family val="2"/>
          </rPr>
          <t>$(51.856)</t>
        </r>
        <r>
          <rPr>
            <sz val="9"/>
            <color indexed="81"/>
            <rFont val="Tahoma"/>
            <family val="2"/>
          </rPr>
          <t xml:space="preserve">)
*Sator </t>
        </r>
        <r>
          <rPr>
            <b/>
            <sz val="9"/>
            <color indexed="81"/>
            <rFont val="Tahoma"/>
            <family val="2"/>
          </rPr>
          <t>$8.217</t>
        </r>
        <r>
          <rPr>
            <sz val="9"/>
            <color indexed="81"/>
            <rFont val="Tahoma"/>
            <family val="2"/>
          </rPr>
          <t xml:space="preserve"> (Corriente </t>
        </r>
        <r>
          <rPr>
            <b/>
            <sz val="9"/>
            <color indexed="81"/>
            <rFont val="Tahoma"/>
            <family val="2"/>
          </rPr>
          <t>$5.870</t>
        </r>
        <r>
          <rPr>
            <sz val="9"/>
            <color indexed="81"/>
            <rFont val="Tahoma"/>
            <family val="2"/>
          </rPr>
          <t xml:space="preserve">; Diferido </t>
        </r>
        <r>
          <rPr>
            <b/>
            <sz val="9"/>
            <color indexed="81"/>
            <rFont val="Tahoma"/>
            <family val="2"/>
          </rPr>
          <t>$2.347</t>
        </r>
        <r>
          <rPr>
            <sz val="9"/>
            <color indexed="81"/>
            <rFont val="Tahoma"/>
            <family val="2"/>
          </rPr>
          <t xml:space="preserve">)
*Summa </t>
        </r>
        <r>
          <rPr>
            <b/>
            <sz val="9"/>
            <color indexed="81"/>
            <rFont val="Tahoma"/>
            <family val="2"/>
          </rPr>
          <t>$56</t>
        </r>
        <r>
          <rPr>
            <sz val="9"/>
            <color indexed="81"/>
            <rFont val="Tahoma"/>
            <family val="2"/>
          </rPr>
          <t xml:space="preserve"> - (Corriente </t>
        </r>
        <r>
          <rPr>
            <b/>
            <sz val="9"/>
            <color indexed="81"/>
            <rFont val="Tahoma"/>
            <family val="2"/>
          </rPr>
          <t>$240</t>
        </r>
        <r>
          <rPr>
            <sz val="9"/>
            <color indexed="81"/>
            <rFont val="Tahoma"/>
            <family val="2"/>
          </rPr>
          <t xml:space="preserve">; Diferido </t>
        </r>
        <r>
          <rPr>
            <b/>
            <sz val="9"/>
            <color indexed="81"/>
            <rFont val="Tahoma"/>
            <family val="2"/>
          </rPr>
          <t>$(184)</t>
        </r>
        <r>
          <rPr>
            <sz val="9"/>
            <color indexed="81"/>
            <rFont val="Tahoma"/>
            <family val="2"/>
          </rPr>
          <t xml:space="preserve">)
GA Consolidado </t>
        </r>
        <r>
          <rPr>
            <b/>
            <sz val="9"/>
            <color indexed="81"/>
            <rFont val="Tahoma"/>
            <family val="2"/>
          </rPr>
          <t>$(1.402)</t>
        </r>
        <r>
          <rPr>
            <sz val="9"/>
            <color indexed="81"/>
            <rFont val="Tahoma"/>
            <family val="2"/>
          </rPr>
          <t xml:space="preserve"> - Ingreso de impuesto diferido a nivel consolidado del periodo. </t>
        </r>
      </text>
    </comment>
    <comment ref="U55" authorId="7" shapeId="0" xr:uid="{FD5B4766-1F92-41A9-B13B-A381CF43929F}">
      <text>
        <r>
          <rPr>
            <b/>
            <sz val="9"/>
            <color indexed="81"/>
            <rFont val="Tahoma"/>
            <family val="2"/>
          </rPr>
          <t>Mauricio Restrepo:</t>
        </r>
        <r>
          <rPr>
            <sz val="9"/>
            <color indexed="81"/>
            <rFont val="Tahoma"/>
            <family val="2"/>
          </rPr>
          <t xml:space="preserve">
El impuesto diferido aumenta $18.395</t>
        </r>
      </text>
    </comment>
    <comment ref="C58" authorId="0" shapeId="0" xr:uid="{1AFC598A-F73D-48C8-B15C-0EA112F68652}">
      <text>
        <r>
          <rPr>
            <b/>
            <sz val="9"/>
            <color indexed="81"/>
            <rFont val="Tahoma"/>
            <family val="2"/>
          </rPr>
          <t xml:space="preserve">Ver "Anexo de transacciones" pestaña 20 | Oper. Discontinuadas
Summit: $1.986.031 (*)
</t>
        </r>
        <r>
          <rPr>
            <sz val="9"/>
            <color indexed="81"/>
            <rFont val="Tahoma"/>
            <family val="2"/>
          </rPr>
          <t>(*) Utilidad en venta $3.385.039; impuesto ($1.372.670); costos incrementales ($26.338)</t>
        </r>
      </text>
    </comment>
    <comment ref="E58" authorId="0" shapeId="0" xr:uid="{F4614E26-0097-43EE-B86C-6F5AA2D0AFA2}">
      <text>
        <r>
          <rPr>
            <b/>
            <sz val="9"/>
            <color indexed="81"/>
            <rFont val="Tahoma"/>
            <family val="2"/>
          </rPr>
          <t xml:space="preserve">Ver "Anexo de transacciones" pestaña 20 | Oper. Discontinuadas
Argos USA $5.484.808
</t>
        </r>
      </text>
    </comment>
    <comment ref="C59" authorId="0" shapeId="0" xr:uid="{79FEAD91-59EB-4365-AD01-E380AC1BE38B}">
      <text>
        <r>
          <rPr>
            <b/>
            <sz val="9"/>
            <color indexed="81"/>
            <rFont val="Tahoma"/>
            <family val="2"/>
          </rPr>
          <t xml:space="preserve">Ver "Anexo de transacciones" pestaña 20 | Oper. Discontinuadas
Escisión Sura $1.627.092 por venta de acciones por parte de Celsia por ($2.279), pérdida por escisión por ($47.187), reciclaje ORI del MPP de Grupo Sura por $1.318.643, costos incrementales de gastos de honorarios en Grupo Argos y Cementos por ($53.619), efecto por impuesto diferido por $411.534.
</t>
        </r>
      </text>
    </comment>
    <comment ref="E59" authorId="0" shapeId="0" xr:uid="{E61F18ED-D4AC-43E4-AADA-7F5FAE71FE11}">
      <text>
        <r>
          <rPr>
            <b/>
            <sz val="9"/>
            <color indexed="81"/>
            <rFont val="Tahoma"/>
            <family val="2"/>
          </rPr>
          <t>Ver "Anexo de transacciones" pestaña 20 | Oper. Discontinuadas
Escisión Sura $1.684.718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Luisa Fernanda Monsalve</author>
    <author>Juan Aristizabal</author>
    <author xml:space="preserve">Mayestty Nagles Vergara  </author>
    <author>Juan Esteban Aristizabal Restrepo</author>
    <author>Luz Cenelia Hernandez</author>
  </authors>
  <commentList>
    <comment ref="C8" authorId="0" shapeId="0" xr:uid="{7458F3B5-DE54-4F9E-BB6A-7A931D6433D3}">
      <text>
        <r>
          <rPr>
            <b/>
            <sz val="9"/>
            <color indexed="81"/>
            <rFont val="Tahoma"/>
            <family val="2"/>
          </rPr>
          <t>Corresponde a:
-</t>
        </r>
        <r>
          <rPr>
            <sz val="9"/>
            <color indexed="81"/>
            <rFont val="Tahoma"/>
            <family val="2"/>
          </rPr>
          <t xml:space="preserve">CDT (Time deposit en USD)  
-Fondos de inversión y carteras colectivas
-Caja y bancos </t>
        </r>
      </text>
    </comment>
    <comment ref="D8" authorId="0" shapeId="0" xr:uid="{E289E3E2-95E7-4436-BCFF-8AB3D2A911AF}">
      <text>
        <r>
          <rPr>
            <b/>
            <sz val="9"/>
            <color indexed="81"/>
            <rFont val="Tahoma"/>
            <family val="2"/>
          </rPr>
          <t>Corresponde a:
-</t>
        </r>
        <r>
          <rPr>
            <sz val="9"/>
            <color indexed="81"/>
            <rFont val="Tahoma"/>
            <family val="2"/>
          </rPr>
          <t xml:space="preserve">CDT (Time deposit en USD)  
-Fondos de inversión y carteras colectivas
-Caja y bancos </t>
        </r>
      </text>
    </comment>
    <comment ref="D9" authorId="1" shapeId="0" xr:uid="{4C18DED7-BFA1-400A-A37A-BF8FBDE32D8B}">
      <text>
        <r>
          <rPr>
            <b/>
            <sz val="9"/>
            <color indexed="81"/>
            <rFont val="Tahoma"/>
            <family val="2"/>
          </rPr>
          <t>Juan Aristizabal:</t>
        </r>
        <r>
          <rPr>
            <sz val="9"/>
            <color indexed="81"/>
            <rFont val="Tahoma"/>
            <family val="2"/>
          </rPr>
          <t xml:space="preserve">
FWD resultados
Swap ORI
Swap resultados</t>
        </r>
      </text>
    </comment>
    <comment ref="C10" authorId="0" shapeId="0" xr:uid="{F5D2DDD0-4297-4742-9591-0B9CEA99F5A3}">
      <text>
        <r>
          <rPr>
            <b/>
            <sz val="9"/>
            <color indexed="81"/>
            <rFont val="Tahoma"/>
            <family val="2"/>
          </rPr>
          <t>Corresponde a:</t>
        </r>
        <r>
          <rPr>
            <sz val="9"/>
            <color indexed="81"/>
            <rFont val="Tahoma"/>
            <family val="2"/>
          </rPr>
          <t xml:space="preserve">
CDT a VR con cambios en resultados </t>
        </r>
      </text>
    </comment>
    <comment ref="D10" authorId="0" shapeId="0" xr:uid="{F8B56E3C-7473-4533-90B4-7119E21609ED}">
      <text>
        <r>
          <rPr>
            <b/>
            <sz val="9"/>
            <color indexed="81"/>
            <rFont val="Tahoma"/>
            <family val="2"/>
          </rPr>
          <t>Corresponde a:</t>
        </r>
        <r>
          <rPr>
            <sz val="9"/>
            <color indexed="81"/>
            <rFont val="Tahoma"/>
            <family val="2"/>
          </rPr>
          <t xml:space="preserve">
CDT a VR con cambios en resultados </t>
        </r>
      </text>
    </comment>
    <comment ref="C11" authorId="0" shapeId="0" xr:uid="{00A808E9-B290-408B-A25E-607ECC309A49}">
      <text>
        <r>
          <rPr>
            <b/>
            <sz val="9"/>
            <color indexed="81"/>
            <rFont val="Tahoma"/>
            <family val="2"/>
          </rPr>
          <t>Corresponde a:</t>
        </r>
        <r>
          <rPr>
            <sz val="9"/>
            <color indexed="81"/>
            <rFont val="Tahoma"/>
            <family val="2"/>
          </rPr>
          <t xml:space="preserve">
Clientes Nacionales</t>
        </r>
        <r>
          <rPr>
            <sz val="9"/>
            <color indexed="81"/>
            <rFont val="Tahoma"/>
            <family val="2"/>
          </rPr>
          <t xml:space="preserve">
Cuentas por cobrar empleados</t>
        </r>
        <r>
          <rPr>
            <b/>
            <sz val="9"/>
            <color indexed="81"/>
            <rFont val="Tahoma"/>
            <family val="2"/>
          </rPr>
          <t xml:space="preserve">
</t>
        </r>
        <r>
          <rPr>
            <sz val="9"/>
            <color indexed="81"/>
            <rFont val="Tahoma"/>
            <family val="2"/>
          </rPr>
          <t>Dividendos por cobrar a partes relacionadas</t>
        </r>
        <r>
          <rPr>
            <b/>
            <sz val="9"/>
            <color indexed="81"/>
            <rFont val="Tahoma"/>
            <family val="2"/>
          </rPr>
          <t xml:space="preserve">
</t>
        </r>
        <r>
          <rPr>
            <sz val="9"/>
            <color indexed="81"/>
            <rFont val="Tahoma"/>
            <family val="2"/>
          </rPr>
          <t>Dividendos y otras participaciones por cobrar</t>
        </r>
        <r>
          <rPr>
            <sz val="9"/>
            <color indexed="81"/>
            <rFont val="Tahoma"/>
            <family val="2"/>
          </rPr>
          <t xml:space="preserve">
Cuentas por cobrar compañías vinculadas</t>
        </r>
        <r>
          <rPr>
            <sz val="9"/>
            <color indexed="81"/>
            <rFont val="Tahoma"/>
            <family val="2"/>
          </rPr>
          <t xml:space="preserve">
Otros deudores </t>
        </r>
        <r>
          <rPr>
            <sz val="9"/>
            <color indexed="81"/>
            <rFont val="Tahoma"/>
            <family val="2"/>
          </rPr>
          <t xml:space="preserve">
Activos por imptos </t>
        </r>
      </text>
    </comment>
    <comment ref="D11" authorId="0" shapeId="0" xr:uid="{BD1EC2FF-72AA-43F9-895F-A20375C36D93}">
      <text>
        <r>
          <rPr>
            <b/>
            <sz val="9"/>
            <color indexed="81"/>
            <rFont val="Tahoma"/>
            <family val="2"/>
          </rPr>
          <t>Corresponde a:</t>
        </r>
        <r>
          <rPr>
            <sz val="9"/>
            <color indexed="81"/>
            <rFont val="Tahoma"/>
            <family val="2"/>
          </rPr>
          <t xml:space="preserve">
Clientes Nacionales</t>
        </r>
        <r>
          <rPr>
            <sz val="9"/>
            <color indexed="81"/>
            <rFont val="Tahoma"/>
            <family val="2"/>
          </rPr>
          <t xml:space="preserve">
Cuentas por cobrar empleados</t>
        </r>
        <r>
          <rPr>
            <b/>
            <sz val="9"/>
            <color indexed="81"/>
            <rFont val="Tahoma"/>
            <family val="2"/>
          </rPr>
          <t xml:space="preserve">
</t>
        </r>
        <r>
          <rPr>
            <sz val="9"/>
            <color indexed="81"/>
            <rFont val="Tahoma"/>
            <family val="2"/>
          </rPr>
          <t>Dividendos por cobrar a partes relacionadas</t>
        </r>
        <r>
          <rPr>
            <b/>
            <sz val="9"/>
            <color indexed="81"/>
            <rFont val="Tahoma"/>
            <family val="2"/>
          </rPr>
          <t xml:space="preserve">
</t>
        </r>
        <r>
          <rPr>
            <sz val="9"/>
            <color indexed="81"/>
            <rFont val="Tahoma"/>
            <family val="2"/>
          </rPr>
          <t>Dividendos y otras participaciones por cobrar</t>
        </r>
        <r>
          <rPr>
            <sz val="9"/>
            <color indexed="81"/>
            <rFont val="Tahoma"/>
            <family val="2"/>
          </rPr>
          <t xml:space="preserve">
Cuentas por cobrar compañías vinculadas</t>
        </r>
        <r>
          <rPr>
            <sz val="9"/>
            <color indexed="81"/>
            <rFont val="Tahoma"/>
            <family val="2"/>
          </rPr>
          <t xml:space="preserve">
Otros deudores </t>
        </r>
        <r>
          <rPr>
            <sz val="9"/>
            <color indexed="81"/>
            <rFont val="Tahoma"/>
            <family val="2"/>
          </rPr>
          <t xml:space="preserve">
Activos por imptos </t>
        </r>
      </text>
    </comment>
    <comment ref="C12" authorId="1" shapeId="0" xr:uid="{1B8B5DA5-001B-490F-85D6-00CA6E94F553}">
      <text>
        <r>
          <rPr>
            <b/>
            <sz val="9"/>
            <color indexed="81"/>
            <rFont val="Tahoma"/>
            <family val="2"/>
          </rPr>
          <t>Juan Aristizabal:</t>
        </r>
        <r>
          <rPr>
            <sz val="9"/>
            <color indexed="81"/>
            <rFont val="Tahoma"/>
            <family val="2"/>
          </rPr>
          <t xml:space="preserve">
Inventario de lotes de terrenos disponible para la venta en el giro ordinario del negocio</t>
        </r>
      </text>
    </comment>
    <comment ref="D12" authorId="1" shapeId="0" xr:uid="{05833BE2-3602-4765-8036-249128439131}">
      <text>
        <r>
          <rPr>
            <b/>
            <sz val="9"/>
            <color indexed="81"/>
            <rFont val="Tahoma"/>
            <family val="2"/>
          </rPr>
          <t>Juan Aristizabal:</t>
        </r>
        <r>
          <rPr>
            <sz val="9"/>
            <color indexed="81"/>
            <rFont val="Tahoma"/>
            <family val="2"/>
          </rPr>
          <t xml:space="preserve">
Inventario de lotes de terrenos disponible para la venta en el giro ordinario del negocio</t>
        </r>
      </text>
    </comment>
    <comment ref="C15" authorId="1" shapeId="0" xr:uid="{EB341F2F-02A1-49AB-8CC6-AB39179E8705}">
      <text>
        <r>
          <rPr>
            <sz val="9"/>
            <color indexed="81"/>
            <rFont val="Tahoma"/>
            <family val="2"/>
          </rPr>
          <t xml:space="preserve">
Inversiones mantenidas para la venta  </t>
        </r>
      </text>
    </comment>
    <comment ref="D15" authorId="1" shapeId="0" xr:uid="{32B54F38-0258-4940-AB2A-ADFB47665781}">
      <text>
        <r>
          <rPr>
            <sz val="9"/>
            <color indexed="81"/>
            <rFont val="Tahoma"/>
            <family val="2"/>
          </rPr>
          <t xml:space="preserve">
Inversiones mantenidas para la venta  acciones de Grupo Nutresa</t>
        </r>
      </text>
    </comment>
    <comment ref="C19" authorId="2" shapeId="0" xr:uid="{9B7DAE86-D27C-4BE8-9B7C-159774A4A1C1}">
      <text>
        <r>
          <rPr>
            <sz val="9"/>
            <color indexed="81"/>
            <rFont val="Tahoma"/>
            <family val="2"/>
          </rPr>
          <t>Corresponde a:</t>
        </r>
        <r>
          <rPr>
            <b/>
            <sz val="9"/>
            <color indexed="81"/>
            <rFont val="Tahoma"/>
            <family val="2"/>
          </rPr>
          <t xml:space="preserve">
</t>
        </r>
        <r>
          <rPr>
            <sz val="9"/>
            <color indexed="81"/>
            <rFont val="Tahoma"/>
            <family val="2"/>
          </rPr>
          <t xml:space="preserve">Inversiones en Asociadas
Inversiones en Negocios Conjuntos
Inversiones en Subsidiarias
CDT 
Otras inversiones 
</t>
        </r>
      </text>
    </comment>
    <comment ref="D19" authorId="2" shapeId="0" xr:uid="{E1487446-C5AC-4D53-8B96-2BADEAA51639}">
      <text>
        <r>
          <rPr>
            <sz val="9"/>
            <color indexed="81"/>
            <rFont val="Tahoma"/>
            <family val="2"/>
          </rPr>
          <t>Corresponde a:</t>
        </r>
        <r>
          <rPr>
            <b/>
            <sz val="9"/>
            <color indexed="81"/>
            <rFont val="Tahoma"/>
            <family val="2"/>
          </rPr>
          <t xml:space="preserve">
</t>
        </r>
        <r>
          <rPr>
            <sz val="9"/>
            <color indexed="81"/>
            <rFont val="Tahoma"/>
            <family val="2"/>
          </rPr>
          <t xml:space="preserve">Inversiones en Asociadas
Inversiones en Negocios Conjuntos
Inversiones en Subsidiarias
CDT 
Otras inversiones 
</t>
        </r>
      </text>
    </comment>
    <comment ref="C20" authorId="0" shapeId="0" xr:uid="{857B1A0D-35F0-49B4-8FDF-6A88198F03BE}">
      <text>
        <r>
          <rPr>
            <b/>
            <sz val="9"/>
            <color indexed="81"/>
            <rFont val="Tahoma"/>
            <family val="2"/>
          </rPr>
          <t>Corresponde a:</t>
        </r>
        <r>
          <rPr>
            <sz val="9"/>
            <color indexed="81"/>
            <rFont val="Tahoma"/>
            <family val="2"/>
          </rPr>
          <t xml:space="preserve">
Clientes Nacionales
Cuentas por cobrar compañías vinculadas
Cuentas por cobrar empleados
Prestámos de garantía LP (Equity Swap)
Otros deudores 
</t>
        </r>
      </text>
    </comment>
    <comment ref="D20" authorId="0" shapeId="0" xr:uid="{9598C4DC-0929-424F-88C7-42664DF7780B}">
      <text>
        <r>
          <rPr>
            <b/>
            <sz val="9"/>
            <color indexed="81"/>
            <rFont val="Tahoma"/>
            <family val="2"/>
          </rPr>
          <t>Corresponde a:</t>
        </r>
        <r>
          <rPr>
            <sz val="9"/>
            <color indexed="81"/>
            <rFont val="Tahoma"/>
            <family val="2"/>
          </rPr>
          <t xml:space="preserve">
Clientes Nacionales
Cuentas por cobrar compañías vinculadas
Cuentas por cobrar empleados
Prestámos de garantía LP (Equity Swap)
Otros deudores 
</t>
        </r>
      </text>
    </comment>
    <comment ref="C25" authorId="1" shapeId="0" xr:uid="{36C4AE6C-C556-4B5F-BA48-B1408A5928D0}">
      <text>
        <r>
          <rPr>
            <b/>
            <sz val="9"/>
            <color indexed="81"/>
            <rFont val="Tahoma"/>
            <family val="2"/>
          </rPr>
          <t>Juan Aristizabal:</t>
        </r>
        <r>
          <rPr>
            <sz val="9"/>
            <color indexed="81"/>
            <rFont val="Tahoma"/>
            <family val="2"/>
          </rPr>
          <t xml:space="preserve">
Propiedades de inversión lotes en bruto medidos a valor razonable y de los cuales se espera obtener rentas a través de su valorización o su venta.</t>
        </r>
      </text>
    </comment>
    <comment ref="D25" authorId="1" shapeId="0" xr:uid="{8ECD1BB8-F6FF-4C6D-BBBE-B01B5C011481}">
      <text>
        <r>
          <rPr>
            <b/>
            <sz val="9"/>
            <color indexed="81"/>
            <rFont val="Tahoma"/>
            <family val="2"/>
          </rPr>
          <t>Juan Aristizabal:</t>
        </r>
        <r>
          <rPr>
            <sz val="9"/>
            <color indexed="81"/>
            <rFont val="Tahoma"/>
            <family val="2"/>
          </rPr>
          <t xml:space="preserve">
Propiedades de inversión lotes en bruto medidos a valor razonable y de los cuales se espera obtener rentas a través de su valorización o su venta.</t>
        </r>
      </text>
    </comment>
    <comment ref="C37" authorId="0" shapeId="0" xr:uid="{C9CC28A0-3E61-4ADD-8328-9B36CA19B102}">
      <text>
        <r>
          <rPr>
            <sz val="9"/>
            <color indexed="81"/>
            <rFont val="Tahoma"/>
            <family val="2"/>
          </rPr>
          <t>Obligaciones financieras mon ext</t>
        </r>
        <r>
          <rPr>
            <b/>
            <sz val="9"/>
            <color indexed="81"/>
            <rFont val="Tahoma"/>
            <family val="2"/>
          </rPr>
          <t xml:space="preserve">
</t>
        </r>
        <r>
          <rPr>
            <sz val="9"/>
            <color indexed="81"/>
            <rFont val="Tahoma"/>
            <family val="2"/>
          </rPr>
          <t xml:space="preserve">Interes moneda nacional </t>
        </r>
        <r>
          <rPr>
            <b/>
            <sz val="9"/>
            <color indexed="81"/>
            <rFont val="Tahoma"/>
            <family val="2"/>
          </rPr>
          <t xml:space="preserve">
</t>
        </r>
        <r>
          <rPr>
            <sz val="9"/>
            <color indexed="81"/>
            <rFont val="Tahoma"/>
            <family val="2"/>
          </rPr>
          <t>Interes moneda Exterior</t>
        </r>
        <r>
          <rPr>
            <b/>
            <sz val="9"/>
            <color indexed="81"/>
            <rFont val="Tahoma"/>
            <family val="2"/>
          </rPr>
          <t xml:space="preserve">
</t>
        </r>
      </text>
    </comment>
    <comment ref="D37" authorId="0" shapeId="0" xr:uid="{1E41688A-56F7-4C56-9B82-651567163F30}">
      <text>
        <r>
          <rPr>
            <sz val="9"/>
            <color indexed="81"/>
            <rFont val="Tahoma"/>
            <family val="2"/>
          </rPr>
          <t>Obligaciones financieras mon ext</t>
        </r>
        <r>
          <rPr>
            <b/>
            <sz val="9"/>
            <color indexed="81"/>
            <rFont val="Tahoma"/>
            <family val="2"/>
          </rPr>
          <t xml:space="preserve">
</t>
        </r>
        <r>
          <rPr>
            <sz val="9"/>
            <color indexed="81"/>
            <rFont val="Tahoma"/>
            <family val="2"/>
          </rPr>
          <t xml:space="preserve">Interes moneda nacional </t>
        </r>
        <r>
          <rPr>
            <b/>
            <sz val="9"/>
            <color indexed="81"/>
            <rFont val="Tahoma"/>
            <family val="2"/>
          </rPr>
          <t xml:space="preserve">
</t>
        </r>
        <r>
          <rPr>
            <sz val="9"/>
            <color indexed="81"/>
            <rFont val="Tahoma"/>
            <family val="2"/>
          </rPr>
          <t>Interes moneda Exterior</t>
        </r>
        <r>
          <rPr>
            <b/>
            <sz val="9"/>
            <color indexed="81"/>
            <rFont val="Tahoma"/>
            <family val="2"/>
          </rPr>
          <t xml:space="preserve">
</t>
        </r>
      </text>
    </comment>
    <comment ref="C39" authorId="1" shapeId="0" xr:uid="{2A322AF6-1E07-4071-B816-A2703610FE7F}">
      <text>
        <r>
          <rPr>
            <b/>
            <sz val="9"/>
            <color indexed="81"/>
            <rFont val="Tahoma"/>
            <family val="2"/>
          </rPr>
          <t>Juan Aristizabal:</t>
        </r>
        <r>
          <rPr>
            <sz val="9"/>
            <color indexed="81"/>
            <rFont val="Tahoma"/>
            <family val="2"/>
          </rPr>
          <t xml:space="preserve">
Bonos, intereses de bonos, instrumentos compuestos, dividendos de acciones preferenciales.</t>
        </r>
      </text>
    </comment>
    <comment ref="D39" authorId="1" shapeId="0" xr:uid="{3B273FCA-8E4B-4A7F-BE2C-F620BA558E35}">
      <text>
        <r>
          <rPr>
            <b/>
            <sz val="9"/>
            <color indexed="81"/>
            <rFont val="Tahoma"/>
            <family val="2"/>
          </rPr>
          <t>Juan Aristizabal:</t>
        </r>
        <r>
          <rPr>
            <sz val="9"/>
            <color indexed="81"/>
            <rFont val="Tahoma"/>
            <family val="2"/>
          </rPr>
          <t xml:space="preserve">
Bonos, intereses de bonos, instrumentos compuestos, dividendos de acciones preferenciales.</t>
        </r>
      </text>
    </comment>
    <comment ref="C40" authorId="1" shapeId="0" xr:uid="{C1BCEB0F-4DE4-48A5-B4FF-F234A2B106E7}">
      <text>
        <r>
          <rPr>
            <b/>
            <sz val="9"/>
            <color indexed="81"/>
            <rFont val="Tahoma"/>
            <family val="2"/>
          </rPr>
          <t>Juan Aristizabal:</t>
        </r>
        <r>
          <rPr>
            <sz val="9"/>
            <color indexed="81"/>
            <rFont val="Tahoma"/>
            <family val="2"/>
          </rPr>
          <t xml:space="preserve">
Dividendos por pagar</t>
        </r>
      </text>
    </comment>
    <comment ref="D40" authorId="1" shapeId="0" xr:uid="{300DC761-99E2-4198-A234-186BDBADC6EC}">
      <text>
        <r>
          <rPr>
            <b/>
            <sz val="9"/>
            <color indexed="81"/>
            <rFont val="Tahoma"/>
            <family val="2"/>
          </rPr>
          <t>Juan Aristizabal:</t>
        </r>
        <r>
          <rPr>
            <sz val="9"/>
            <color indexed="81"/>
            <rFont val="Tahoma"/>
            <family val="2"/>
          </rPr>
          <t xml:space="preserve">
Dividendos por pagar</t>
        </r>
      </text>
    </comment>
    <comment ref="C42" authorId="1" shapeId="0" xr:uid="{0FE875A2-3ED9-4E05-A21A-BFCB835A34E9}">
      <text>
        <r>
          <rPr>
            <b/>
            <sz val="9"/>
            <color indexed="81"/>
            <rFont val="Tahoma"/>
            <family val="2"/>
          </rPr>
          <t>Juan Aristizabal:</t>
        </r>
        <r>
          <rPr>
            <sz val="9"/>
            <color indexed="81"/>
            <rFont val="Tahoma"/>
            <family val="2"/>
          </rPr>
          <t xml:space="preserve">
Autorretenciones
Impuesto de renta y complementarios</t>
        </r>
      </text>
    </comment>
    <comment ref="D42" authorId="1" shapeId="0" xr:uid="{C2E52B82-DBC5-4C49-9183-ECC3958D8620}">
      <text>
        <r>
          <rPr>
            <b/>
            <sz val="9"/>
            <color indexed="81"/>
            <rFont val="Tahoma"/>
            <family val="2"/>
          </rPr>
          <t>Juan Aristizabal:</t>
        </r>
        <r>
          <rPr>
            <sz val="9"/>
            <color indexed="81"/>
            <rFont val="Tahoma"/>
            <family val="2"/>
          </rPr>
          <t xml:space="preserve">
Autorretenciones
Impuesto de renta y complementarios</t>
        </r>
      </text>
    </comment>
    <comment ref="C43" authorId="3" shapeId="0" xr:uid="{C935DE68-08C1-4271-BBA2-FAB81FF700D9}">
      <text>
        <r>
          <rPr>
            <b/>
            <sz val="9"/>
            <color indexed="81"/>
            <rFont val="Tahoma"/>
            <family val="2"/>
          </rPr>
          <t>Juan Esteban Aristizabal Restrepo:</t>
        </r>
        <r>
          <rPr>
            <sz val="9"/>
            <color indexed="81"/>
            <rFont val="Tahoma"/>
            <family val="2"/>
          </rPr>
          <t xml:space="preserve">
Beneficios definidos de corto plaza</t>
        </r>
      </text>
    </comment>
    <comment ref="C47" authorId="1" shapeId="0" xr:uid="{8303DB33-3071-427D-AD5A-1A0F96D48354}">
      <text>
        <r>
          <rPr>
            <b/>
            <sz val="9"/>
            <color indexed="81"/>
            <rFont val="Tahoma"/>
            <family val="2"/>
          </rPr>
          <t>Juan Aristizabal:</t>
        </r>
        <r>
          <rPr>
            <sz val="9"/>
            <color indexed="81"/>
            <rFont val="Tahoma"/>
            <family val="2"/>
          </rPr>
          <t xml:space="preserve">
Impuesto predial lotes NDU e ingresos recibidos por anticipado</t>
        </r>
      </text>
    </comment>
    <comment ref="D47" authorId="1" shapeId="0" xr:uid="{0B6BD648-20E0-4B0E-8075-28B01A2429C1}">
      <text>
        <r>
          <rPr>
            <b/>
            <sz val="9"/>
            <color indexed="81"/>
            <rFont val="Tahoma"/>
            <family val="2"/>
          </rPr>
          <t>Juan Aristizabal:</t>
        </r>
        <r>
          <rPr>
            <sz val="9"/>
            <color indexed="81"/>
            <rFont val="Tahoma"/>
            <family val="2"/>
          </rPr>
          <t xml:space="preserve">
Impuesto predial lotes NDU e ingresos recibidos por anticipado</t>
        </r>
      </text>
    </comment>
    <comment ref="C52" authorId="4" shapeId="0" xr:uid="{AB8776D0-2BA0-409E-B7D8-72318D5D6570}">
      <text>
        <r>
          <rPr>
            <b/>
            <sz val="9"/>
            <color indexed="81"/>
            <rFont val="Tahoma"/>
            <family val="2"/>
          </rPr>
          <t xml:space="preserve">Corresponde a:
</t>
        </r>
        <r>
          <rPr>
            <sz val="9"/>
            <color indexed="81"/>
            <rFont val="Tahoma"/>
            <family val="2"/>
          </rPr>
          <t xml:space="preserve">Obligaciones con bancos nacionales </t>
        </r>
        <r>
          <rPr>
            <b/>
            <sz val="9"/>
            <color indexed="81"/>
            <rFont val="Tahoma"/>
            <family val="2"/>
          </rPr>
          <t xml:space="preserve">
</t>
        </r>
      </text>
    </comment>
    <comment ref="D52" authorId="4" shapeId="0" xr:uid="{9BFD94C4-62C7-42CC-B215-9260A556C79B}">
      <text>
        <r>
          <rPr>
            <b/>
            <sz val="9"/>
            <color indexed="81"/>
            <rFont val="Tahoma"/>
            <family val="2"/>
          </rPr>
          <t xml:space="preserve">Corresponde a:
</t>
        </r>
        <r>
          <rPr>
            <sz val="9"/>
            <color indexed="81"/>
            <rFont val="Tahoma"/>
            <family val="2"/>
          </rPr>
          <t xml:space="preserve">Obligaciones con bancos nacionales </t>
        </r>
        <r>
          <rPr>
            <b/>
            <sz val="9"/>
            <color indexed="81"/>
            <rFont val="Tahoma"/>
            <family val="2"/>
          </rPr>
          <t xml:space="preserve">
</t>
        </r>
      </text>
    </comment>
    <comment ref="C54" authorId="1" shapeId="0" xr:uid="{B7B654B6-BA90-4468-B26F-619611851F45}">
      <text>
        <r>
          <rPr>
            <b/>
            <sz val="9"/>
            <color indexed="81"/>
            <rFont val="Tahoma"/>
            <family val="2"/>
          </rPr>
          <t>Juan Aristizabal:</t>
        </r>
        <r>
          <rPr>
            <sz val="9"/>
            <color indexed="81"/>
            <rFont val="Tahoma"/>
            <family val="2"/>
          </rPr>
          <t xml:space="preserve">
Bonos, intereses de bonos, instrumentos compuestos, dividendos de acciones preferenciales.</t>
        </r>
      </text>
    </comment>
    <comment ref="D54" authorId="1" shapeId="0" xr:uid="{8221D27C-F6A5-4382-BD7A-915B6BB0FB77}">
      <text>
        <r>
          <rPr>
            <b/>
            <sz val="9"/>
            <color indexed="81"/>
            <rFont val="Tahoma"/>
            <family val="2"/>
          </rPr>
          <t>Juan Aristizabal:</t>
        </r>
        <r>
          <rPr>
            <sz val="9"/>
            <color indexed="81"/>
            <rFont val="Tahoma"/>
            <family val="2"/>
          </rPr>
          <t xml:space="preserve">
Bonos, intereses de bonos, instrumentos compuestos, dividendos de acciones preferenciales.</t>
        </r>
      </text>
    </comment>
    <comment ref="C55" authorId="1" shapeId="0" xr:uid="{A6554957-424A-4B0F-9D4A-98453693A258}">
      <text>
        <r>
          <rPr>
            <b/>
            <sz val="9"/>
            <color indexed="81"/>
            <rFont val="Tahoma"/>
            <family val="2"/>
          </rPr>
          <t>Juan Aristizabal:</t>
        </r>
        <r>
          <rPr>
            <sz val="9"/>
            <color indexed="81"/>
            <rFont val="Tahoma"/>
            <family val="2"/>
          </rPr>
          <t xml:space="preserve">
Impuesto diferido pasivo, principalmente sobre diferencias temporarias que se revierten en el futuro vía uso o venta de activos.</t>
        </r>
      </text>
    </comment>
    <comment ref="D55" authorId="1" shapeId="0" xr:uid="{A0DB3568-7544-4C99-8AAD-CC0857E887E8}">
      <text>
        <r>
          <rPr>
            <b/>
            <sz val="9"/>
            <color indexed="81"/>
            <rFont val="Tahoma"/>
            <family val="2"/>
          </rPr>
          <t>Juan Aristizabal:</t>
        </r>
        <r>
          <rPr>
            <sz val="9"/>
            <color indexed="81"/>
            <rFont val="Tahoma"/>
            <family val="2"/>
          </rPr>
          <t xml:space="preserve">
Impuesto diferido pasivo, principalmente sobre diferencias temporarias que se revierten en el futuro vía uso o venta de activos.</t>
        </r>
      </text>
    </comment>
    <comment ref="C59" authorId="0" shapeId="0" xr:uid="{F67A1E65-B273-4C8C-955B-084F49BBA15F}">
      <text>
        <r>
          <rPr>
            <b/>
            <sz val="9"/>
            <color indexed="81"/>
            <rFont val="Tahoma"/>
            <family val="2"/>
          </rPr>
          <t>Luisa Fernanda Monsalve:</t>
        </r>
        <r>
          <rPr>
            <sz val="9"/>
            <color indexed="81"/>
            <rFont val="Tahoma"/>
            <family val="2"/>
          </rPr>
          <t xml:space="preserve">
Cálculo actuarial y reconocimiento del pasivo pensional.</t>
        </r>
      </text>
    </comment>
    <comment ref="D59" authorId="0" shapeId="0" xr:uid="{59F83FDD-F156-48A7-97CA-BAE3D8D1CA81}">
      <text>
        <r>
          <rPr>
            <b/>
            <sz val="9"/>
            <color indexed="81"/>
            <rFont val="Tahoma"/>
            <family val="2"/>
          </rPr>
          <t>Luisa Fernanda Monsalve:</t>
        </r>
        <r>
          <rPr>
            <sz val="9"/>
            <color indexed="81"/>
            <rFont val="Tahoma"/>
            <family val="2"/>
          </rPr>
          <t xml:space="preserve">
Cálculo actuarial y reconocimiento del pasivo pensional.</t>
        </r>
      </text>
    </comment>
    <comment ref="C80" authorId="4" shapeId="0" xr:uid="{45B91784-1BA6-426C-AC20-335553523CDC}">
      <text>
        <r>
          <rPr>
            <sz val="9"/>
            <color indexed="81"/>
            <rFont val="Tahoma"/>
            <family val="2"/>
          </rPr>
          <t>Readquisición de acciones propias ordinarias y preferenciales</t>
        </r>
      </text>
    </comment>
    <comment ref="D80" authorId="4" shapeId="0" xr:uid="{95F81D9C-FA33-410B-B221-8C6C0874A257}">
      <text>
        <r>
          <rPr>
            <sz val="9"/>
            <color indexed="81"/>
            <rFont val="Tahoma"/>
            <family val="2"/>
          </rPr>
          <t>Readquisición de acciones propias ordinarias y preferenciales</t>
        </r>
      </text>
    </comment>
    <comment ref="C81" authorId="1" shapeId="0" xr:uid="{A5528DA9-9857-4C03-B002-8E3177C59619}">
      <text>
        <r>
          <rPr>
            <b/>
            <sz val="9"/>
            <color indexed="81"/>
            <rFont val="Tahoma"/>
            <family val="2"/>
          </rPr>
          <t>Otro Resultado Integral:</t>
        </r>
        <r>
          <rPr>
            <sz val="9"/>
            <color indexed="81"/>
            <rFont val="Tahoma"/>
            <family val="2"/>
          </rPr>
          <t xml:space="preserve">
MPP dif cam x conversión de negocios en el extranjero
Ganancias y pérdidas de inversiones patrimoniales
Otros componentes del ORI</t>
        </r>
      </text>
    </comment>
    <comment ref="D81" authorId="1" shapeId="0" xr:uid="{DD965C6C-AEC6-4D2A-B33D-3649179EB2DD}">
      <text>
        <r>
          <rPr>
            <b/>
            <sz val="9"/>
            <color indexed="81"/>
            <rFont val="Tahoma"/>
            <family val="2"/>
          </rPr>
          <t>Otro Resultado Integral:</t>
        </r>
        <r>
          <rPr>
            <sz val="9"/>
            <color indexed="81"/>
            <rFont val="Tahoma"/>
            <family val="2"/>
          </rPr>
          <t xml:space="preserve">
MPP dif cam x conversión de negocios en el extranjero
Ganancias y pérdidas de inversiones patrimoniales
Otros componentes del ORI</t>
        </r>
      </text>
    </comment>
    <comment ref="C82" authorId="3" shapeId="0" xr:uid="{91EE6E51-878E-4172-999E-A3EC85751D17}">
      <text>
        <r>
          <rPr>
            <sz val="9"/>
            <color indexed="81"/>
            <rFont val="Tahoma"/>
            <family val="2"/>
          </rPr>
          <t>Reserva legal
Reserva para futuras inversiones
Reservas para readquisición de acciones</t>
        </r>
      </text>
    </comment>
    <comment ref="C83" authorId="4" shapeId="0" xr:uid="{9DE8C76C-8493-49EF-BF7E-0AC7054B1442}">
      <text>
        <r>
          <rPr>
            <sz val="9"/>
            <color indexed="81"/>
            <rFont val="Tahoma"/>
            <family val="2"/>
          </rPr>
          <t>Corresponde al MPP sobre otras variaciones patrimoniales diferentes a ORI
-Dilución de participaciones no controladoras</t>
        </r>
      </text>
    </comment>
    <comment ref="D83" authorId="4" shapeId="0" xr:uid="{9764A532-A0AD-4136-B5E3-BE712BAD8FFA}">
      <text>
        <r>
          <rPr>
            <sz val="9"/>
            <color indexed="81"/>
            <rFont val="Tahoma"/>
            <family val="2"/>
          </rPr>
          <t>Corresponde al MPP sobre otras variaciones patrimoniales diferentes a ORI
-Dilución de participaciones no controladoras</t>
        </r>
      </text>
    </comment>
    <comment ref="C84" authorId="1" shapeId="0" xr:uid="{AFF0B950-D645-48F9-B4C9-FCA48C06E551}">
      <text>
        <r>
          <rPr>
            <b/>
            <sz val="9"/>
            <color indexed="81"/>
            <rFont val="Tahoma"/>
            <family val="2"/>
          </rPr>
          <t>Juan Aristizabal:</t>
        </r>
        <r>
          <rPr>
            <sz val="9"/>
            <color indexed="81"/>
            <rFont val="Tahoma"/>
            <family val="2"/>
          </rPr>
          <t xml:space="preserve">
Traslado de utildiad del ejercicio 2023 y realización de ORI a ganancias acumuladas por intercambio de Nutresa.</t>
        </r>
      </text>
    </comment>
    <comment ref="D84" authorId="1" shapeId="0" xr:uid="{B6D24B4E-EE71-4395-B6CE-335910AC11E0}">
      <text>
        <r>
          <rPr>
            <b/>
            <sz val="9"/>
            <color indexed="81"/>
            <rFont val="Tahoma"/>
            <family val="2"/>
          </rPr>
          <t>Juan Aristizabal:</t>
        </r>
        <r>
          <rPr>
            <sz val="9"/>
            <color indexed="81"/>
            <rFont val="Tahoma"/>
            <family val="2"/>
          </rPr>
          <t xml:space="preserve">
Traslado de utildiad del ejercicio 2023 y realización de ORI a ganancias acumuladas por intercambio de Nutresa.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Jimenez</author>
    <author>Juan Aristizabal</author>
    <author>Luisa Fernanda Monsalve</author>
    <author>Luz Cenelia Hernandez</author>
    <author>Juan Esteban Aristizabal Restrepo</author>
  </authors>
  <commentList>
    <comment ref="C10" authorId="0" shapeId="0" xr:uid="{ED0A944F-340B-4C4A-B9D2-FCA41FB34C6B}">
      <text>
        <r>
          <rPr>
            <b/>
            <sz val="10"/>
            <color indexed="81"/>
            <rFont val="Tahoma"/>
            <family val="2"/>
          </rPr>
          <t xml:space="preserve">Venta de inversiones: $15.315
</t>
        </r>
        <r>
          <rPr>
            <sz val="10"/>
            <color indexed="81"/>
            <rFont val="Tahoma"/>
            <family val="2"/>
          </rPr>
          <t xml:space="preserve">Venta de 1.042.000 unidades de FCP Pactia por $15.315 
</t>
        </r>
        <r>
          <rPr>
            <b/>
            <sz val="10"/>
            <color indexed="81"/>
            <rFont val="Tahoma"/>
            <family val="2"/>
          </rPr>
          <t xml:space="preserve">
Dividendos decretados: $29
</t>
        </r>
        <r>
          <rPr>
            <sz val="10"/>
            <color indexed="81"/>
            <rFont val="Tahoma"/>
            <family val="2"/>
          </rPr>
          <t xml:space="preserve">Fondo Regional de Garantías S.A.$29
</t>
        </r>
      </text>
    </comment>
    <comment ref="E10" authorId="0" shapeId="0" xr:uid="{D9D1B4DE-B90A-42A6-9D89-E6221DACDB10}">
      <text>
        <r>
          <rPr>
            <b/>
            <sz val="10"/>
            <color indexed="81"/>
            <rFont val="Tahoma"/>
            <family val="2"/>
          </rPr>
          <t xml:space="preserve">Dividendos decretados: $2.914
</t>
        </r>
        <r>
          <rPr>
            <sz val="10"/>
            <color indexed="81"/>
            <rFont val="Tahoma"/>
            <family val="2"/>
          </rPr>
          <t xml:space="preserve">Sociedad Portafolio $2.871
Fondo Regional de Garantías S.A. $43
</t>
        </r>
        <r>
          <rPr>
            <b/>
            <sz val="10"/>
            <color indexed="81"/>
            <rFont val="Tahoma"/>
            <family val="2"/>
          </rPr>
          <t xml:space="preserve">
Venta de inversiones $176
</t>
        </r>
        <r>
          <rPr>
            <sz val="10"/>
            <color indexed="81"/>
            <rFont val="Tahoma"/>
            <family val="2"/>
          </rPr>
          <t xml:space="preserve">Ajuste al precio de venta acciones de Valle Cement $176
</t>
        </r>
      </text>
    </comment>
    <comment ref="O10" authorId="1" shapeId="0" xr:uid="{6F76FE60-FB5C-4AC8-A683-7FDEDAEAAE9E}">
      <text>
        <r>
          <rPr>
            <sz val="9"/>
            <color indexed="81"/>
            <rFont val="Tahoma"/>
            <family val="2"/>
          </rPr>
          <t xml:space="preserve">Ventas acciones de Opain  </t>
        </r>
        <r>
          <rPr>
            <b/>
            <sz val="9"/>
            <color indexed="81"/>
            <rFont val="Tahoma"/>
            <family val="2"/>
          </rPr>
          <t xml:space="preserve">  $274.554</t>
        </r>
        <r>
          <rPr>
            <sz val="9"/>
            <color indexed="81"/>
            <rFont val="Tahoma"/>
            <family val="2"/>
          </rPr>
          <t xml:space="preserve">
</t>
        </r>
      </text>
    </comment>
    <comment ref="Q10" authorId="0" shapeId="0" xr:uid="{A9FEF3D3-1945-412A-AAE0-B3F2921B561F}">
      <text>
        <r>
          <rPr>
            <b/>
            <sz val="10"/>
            <color indexed="81"/>
            <rFont val="Tahoma"/>
            <family val="2"/>
          </rPr>
          <t>Ventas acciones         $0</t>
        </r>
        <r>
          <rPr>
            <sz val="10"/>
            <color indexed="81"/>
            <rFont val="Tahoma"/>
            <family val="2"/>
          </rPr>
          <t xml:space="preserve">
</t>
        </r>
        <r>
          <rPr>
            <b/>
            <sz val="10"/>
            <color indexed="81"/>
            <rFont val="Tahoma"/>
            <family val="2"/>
          </rPr>
          <t>Dividendos                              $213.145</t>
        </r>
        <r>
          <rPr>
            <sz val="10"/>
            <color indexed="81"/>
            <rFont val="Tahoma"/>
            <family val="2"/>
          </rPr>
          <t xml:space="preserve">
Sura                             $152.016
Nutresa                         $61.095
Fondo Regional               $34
Bird Rides                       $0
</t>
        </r>
        <r>
          <rPr>
            <b/>
            <sz val="10"/>
            <color indexed="81"/>
            <rFont val="Tahoma"/>
            <family val="2"/>
          </rPr>
          <t>Usufructo de acciones           $10.646</t>
        </r>
        <r>
          <rPr>
            <sz val="10"/>
            <color indexed="81"/>
            <rFont val="Tahoma"/>
            <family val="2"/>
          </rPr>
          <t xml:space="preserve">
</t>
        </r>
      </text>
    </comment>
    <comment ref="C11" authorId="2" shapeId="0" xr:uid="{7C8A175A-0705-445D-8E7C-0B993DBA8F79}">
      <text>
        <r>
          <rPr>
            <b/>
            <sz val="9"/>
            <color indexed="81"/>
            <rFont val="Tahoma"/>
            <family val="2"/>
          </rPr>
          <t xml:space="preserve">Corresponde a:
Valoración VR FCP PACTIA $91.865
Ingreso vta de lote $59.173
</t>
        </r>
        <r>
          <rPr>
            <sz val="9"/>
            <color indexed="81"/>
            <rFont val="Tahoma"/>
            <family val="2"/>
          </rPr>
          <t>(Ingreso diferido principalmente Pajonal Etapa III, Alejandría Etapa III y IV, Lote E5 residencial, Proyecto CIC y Mallorquín).</t>
        </r>
        <r>
          <rPr>
            <b/>
            <sz val="9"/>
            <color indexed="81"/>
            <rFont val="Tahoma"/>
            <family val="2"/>
          </rPr>
          <t xml:space="preserve">
Distribución de dividendos: $16.310
</t>
        </r>
        <r>
          <rPr>
            <sz val="9"/>
            <color indexed="81"/>
            <rFont val="Tahoma"/>
            <family val="2"/>
          </rPr>
          <t>Pactia S.A.S. $6.373
Hotel Calablanca $5.923
Fiduciaria Bogotá - Alameda del río $3.504
PA Niquía $510</t>
        </r>
        <r>
          <rPr>
            <b/>
            <sz val="9"/>
            <color indexed="81"/>
            <rFont val="Tahoma"/>
            <family val="2"/>
          </rPr>
          <t xml:space="preserve">
Ajuste valoración propiedades de inversión de los lotes $9.497: principalmente Pajonal, Loma China, Aguaviva y Tamalameque 
Arrendamiento $2.504
Servidumbre y otros $618
</t>
        </r>
      </text>
    </comment>
    <comment ref="E11" authorId="2" shapeId="0" xr:uid="{E1D43800-31BE-4193-9C0A-0E3E3EAB2753}">
      <text>
        <r>
          <rPr>
            <b/>
            <sz val="9"/>
            <color indexed="81"/>
            <rFont val="Tahoma"/>
            <family val="2"/>
          </rPr>
          <t xml:space="preserve">Corresponde a:
Ingreso vta de lote $90.606
</t>
        </r>
        <r>
          <rPr>
            <sz val="9"/>
            <color indexed="81"/>
            <rFont val="Tahoma"/>
            <family val="2"/>
          </rPr>
          <t>(Ingreso diferido principalmente Pajonal Etapa 2 y 3, POLIDEPORTIVOTECNOS y Alejandría Etapa III y VI).</t>
        </r>
        <r>
          <rPr>
            <b/>
            <sz val="9"/>
            <color indexed="81"/>
            <rFont val="Tahoma"/>
            <family val="2"/>
          </rPr>
          <t xml:space="preserve">
Valoración VR FCP PACTIA $33.762
Distribución de dividendos: $30.950
</t>
        </r>
        <r>
          <rPr>
            <sz val="9"/>
            <color indexed="81"/>
            <rFont val="Tahoma"/>
            <family val="2"/>
          </rPr>
          <t xml:space="preserve">FCP PACTIA: $13.818
PA Operación Calablanca $5.454
Pactia S.A.S.: $5.175
Fiduciaria Bogotá - Alameda del río $4.956
PA Niquía $1.530 
CMO (liquidación): $17
</t>
        </r>
        <r>
          <rPr>
            <b/>
            <sz val="9"/>
            <color indexed="81"/>
            <rFont val="Tahoma"/>
            <family val="2"/>
          </rPr>
          <t xml:space="preserve">
Arrendamiento $2.485
Servidumbre y otros: $49
Desvalorización de Propiedades de Inversión: ($87.761)
</t>
        </r>
        <r>
          <rPr>
            <sz val="9"/>
            <color indexed="81"/>
            <rFont val="Tahoma"/>
            <family val="2"/>
          </rPr>
          <t>Principalmente lotes Pavas ($47.063), Barú ($45.719), La Fortuna ($3.000), Insignares $4.910, Pajonal $2.870, Pradomar $1.025.</t>
        </r>
        <r>
          <rPr>
            <b/>
            <sz val="9"/>
            <color indexed="81"/>
            <rFont val="Tahoma"/>
            <family val="2"/>
          </rPr>
          <t xml:space="preserve">
</t>
        </r>
      </text>
    </comment>
    <comment ref="O11" authorId="1" shapeId="0" xr:uid="{7D11E2BB-C0E3-4634-9932-382ABDB6A980}">
      <text>
        <r>
          <rPr>
            <sz val="9"/>
            <color indexed="81"/>
            <rFont val="Tahoma"/>
            <family val="2"/>
          </rPr>
          <t xml:space="preserve">Valoración de propiedades de inversión </t>
        </r>
        <r>
          <rPr>
            <b/>
            <sz val="9"/>
            <color indexed="81"/>
            <rFont val="Tahoma"/>
            <family val="2"/>
          </rPr>
          <t xml:space="preserve">$9.466
</t>
        </r>
        <r>
          <rPr>
            <sz val="9"/>
            <color indexed="81"/>
            <rFont val="Tahoma"/>
            <family val="2"/>
          </rPr>
          <t>Valoración FCP Pactia</t>
        </r>
        <r>
          <rPr>
            <b/>
            <sz val="9"/>
            <color indexed="81"/>
            <rFont val="Tahoma"/>
            <family val="2"/>
          </rPr>
          <t xml:space="preserve"> $4.069</t>
        </r>
        <r>
          <rPr>
            <sz val="9"/>
            <color indexed="81"/>
            <rFont val="Tahoma"/>
            <family val="2"/>
          </rPr>
          <t xml:space="preserve">
Ingreso diferido de urbanismo lotes </t>
        </r>
        <r>
          <rPr>
            <b/>
            <sz val="9"/>
            <color indexed="81"/>
            <rFont val="Tahoma"/>
            <family val="2"/>
          </rPr>
          <t xml:space="preserve">$6.161
</t>
        </r>
        <r>
          <rPr>
            <sz val="9"/>
            <color indexed="81"/>
            <rFont val="Tahoma"/>
            <family val="2"/>
          </rPr>
          <t xml:space="preserve">Otros </t>
        </r>
        <r>
          <rPr>
            <b/>
            <sz val="9"/>
            <color indexed="81"/>
            <rFont val="Tahoma"/>
            <family val="2"/>
          </rPr>
          <t>$202</t>
        </r>
        <r>
          <rPr>
            <sz val="9"/>
            <color indexed="81"/>
            <rFont val="Tahoma"/>
            <family val="2"/>
          </rPr>
          <t xml:space="preserve">
</t>
        </r>
      </text>
    </comment>
    <comment ref="Q11" authorId="2" shapeId="0" xr:uid="{31995163-3CB0-4D03-A8D8-880FF407A52A}">
      <text>
        <r>
          <rPr>
            <b/>
            <sz val="9"/>
            <color indexed="81"/>
            <rFont val="Tahoma"/>
            <family val="2"/>
          </rPr>
          <t>Corresponde a:
Ingreso vta de lote $59.791</t>
        </r>
        <r>
          <rPr>
            <sz val="9"/>
            <color indexed="81"/>
            <rFont val="Tahoma"/>
            <family val="2"/>
          </rPr>
          <t xml:space="preserve">
(Ingreso diferido de Pen 4, Pen 3, Calablanca, Lago Alto, Alejandría Etapa 1,2 y 3, Lote Hotel Calablanca, Lote  CIC, Pajonal, Barú Polonia, Villa Carolina, Sobrante 2 Lote Rebellín) y Santa Isabel.
</t>
        </r>
        <r>
          <rPr>
            <b/>
            <sz val="9"/>
            <color indexed="81"/>
            <rFont val="Tahoma"/>
            <family val="2"/>
          </rPr>
          <t>Servidumbre y otros: $25
Intereses: $0</t>
        </r>
        <r>
          <rPr>
            <sz val="9"/>
            <color indexed="81"/>
            <rFont val="Tahoma"/>
            <family val="2"/>
          </rPr>
          <t xml:space="preserve">
</t>
        </r>
        <r>
          <rPr>
            <b/>
            <sz val="9"/>
            <color indexed="81"/>
            <rFont val="Tahoma"/>
            <family val="2"/>
          </rPr>
          <t>Distribución de dividendos: $22.657</t>
        </r>
        <r>
          <rPr>
            <sz val="9"/>
            <color indexed="81"/>
            <rFont val="Tahoma"/>
            <family val="2"/>
          </rPr>
          <t xml:space="preserve">
FCP PACTIA: $7.477
FIDUBOGOTA $6.826
PACTIA SAS: $5.122
PA CALABLANCA: $3.232
CCND                    $0
CMO                     $0
PA NIQUIA            $0
</t>
        </r>
        <r>
          <rPr>
            <b/>
            <sz val="9"/>
            <color indexed="81"/>
            <rFont val="Tahoma"/>
            <family val="2"/>
          </rPr>
          <t>Arrendamiento $929</t>
        </r>
        <r>
          <rPr>
            <sz val="9"/>
            <color indexed="81"/>
            <rFont val="Tahoma"/>
            <family val="2"/>
          </rPr>
          <t xml:space="preserve">
</t>
        </r>
        <r>
          <rPr>
            <b/>
            <sz val="9"/>
            <color indexed="81"/>
            <rFont val="Tahoma"/>
            <family val="2"/>
          </rPr>
          <t>Valoración VR FCP PACTIA $21.420
Valoración propiedades de inversión $37.998</t>
        </r>
        <r>
          <rPr>
            <sz val="9"/>
            <color indexed="81"/>
            <rFont val="Tahoma"/>
            <family val="2"/>
          </rPr>
          <t xml:space="preserve">
</t>
        </r>
      </text>
    </comment>
    <comment ref="C12" authorId="2" shapeId="0" xr:uid="{38F4DF9D-3524-449C-8510-2BF3D9FE54BF}">
      <text>
        <r>
          <rPr>
            <b/>
            <sz val="9"/>
            <color indexed="81"/>
            <rFont val="Tahoma"/>
            <family val="2"/>
          </rPr>
          <t>Ver Anexo MPM Sep</t>
        </r>
      </text>
    </comment>
    <comment ref="E12" authorId="2" shapeId="0" xr:uid="{8B235A92-2209-4127-8512-0575A520A690}">
      <text>
        <r>
          <rPr>
            <b/>
            <sz val="9"/>
            <color indexed="81"/>
            <rFont val="Tahoma"/>
            <family val="2"/>
          </rPr>
          <t>Ver Anexo MPM Sep</t>
        </r>
      </text>
    </comment>
    <comment ref="O12" authorId="2" shapeId="0" xr:uid="{4A707E4C-4246-4070-B7C9-19A62A1DBE0D}">
      <text>
        <r>
          <rPr>
            <b/>
            <sz val="9"/>
            <color indexed="81"/>
            <rFont val="Tahoma"/>
            <family val="2"/>
          </rPr>
          <t>Principalmente MPP Odinsa: $157.619
+MPP por la vertical de aeropuertos así:</t>
        </r>
        <r>
          <rPr>
            <sz val="9"/>
            <color indexed="81"/>
            <rFont val="Tahoma"/>
            <family val="2"/>
          </rPr>
          <t xml:space="preserve">
Opain: $47.612
Quiport: $107.510
Quiama: $26.875
IAF: ($1.435)
IP + Honorarios: ($15.097) 
Deterioro CIC ($36.847)
</t>
        </r>
        <r>
          <rPr>
            <b/>
            <sz val="9"/>
            <color indexed="81"/>
            <rFont val="Tahoma"/>
            <family val="2"/>
          </rPr>
          <t>Total: $128.618</t>
        </r>
      </text>
    </comment>
    <comment ref="Q12" authorId="2" shapeId="0" xr:uid="{44CCC949-64CE-4850-9C76-9AF07026F435}">
      <text>
        <r>
          <rPr>
            <b/>
            <sz val="9"/>
            <color indexed="81"/>
            <rFont val="Tahoma"/>
            <family val="2"/>
          </rPr>
          <t>Ver Anexo MPM Sep</t>
        </r>
      </text>
    </comment>
    <comment ref="C15" authorId="0" shapeId="0" xr:uid="{FEBC8FD4-AC5D-4453-9B27-8281016BBF95}">
      <text>
        <r>
          <rPr>
            <b/>
            <sz val="10"/>
            <color indexed="81"/>
            <rFont val="Tahoma"/>
            <family val="2"/>
          </rPr>
          <t xml:space="preserve">Costo de venta de inversiones: $15.315
</t>
        </r>
        <r>
          <rPr>
            <sz val="10"/>
            <color indexed="81"/>
            <rFont val="Tahoma"/>
            <family val="2"/>
          </rPr>
          <t xml:space="preserve">Costo de venta de 1.042.000 unidades de FCP Pactia por $15.315 
</t>
        </r>
        <r>
          <rPr>
            <b/>
            <sz val="10"/>
            <color indexed="81"/>
            <rFont val="Tahoma"/>
            <family val="2"/>
          </rPr>
          <t xml:space="preserve">
</t>
        </r>
        <r>
          <rPr>
            <sz val="10"/>
            <color indexed="81"/>
            <rFont val="Tahoma"/>
            <family val="2"/>
          </rPr>
          <t xml:space="preserve">
</t>
        </r>
      </text>
    </comment>
    <comment ref="O15" authorId="1" shapeId="0" xr:uid="{964FD107-BBA3-42E1-829C-19B95A7E2773}">
      <text>
        <r>
          <rPr>
            <b/>
            <sz val="9"/>
            <color indexed="81"/>
            <rFont val="Tahoma"/>
            <family val="2"/>
          </rPr>
          <t>Total $91.327</t>
        </r>
        <r>
          <rPr>
            <sz val="9"/>
            <color indexed="81"/>
            <rFont val="Tahoma"/>
            <family val="2"/>
          </rPr>
          <t xml:space="preserve">
Costo de venta inversión de Opain:
Baja de intangible: $64.617
Realización de ORI por cobertura de flujo de efectivo: $26.710 </t>
        </r>
      </text>
    </comment>
    <comment ref="C16" authorId="0" shapeId="0" xr:uid="{693F35C8-5B1C-4484-8BD8-431D194C0B49}">
      <text>
        <r>
          <rPr>
            <sz val="9"/>
            <color indexed="81"/>
            <rFont val="Tahoma"/>
            <family val="2"/>
          </rPr>
          <t>Principalmente costo de lotes NDU: Pajonal Etapa III, Alejandría Etapa III y IV, Proyecto CIC y Lote E5 Residencial $44.674</t>
        </r>
      </text>
    </comment>
    <comment ref="E16" authorId="0" shapeId="0" xr:uid="{B09EB5DB-E9C0-4421-BACC-302F48F149B8}">
      <text>
        <r>
          <rPr>
            <b/>
            <sz val="9"/>
            <color indexed="81"/>
            <rFont val="Tahoma"/>
            <family val="2"/>
          </rPr>
          <t xml:space="preserve">Costo venta lotes NDU: $63.209
</t>
        </r>
        <r>
          <rPr>
            <sz val="9"/>
            <color indexed="81"/>
            <rFont val="Tahoma"/>
            <family val="2"/>
          </rPr>
          <t xml:space="preserve">Principalmente Pajonal Etapa 2 y 3, POLIDEPORTIVOTECNOS, Alejandría Etapa III y VI, Pedrera y Pocihueica $63.047
</t>
        </r>
        <r>
          <rPr>
            <b/>
            <sz val="9"/>
            <color indexed="81"/>
            <rFont val="Tahoma"/>
            <family val="2"/>
          </rPr>
          <t xml:space="preserve">Costo de traspaso de propiedades $162
</t>
        </r>
      </text>
    </comment>
    <comment ref="Q16" authorId="0" shapeId="0" xr:uid="{81E91426-F209-4AD4-96E6-0218A718E68F}">
      <text>
        <r>
          <rPr>
            <b/>
            <sz val="9"/>
            <color indexed="81"/>
            <rFont val="Tahoma"/>
            <family val="2"/>
          </rPr>
          <t>Costo venta $36.800</t>
        </r>
        <r>
          <rPr>
            <sz val="9"/>
            <color indexed="81"/>
            <rFont val="Tahoma"/>
            <family val="2"/>
          </rPr>
          <t xml:space="preserve">
Pen 4, Pen 3, Calablanca, Alejandría Etapa 1, 2 y 3, Lote Hotel Calablanca, CIC, Barú Polonia, Pajonal Etapa 1 y 2, Pajonal San José del Norte, Lago Alto Etapa 1, Villa Carolina Etapa VIII, Sobrante 2 Lote Rebellín y Santa Isabel.</t>
        </r>
      </text>
    </comment>
    <comment ref="C22" authorId="2" shapeId="0" xr:uid="{F7BBFD7E-C9BA-49DF-B952-F7A3C30DBC51}">
      <text>
        <r>
          <rPr>
            <b/>
            <sz val="9"/>
            <color indexed="81"/>
            <rFont val="Tahoma"/>
            <family val="2"/>
          </rPr>
          <t>Desglose en la imagen a la derecha</t>
        </r>
        <r>
          <rPr>
            <sz val="9"/>
            <color indexed="81"/>
            <rFont val="Tahoma"/>
            <family val="2"/>
          </rPr>
          <t xml:space="preserve">
*Ver anexo de gastos de administración del archivo consolidado.
</t>
        </r>
      </text>
    </comment>
    <comment ref="E22" authorId="2" shapeId="0" xr:uid="{92ACA689-9996-479D-91E6-5A5F8166E037}">
      <text>
        <r>
          <rPr>
            <b/>
            <sz val="9"/>
            <color indexed="81"/>
            <rFont val="Tahoma"/>
            <family val="2"/>
          </rPr>
          <t>Desglose en la imagen a la derecha</t>
        </r>
        <r>
          <rPr>
            <sz val="9"/>
            <color indexed="81"/>
            <rFont val="Tahoma"/>
            <family val="2"/>
          </rPr>
          <t xml:space="preserve">
*Ver anexo de gastos de administración del archivo consolidado.
</t>
        </r>
      </text>
    </comment>
    <comment ref="Q22" authorId="2" shapeId="0" xr:uid="{86F44864-AC42-43D9-A086-954F5E0070F1}">
      <text>
        <r>
          <rPr>
            <sz val="9"/>
            <color indexed="81"/>
            <rFont val="Tahoma"/>
            <family val="2"/>
          </rPr>
          <t xml:space="preserve">Desglose en la imagen a la derecha
*Ver anexo de gastos de administración del archivo  consolidado.
</t>
        </r>
      </text>
    </comment>
    <comment ref="C23" authorId="2" shapeId="0" xr:uid="{B07D0A24-5C79-4AFA-856A-02D3EC9DABC9}">
      <text>
        <r>
          <rPr>
            <sz val="9"/>
            <color indexed="81"/>
            <rFont val="Tahoma"/>
            <family val="2"/>
          </rPr>
          <t>Ver imagen a la derecha y anexo de gastos de venta.</t>
        </r>
      </text>
    </comment>
    <comment ref="E23" authorId="2" shapeId="0" xr:uid="{22A2EF14-D72B-474A-8A3C-F6489ECD25A9}">
      <text>
        <r>
          <rPr>
            <sz val="9"/>
            <color indexed="81"/>
            <rFont val="Tahoma"/>
            <family val="2"/>
          </rPr>
          <t>Ver imagen a la derecha y anexo de gastos de venta.</t>
        </r>
      </text>
    </comment>
    <comment ref="C24" authorId="2" shapeId="0" xr:uid="{88E47401-7391-447E-89E4-F7CB37DB7FA0}">
      <text>
        <r>
          <rPr>
            <sz val="9"/>
            <color indexed="81"/>
            <rFont val="Tahoma"/>
            <family val="2"/>
          </rPr>
          <t>Ver imagen a la derecha y anexo de gastos de venta.</t>
        </r>
      </text>
    </comment>
    <comment ref="E24" authorId="2" shapeId="0" xr:uid="{57FE6F56-FD93-46A2-A495-6B802004C120}">
      <text>
        <r>
          <rPr>
            <sz val="9"/>
            <color indexed="81"/>
            <rFont val="Tahoma"/>
            <family val="2"/>
          </rPr>
          <t>Ver imagen a la derecha y anexo de gastos de venta.</t>
        </r>
      </text>
    </comment>
    <comment ref="Q24" authorId="2" shapeId="0" xr:uid="{71ED169E-7419-4B55-8B15-9AE7C8A8C441}">
      <text>
        <r>
          <rPr>
            <sz val="9"/>
            <color indexed="81"/>
            <rFont val="Tahoma"/>
            <family val="2"/>
          </rPr>
          <t>Ver imagen a la derecha y anexo de gastos de venta.</t>
        </r>
      </text>
    </comment>
    <comment ref="C28" authorId="2" shapeId="0" xr:uid="{93302444-6510-4B09-83D2-BD373DF96610}">
      <text>
        <r>
          <rPr>
            <b/>
            <sz val="9"/>
            <color indexed="81"/>
            <rFont val="Tahoma"/>
            <family val="2"/>
          </rPr>
          <t xml:space="preserve">Corresponde principalmente a:
</t>
        </r>
        <r>
          <rPr>
            <sz val="9"/>
            <color indexed="81"/>
            <rFont val="Tahoma"/>
            <family val="2"/>
          </rPr>
          <t xml:space="preserve">-Reintegros de costos y gastos $2.214
-Otros ingresos diversos $1.899 (celda cautiva $1.066 y cláusula de incumplimiento de Portonaito $830)
</t>
        </r>
      </text>
    </comment>
    <comment ref="E28" authorId="2" shapeId="0" xr:uid="{12607282-8D3D-4A41-A886-052A53393EB1}">
      <text>
        <r>
          <rPr>
            <b/>
            <sz val="9"/>
            <color indexed="81"/>
            <rFont val="Tahoma"/>
            <family val="2"/>
          </rPr>
          <t>Corresponde principalmente a:</t>
        </r>
        <r>
          <rPr>
            <sz val="9"/>
            <color indexed="81"/>
            <rFont val="Tahoma"/>
            <family val="2"/>
          </rPr>
          <t xml:space="preserve">
</t>
        </r>
        <r>
          <rPr>
            <b/>
            <sz val="9"/>
            <color indexed="81"/>
            <rFont val="Tahoma"/>
            <family val="2"/>
          </rPr>
          <t xml:space="preserve">-Utilidad en venta de inversiones: $74.700
</t>
        </r>
        <r>
          <rPr>
            <sz val="9"/>
            <color indexed="81"/>
            <rFont val="Tahoma"/>
            <family val="2"/>
          </rPr>
          <t xml:space="preserve">   Utilidad en entrega de acciones de Grupo Nutresa 1er intercambio: $52.833
   Utilidad en entrega de acciones de Grupo Nutresa 2do intercambio: $20.655
   Utilidad en entrega de acciones de Sociedad Portafolio en la OPA: $1.212
-Reintegros de costos y gastos $927
-Otros ingresos diversos $812
</t>
        </r>
      </text>
    </comment>
    <comment ref="Q28" authorId="2" shapeId="0" xr:uid="{AB97D45F-D3F4-4430-B6D6-7A6CDED49C83}">
      <text>
        <r>
          <rPr>
            <sz val="9"/>
            <color indexed="81"/>
            <rFont val="Tahoma"/>
            <family val="2"/>
          </rPr>
          <t xml:space="preserve">Corresponde a:
Recuperación seguros </t>
        </r>
        <r>
          <rPr>
            <b/>
            <sz val="9"/>
            <color indexed="81"/>
            <rFont val="Tahoma"/>
            <family val="2"/>
          </rPr>
          <t>$0</t>
        </r>
        <r>
          <rPr>
            <sz val="9"/>
            <color indexed="81"/>
            <rFont val="Tahoma"/>
            <family val="2"/>
          </rPr>
          <t xml:space="preserve">
Utilidad en venta otros bienes  </t>
        </r>
        <r>
          <rPr>
            <b/>
            <sz val="9"/>
            <color indexed="81"/>
            <rFont val="Tahoma"/>
            <family val="2"/>
          </rPr>
          <t>$0</t>
        </r>
        <r>
          <rPr>
            <sz val="9"/>
            <color indexed="81"/>
            <rFont val="Tahoma"/>
            <family val="2"/>
          </rPr>
          <t xml:space="preserve">
Utilidad en venta de propiedad y equipo </t>
        </r>
        <r>
          <rPr>
            <b/>
            <sz val="9"/>
            <color indexed="81"/>
            <rFont val="Tahoma"/>
            <family val="2"/>
          </rPr>
          <t>$0</t>
        </r>
        <r>
          <rPr>
            <sz val="9"/>
            <color indexed="81"/>
            <rFont val="Tahoma"/>
            <family val="2"/>
          </rPr>
          <t xml:space="preserve">
Ingreso por otros servicios y aprovechamientos </t>
        </r>
        <r>
          <rPr>
            <b/>
            <sz val="9"/>
            <color indexed="81"/>
            <rFont val="Tahoma"/>
            <family val="2"/>
          </rPr>
          <t xml:space="preserve">$28
</t>
        </r>
        <r>
          <rPr>
            <sz val="9"/>
            <color indexed="81"/>
            <rFont val="Tahoma"/>
            <family val="2"/>
          </rPr>
          <t xml:space="preserve">Reintegros de costos y gastos </t>
        </r>
        <r>
          <rPr>
            <b/>
            <sz val="9"/>
            <color indexed="81"/>
            <rFont val="Tahoma"/>
            <family val="2"/>
          </rPr>
          <t>$662</t>
        </r>
        <r>
          <rPr>
            <sz val="9"/>
            <color indexed="81"/>
            <rFont val="Tahoma"/>
            <family val="2"/>
          </rPr>
          <t xml:space="preserve">
Recuperación de provisiones  </t>
        </r>
        <r>
          <rPr>
            <b/>
            <sz val="9"/>
            <color indexed="81"/>
            <rFont val="Tahoma"/>
            <family val="2"/>
          </rPr>
          <t xml:space="preserve">$103
</t>
        </r>
        <r>
          <rPr>
            <sz val="9"/>
            <color indexed="81"/>
            <rFont val="Tahoma"/>
            <family val="2"/>
          </rPr>
          <t xml:space="preserve">Recuperación de deterioro deudores </t>
        </r>
        <r>
          <rPr>
            <b/>
            <sz val="9"/>
            <color indexed="81"/>
            <rFont val="Tahoma"/>
            <family val="2"/>
          </rPr>
          <t>$10</t>
        </r>
      </text>
    </comment>
    <comment ref="C29" authorId="2" shapeId="0" xr:uid="{53482341-2E4A-4182-BACE-14BBEF9C4168}">
      <text>
        <r>
          <rPr>
            <b/>
            <sz val="9"/>
            <color indexed="81"/>
            <rFont val="Tahoma"/>
            <family val="2"/>
          </rPr>
          <t xml:space="preserve">Gastos diversos y no recurrentes principalmente: 
</t>
        </r>
        <r>
          <rPr>
            <sz val="9"/>
            <color indexed="81"/>
            <rFont val="Tahoma"/>
            <family val="2"/>
          </rPr>
          <t xml:space="preserve">Donaciones $6.814
provisiones multas, sanciones y litigios $4.317, proceso de renta año gravable 2015 - sanción por devolución improcedente
Cuatro x mil: $3.848
Deterioro Interejecutiva $2.538
Otros gastos diversos $450
</t>
        </r>
      </text>
    </comment>
    <comment ref="E29" authorId="2" shapeId="0" xr:uid="{62E911B2-58FB-4561-A5DF-1FA9B215B70A}">
      <text>
        <r>
          <rPr>
            <b/>
            <sz val="9"/>
            <color indexed="81"/>
            <rFont val="Tahoma"/>
            <family val="2"/>
          </rPr>
          <t xml:space="preserve">Gastos diversos y no recurrentes principalmente: 
</t>
        </r>
        <r>
          <rPr>
            <sz val="9"/>
            <color indexed="81"/>
            <rFont val="Tahoma"/>
            <family val="2"/>
          </rPr>
          <t xml:space="preserve">Donaciones $6.567
Cuatro x mil: $3.198
Otros impuestos asumidos: $2.703 principalmente por retención en la fuente a JP Morgan por causación de prima de éxito de la transacción del proyecto Teseo.
</t>
        </r>
      </text>
    </comment>
    <comment ref="O29" authorId="1" shapeId="0" xr:uid="{F8E0AC9E-9622-45FE-834F-FCA8A9C6C4C5}">
      <text>
        <r>
          <rPr>
            <b/>
            <sz val="9"/>
            <color indexed="81"/>
            <rFont val="Tahoma"/>
            <family val="2"/>
          </rPr>
          <t>Juan Aristizabal:</t>
        </r>
        <r>
          <rPr>
            <sz val="9"/>
            <color indexed="81"/>
            <rFont val="Tahoma"/>
            <family val="2"/>
          </rPr>
          <t xml:space="preserve">
Principalmente impuestos asumidos</t>
        </r>
      </text>
    </comment>
    <comment ref="Q29" authorId="2" shapeId="0" xr:uid="{E0C2E286-B2B3-4117-BD99-F5B08E2B6A54}">
      <text>
        <r>
          <rPr>
            <b/>
            <sz val="9"/>
            <color indexed="81"/>
            <rFont val="Tahoma"/>
            <family val="2"/>
          </rPr>
          <t xml:space="preserve">Gastos diversos y no recurrentes: </t>
        </r>
        <r>
          <rPr>
            <sz val="9"/>
            <color indexed="81"/>
            <rFont val="Tahoma"/>
            <family val="2"/>
          </rPr>
          <t xml:space="preserve">
Cuatro x mil: </t>
        </r>
        <r>
          <rPr>
            <b/>
            <sz val="9"/>
            <color indexed="81"/>
            <rFont val="Tahoma"/>
            <family val="2"/>
          </rPr>
          <t>$2.514</t>
        </r>
        <r>
          <rPr>
            <sz val="9"/>
            <color indexed="81"/>
            <rFont val="Tahoma"/>
            <family val="2"/>
          </rPr>
          <t xml:space="preserve">
Otros Impuestos asumidos: </t>
        </r>
        <r>
          <rPr>
            <b/>
            <sz val="9"/>
            <color indexed="81"/>
            <rFont val="Tahoma"/>
            <family val="2"/>
          </rPr>
          <t xml:space="preserve">$3.315
</t>
        </r>
        <r>
          <rPr>
            <sz val="9"/>
            <color indexed="81"/>
            <rFont val="Tahoma"/>
            <family val="2"/>
          </rPr>
          <t>Otros gastos multas y sanciones:</t>
        </r>
        <r>
          <rPr>
            <b/>
            <sz val="9"/>
            <color indexed="81"/>
            <rFont val="Tahoma"/>
            <family val="2"/>
          </rPr>
          <t xml:space="preserve"> $263</t>
        </r>
        <r>
          <rPr>
            <sz val="9"/>
            <color indexed="81"/>
            <rFont val="Tahoma"/>
            <family val="2"/>
          </rPr>
          <t xml:space="preserve">
Donaciones </t>
        </r>
        <r>
          <rPr>
            <b/>
            <sz val="9"/>
            <color indexed="81"/>
            <rFont val="Tahoma"/>
            <family val="2"/>
          </rPr>
          <t xml:space="preserve">$1.760
</t>
        </r>
        <r>
          <rPr>
            <sz val="9"/>
            <color indexed="81"/>
            <rFont val="Tahoma"/>
            <family val="2"/>
          </rPr>
          <t xml:space="preserve">Diversos  </t>
        </r>
        <r>
          <rPr>
            <b/>
            <sz val="9"/>
            <color indexed="81"/>
            <rFont val="Tahoma"/>
            <family val="2"/>
          </rPr>
          <t>$0</t>
        </r>
        <r>
          <rPr>
            <sz val="9"/>
            <color indexed="81"/>
            <rFont val="Tahoma"/>
            <family val="2"/>
          </rPr>
          <t xml:space="preserve">
Otros gastos no recurrentes:</t>
        </r>
        <r>
          <rPr>
            <b/>
            <sz val="9"/>
            <color indexed="81"/>
            <rFont val="Tahoma"/>
            <family val="2"/>
          </rPr>
          <t xml:space="preserve"> $55</t>
        </r>
        <r>
          <rPr>
            <sz val="9"/>
            <color indexed="81"/>
            <rFont val="Tahoma"/>
            <family val="2"/>
          </rPr>
          <t xml:space="preserve">
</t>
        </r>
        <r>
          <rPr>
            <b/>
            <sz val="9"/>
            <color indexed="81"/>
            <rFont val="Tahoma"/>
            <family val="2"/>
          </rPr>
          <t xml:space="preserve">Perdida en Venta y retiro bienes:  $0
</t>
        </r>
      </text>
    </comment>
    <comment ref="C47" authorId="2" shapeId="0" xr:uid="{B9D169B9-9E06-4FB2-BA5F-694686981C5F}">
      <text>
        <r>
          <rPr>
            <sz val="9"/>
            <color indexed="81"/>
            <rFont val="Tahoma"/>
            <family val="2"/>
          </rPr>
          <t xml:space="preserve">Gasto por intereses ($255.706), incluye intereses de mora por proceso de renta año gravable 2015 ($98.309)
Pérdida en valoración de instrumentos financieros ($15.549), incluye valoración a valor razonable de cuenta por cobrar a banco Santander ($7.504) 
Comisiones y gastos bancarios ($1.512) 
</t>
        </r>
        <r>
          <rPr>
            <b/>
            <sz val="9"/>
            <color indexed="81"/>
            <rFont val="Tahoma"/>
            <family val="2"/>
          </rPr>
          <t>Total gastos financieros:($272.767)</t>
        </r>
        <r>
          <rPr>
            <sz val="9"/>
            <color indexed="81"/>
            <rFont val="Tahoma"/>
            <family val="2"/>
          </rPr>
          <t xml:space="preserve">
Ingreso por intereses $48.710
Otros ingresos $7.208
</t>
        </r>
        <r>
          <rPr>
            <b/>
            <sz val="9"/>
            <color indexed="81"/>
            <rFont val="Tahoma"/>
            <family val="2"/>
          </rPr>
          <t>Total ingresos financieros: $55.918</t>
        </r>
        <r>
          <rPr>
            <sz val="9"/>
            <color indexed="81"/>
            <rFont val="Tahoma"/>
            <family val="2"/>
          </rPr>
          <t xml:space="preserve">
</t>
        </r>
        <r>
          <rPr>
            <b/>
            <sz val="9"/>
            <color indexed="81"/>
            <rFont val="Tahoma"/>
            <family val="2"/>
          </rPr>
          <t xml:space="preserve">
Ver anexo financieros</t>
        </r>
        <r>
          <rPr>
            <sz val="9"/>
            <color indexed="81"/>
            <rFont val="Tahoma"/>
            <family val="2"/>
          </rPr>
          <t xml:space="preserve">
</t>
        </r>
      </text>
    </comment>
    <comment ref="E47" authorId="2" shapeId="0" xr:uid="{6EE269AC-3539-4EBD-AF80-F3422A3FC3C2}">
      <text>
        <r>
          <rPr>
            <sz val="9"/>
            <color indexed="81"/>
            <rFont val="Tahoma"/>
            <family val="2"/>
          </rPr>
          <t xml:space="preserve">Gasto por intereses ($163.580)
Pérdida por valoración de instrumentos financieros ($11.858)
Comisiones y gastos bancarios ($5.577) (Principalmente comisiones financieras de la OPA $4.206)
</t>
        </r>
        <r>
          <rPr>
            <b/>
            <sz val="9"/>
            <color indexed="81"/>
            <rFont val="Tahoma"/>
            <family val="2"/>
          </rPr>
          <t xml:space="preserve">Total gastos financieros:($181.015)
</t>
        </r>
        <r>
          <rPr>
            <sz val="9"/>
            <color indexed="81"/>
            <rFont val="Tahoma"/>
            <family val="2"/>
          </rPr>
          <t>Ingreso por intereses $74.920
Ingreso por valoración de instrumentos financieros $9.248 (derivados $8.710 y CDT $538)
Otros ingresos financieros $6.905</t>
        </r>
        <r>
          <rPr>
            <b/>
            <sz val="9"/>
            <color indexed="81"/>
            <rFont val="Tahoma"/>
            <family val="2"/>
          </rPr>
          <t xml:space="preserve">
Total ingresos financieros: $91.073
Ver anexo financieros
</t>
        </r>
      </text>
    </comment>
    <comment ref="O47" authorId="1" shapeId="0" xr:uid="{84264DB6-0E3E-473A-803B-3324CBAF0BA0}">
      <text>
        <r>
          <rPr>
            <b/>
            <sz val="9"/>
            <color indexed="81"/>
            <rFont val="Tahoma"/>
            <family val="2"/>
          </rPr>
          <t>Juan Aristizabal:</t>
        </r>
        <r>
          <rPr>
            <sz val="9"/>
            <color indexed="81"/>
            <rFont val="Tahoma"/>
            <family val="2"/>
          </rPr>
          <t xml:space="preserve">
Aumento principalmente en gasto financiero por intereses en obligaciones nacionales y del exterior (Bancolombia, Bancolombia Panamá, Sumitomo y Banco Santander).</t>
        </r>
      </text>
    </comment>
    <comment ref="Q47" authorId="2" shapeId="0" xr:uid="{D8E296AD-87FB-4704-9BE9-ED6349E46260}">
      <text>
        <r>
          <rPr>
            <b/>
            <sz val="9"/>
            <color indexed="81"/>
            <rFont val="Tahoma"/>
            <family val="2"/>
          </rPr>
          <t xml:space="preserve">Financiero, Neto ($29.744)
</t>
        </r>
        <r>
          <rPr>
            <sz val="9"/>
            <color indexed="81"/>
            <rFont val="Tahoma"/>
            <family val="2"/>
          </rPr>
          <t xml:space="preserve">Gasto por intereses ($104.813)
Pérdida por val de inst fcieros ($2.603)
Comisiones y gastos bancarios ($295)
</t>
        </r>
        <r>
          <rPr>
            <b/>
            <sz val="9"/>
            <color indexed="81"/>
            <rFont val="Tahoma"/>
            <family val="2"/>
          </rPr>
          <t>Total gastos financieros:($107.711)</t>
        </r>
        <r>
          <rPr>
            <sz val="9"/>
            <color indexed="81"/>
            <rFont val="Tahoma"/>
            <family val="2"/>
          </rPr>
          <t xml:space="preserve">
Ingreso por intereses $48.899
Ingreso por valoración de inst fcieros  $29.068
</t>
        </r>
        <r>
          <rPr>
            <b/>
            <sz val="9"/>
            <color indexed="81"/>
            <rFont val="Tahoma"/>
            <family val="2"/>
          </rPr>
          <t>Total ingresos financieros:$77.967</t>
        </r>
        <r>
          <rPr>
            <sz val="9"/>
            <color indexed="81"/>
            <rFont val="Tahoma"/>
            <family val="2"/>
          </rPr>
          <t xml:space="preserve">
</t>
        </r>
        <r>
          <rPr>
            <b/>
            <sz val="9"/>
            <color indexed="81"/>
            <rFont val="Tahoma"/>
            <family val="2"/>
          </rPr>
          <t xml:space="preserve">
Ver anexo financieros</t>
        </r>
        <r>
          <rPr>
            <sz val="9"/>
            <color indexed="81"/>
            <rFont val="Tahoma"/>
            <family val="2"/>
          </rPr>
          <t xml:space="preserve">
</t>
        </r>
      </text>
    </comment>
    <comment ref="C49" authorId="1" shapeId="0" xr:uid="{ADCB5E8C-0861-447C-9B89-C36A3EA9B9D6}">
      <text>
        <r>
          <rPr>
            <sz val="9"/>
            <color indexed="81"/>
            <rFont val="Tahoma"/>
            <family val="2"/>
          </rPr>
          <t>Diferencia en cambio asociada principalmente a inversión representada en la Celda Cautiva ($10.589), cuentas por cobrar depósito en garantía ($6.771), efectivo y equivalentes de efectivo (Time Deposit) ($448), operaciones con derivados $1.819 y otros ($1.384).</t>
        </r>
      </text>
    </comment>
    <comment ref="E49" authorId="1" shapeId="0" xr:uid="{521A17B2-473C-4551-98EC-1822B54780C5}">
      <text>
        <r>
          <rPr>
            <sz val="9"/>
            <color indexed="81"/>
            <rFont val="Tahoma"/>
            <family val="2"/>
          </rPr>
          <t>Diferencia en cambio asociada principalmente a efectivo y equivalentes de efectivo (Time Deposit) $8.859, inversión representada en la Celda Cautiva $5.658, operaciones con derivados ($9.618), cuentas por cobrar depósito en garantía ($1.188), otros ($848).</t>
        </r>
      </text>
    </comment>
    <comment ref="O49" authorId="1" shapeId="0" xr:uid="{E71FDF0B-1D9C-4EA3-9861-D7558DAD1A3D}">
      <text>
        <r>
          <rPr>
            <b/>
            <sz val="9"/>
            <color indexed="81"/>
            <rFont val="Tahoma"/>
            <family val="2"/>
          </rPr>
          <t>Juan Aristizabal:</t>
        </r>
        <r>
          <rPr>
            <sz val="9"/>
            <color indexed="81"/>
            <rFont val="Tahoma"/>
            <family val="2"/>
          </rPr>
          <t xml:space="preserve">
Principalmente gasto por difcam de la inversión en Celda Cautiva.</t>
        </r>
      </text>
    </comment>
    <comment ref="C57" authorId="3" shapeId="0" xr:uid="{891EA61D-241F-4ECD-A324-ADAAC396F679}">
      <text>
        <r>
          <rPr>
            <sz val="9"/>
            <color indexed="81"/>
            <rFont val="Tahoma"/>
            <family val="2"/>
          </rPr>
          <t xml:space="preserve">Impto. Diferido                          $246.840 
Impto. Corriente                         $54.473
</t>
        </r>
      </text>
    </comment>
    <comment ref="E57" authorId="3" shapeId="0" xr:uid="{F205AF88-73B6-4A7E-ADDE-F52614DAFB58}">
      <text>
        <r>
          <rPr>
            <b/>
            <sz val="9"/>
            <color indexed="81"/>
            <rFont val="Tahoma"/>
            <family val="2"/>
          </rPr>
          <t xml:space="preserve">Corriente                                    $8.557
Impto. Diferido                         $109.117 
</t>
        </r>
      </text>
    </comment>
    <comment ref="O57" authorId="1" shapeId="0" xr:uid="{2CAA261D-68BF-4B7B-BB41-FED695636076}">
      <text>
        <r>
          <rPr>
            <b/>
            <sz val="9"/>
            <color indexed="81"/>
            <rFont val="Tahoma"/>
            <family val="2"/>
          </rPr>
          <t>Juan Aristizabal:</t>
        </r>
        <r>
          <rPr>
            <sz val="9"/>
            <color indexed="81"/>
            <rFont val="Tahoma"/>
            <family val="2"/>
          </rPr>
          <t xml:space="preserve">
 Principalmente por compensación de pérdidas fiscales en 2023</t>
        </r>
      </text>
    </comment>
    <comment ref="Q57" authorId="3" shapeId="0" xr:uid="{8ED84FC8-8FF9-4863-A6CC-38B8A5013727}">
      <text>
        <r>
          <rPr>
            <sz val="9"/>
            <color indexed="81"/>
            <rFont val="Tahoma"/>
            <family val="2"/>
          </rPr>
          <t xml:space="preserve">
</t>
        </r>
        <r>
          <rPr>
            <b/>
            <sz val="9"/>
            <color indexed="81"/>
            <rFont val="Tahoma"/>
            <family val="2"/>
          </rPr>
          <t>Corriente                                  $0</t>
        </r>
        <r>
          <rPr>
            <sz val="9"/>
            <color indexed="81"/>
            <rFont val="Tahoma"/>
            <family val="2"/>
          </rPr>
          <t xml:space="preserve">
</t>
        </r>
        <r>
          <rPr>
            <b/>
            <sz val="9"/>
            <color indexed="81"/>
            <rFont val="Tahoma"/>
            <family val="2"/>
          </rPr>
          <t>Impto. Diferido                         $11.728</t>
        </r>
        <r>
          <rPr>
            <sz val="9"/>
            <color indexed="81"/>
            <rFont val="Tahoma"/>
            <family val="2"/>
          </rPr>
          <t xml:space="preserve">
</t>
        </r>
      </text>
    </comment>
    <comment ref="C60" authorId="4" shapeId="0" xr:uid="{E3C96060-1620-4F49-A138-B790338561CA}">
      <text>
        <r>
          <rPr>
            <b/>
            <sz val="9"/>
            <color indexed="81"/>
            <rFont val="Tahoma"/>
            <family val="2"/>
          </rPr>
          <t xml:space="preserve">Reclasificación operación discontinuada Grupo Sura
Medición a valor razonable de acciones de Grupo Sura escindidas $2.710.186
Impuestos diferidos $411.533 dado:
</t>
        </r>
        <r>
          <rPr>
            <sz val="9"/>
            <color indexed="81"/>
            <rFont val="Tahoma"/>
            <family val="2"/>
          </rPr>
          <t>Devolución impuesto diferido asociado al exceso de control $450.533
Baja de escudos fiscales por patrimonio escindido ($39.000)</t>
        </r>
        <r>
          <rPr>
            <b/>
            <sz val="9"/>
            <color indexed="81"/>
            <rFont val="Tahoma"/>
            <family val="2"/>
          </rPr>
          <t xml:space="preserve">
Ingresos por dividendos: $142.328
</t>
        </r>
        <r>
          <rPr>
            <sz val="9"/>
            <color indexed="81"/>
            <rFont val="Tahoma"/>
            <family val="2"/>
          </rPr>
          <t>Dividendos decretados en la AGA y ajuste por escisión de 2024 $142.119
Dividendos por las acciones recibidas en dación en pago de Sator $209</t>
        </r>
        <r>
          <rPr>
            <b/>
            <sz val="9"/>
            <color indexed="81"/>
            <rFont val="Tahoma"/>
            <family val="2"/>
          </rPr>
          <t xml:space="preserve">
Gasto financiero neto operaciones discontinuas ($4.069) por pasivo por dividendo mínimo de acciones preferenciales
Costos incrementales (orden interna Teseo 3): ($47.952), principalmente:
</t>
        </r>
        <r>
          <rPr>
            <sz val="9"/>
            <color indexed="81"/>
            <rFont val="Tahoma"/>
            <family val="2"/>
          </rPr>
          <t>Gastos de honorarios de asesoría financiera ($40.153) (principalmente JP Morgan ($32.786), Bain ($5.060) e Inverlink ($1.103)
Otros impuestos asumidos ($4.093) con JP Morgan
Gastos de honorarios de asesoría jurídica ($2.417) (principalmente Philippi Prieto Carri)</t>
        </r>
        <r>
          <rPr>
            <b/>
            <sz val="9"/>
            <color indexed="81"/>
            <rFont val="Tahoma"/>
            <family val="2"/>
          </rPr>
          <t xml:space="preserve">
</t>
        </r>
      </text>
    </comment>
    <comment ref="E60" authorId="4" shapeId="0" xr:uid="{0D38CD95-70FE-456C-BF42-047216EF62CF}">
      <text>
        <r>
          <rPr>
            <b/>
            <sz val="9"/>
            <color indexed="81"/>
            <rFont val="Tahoma"/>
            <family val="2"/>
          </rPr>
          <t xml:space="preserve">Reclasificación operación discontinuada Grupo Sura
Ingresos por dividendos: $237.330
</t>
        </r>
        <r>
          <rPr>
            <sz val="9"/>
            <color indexed="81"/>
            <rFont val="Tahoma"/>
            <family val="2"/>
          </rPr>
          <t xml:space="preserve">Dividendos decretados en la AGA de 2024 $232.517
Dividendos por acciones recibidas en la OPA $4.813
</t>
        </r>
        <r>
          <rPr>
            <b/>
            <sz val="9"/>
            <color indexed="81"/>
            <rFont val="Tahoma"/>
            <family val="2"/>
          </rPr>
          <t xml:space="preserve">
Ingreso por venta de acciones de Grupo Sura en la OPA $18.074
Costo por venta de acciones de Grupo Sura en la OPA ($13.345)
Gto. adm. honorarios asesoría jurídica ($2.417)
Diferencia en cambio ($30)
Impuesto diferido: ($236.873)
</t>
        </r>
        <r>
          <rPr>
            <sz val="9"/>
            <color indexed="81"/>
            <rFont val="Tahoma"/>
            <family val="2"/>
          </rPr>
          <t xml:space="preserve">Causación impuesto diferido al exceso de control de las acciones recibidas de Grupo Sura ($236.873)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Diana Duque</author>
    <author>Mauricio Andres Restrepo</author>
    <author>Mauricio Restrepo</author>
  </authors>
  <commentList>
    <comment ref="C10" authorId="0" shapeId="0" xr:uid="{8A0D6A62-DFF2-4C36-BD4C-97DFB48CE1AE}">
      <text>
        <r>
          <rPr>
            <b/>
            <sz val="9"/>
            <color indexed="81"/>
            <rFont val="Tahoma"/>
            <family val="2"/>
          </rPr>
          <t>Segmento CEMENTO</t>
        </r>
      </text>
    </comment>
    <comment ref="F10" authorId="0" shapeId="0" xr:uid="{99D8ADDC-F33D-4C75-9187-2D9736A2FB8D}">
      <text>
        <r>
          <rPr>
            <b/>
            <sz val="9"/>
            <color indexed="81"/>
            <rFont val="Tahoma"/>
            <family val="2"/>
          </rPr>
          <t>Segmento ENERGÍA</t>
        </r>
      </text>
    </comment>
    <comment ref="J10" authorId="0" shapeId="0" xr:uid="{B547F7D5-59C3-457C-8568-076ABA96CE46}">
      <text>
        <r>
          <rPr>
            <b/>
            <sz val="9"/>
            <color indexed="81"/>
            <rFont val="Tahoma"/>
            <family val="2"/>
          </rPr>
          <t>Segmento INMOBILIARIO</t>
        </r>
      </text>
    </comment>
    <comment ref="M10" authorId="0" shapeId="0" xr:uid="{F2D54648-3267-429C-9242-E68BCDCFC693}">
      <text>
        <r>
          <rPr>
            <b/>
            <sz val="9"/>
            <color indexed="81"/>
            <rFont val="Tahoma"/>
            <family val="2"/>
          </rPr>
          <t>Segmento PORTAFOLIO</t>
        </r>
      </text>
    </comment>
    <comment ref="R10" authorId="0" shapeId="0" xr:uid="{09B46532-2BCD-4367-9481-1214B4A85581}">
      <text>
        <r>
          <rPr>
            <b/>
            <sz val="9"/>
            <color indexed="81"/>
            <rFont val="Tahoma"/>
            <family val="2"/>
          </rPr>
          <t>Segmento CARBON</t>
        </r>
      </text>
    </comment>
    <comment ref="U10" authorId="0" shapeId="0" xr:uid="{571AC94E-49EB-4C08-A280-305290AB284C}">
      <text>
        <r>
          <rPr>
            <b/>
            <sz val="9"/>
            <color indexed="81"/>
            <rFont val="Tahoma"/>
            <family val="2"/>
          </rPr>
          <t>Segmento CONCESIONES</t>
        </r>
      </text>
    </comment>
    <comment ref="M13" authorId="1" shapeId="0" xr:uid="{37916B3D-6E46-4612-9F5F-1D928824BD06}">
      <text>
        <r>
          <rPr>
            <b/>
            <sz val="9"/>
            <color indexed="81"/>
            <rFont val="Tahoma"/>
            <family val="2"/>
          </rPr>
          <t>Mauricio Andres Restrepo:</t>
        </r>
        <r>
          <rPr>
            <sz val="9"/>
            <color indexed="81"/>
            <rFont val="Tahoma"/>
            <family val="2"/>
          </rPr>
          <t xml:space="preserve">
Comprende principalmente:
1. Ingreso por venta de unidades de FCP Pactia $7.490
2. Dividendos $29
3. Ingreso por venta de bienes y servicios por $9.668
4. Método de la participación: Corresponde al MPP de asociadas y negocios conjuntos sin incluir el MPP de las asociadas y negocios conjuntos de Odinsa (se incluye en el segmento de concesiones), el MPP de las asociadas y negocios conjuntos de Cementos y de Celsia (se incluye en reclasificaciones) y el MPP de Pactia S.A.S. (se incluye en el segmento inmobiliario). Incluye MPP sobre: Interejecutiva $330, PA Contingencias CND $14 y otros ($50).
</t>
        </r>
      </text>
    </comment>
    <comment ref="N13" authorId="1" shapeId="0" xr:uid="{70ED0C72-3487-4163-8825-CB4DDC769EDB}">
      <text>
        <r>
          <rPr>
            <b/>
            <sz val="9"/>
            <color indexed="81"/>
            <rFont val="Tahoma"/>
            <family val="2"/>
          </rPr>
          <t>Mauricio Andres Restrepo:</t>
        </r>
        <r>
          <rPr>
            <sz val="9"/>
            <color indexed="81"/>
            <rFont val="Tahoma"/>
            <family val="2"/>
          </rPr>
          <t xml:space="preserve">
Comprende principalmente:
1. Dividendos $2.871
2. Ingreso por venta de bienes y servicios por $7.492
3. Método de la participación: Corresponde al MPP de asociadas y negocios conjuntos sin incluir el MPP de las asociadas y negocios conjuntos de Odinsa (se incluye en el segmento de concesiones), el MPP de las asociadas y negocios conjuntos de Cementos y de Celsia (se incluye en reclasificaciones) y el MPP de Pactia S.A.S. (se incluye en el segmento inmobiliario). Incluye MPP sobre: Interejecutiva ($144) y PA Contingencias CND $21.
</t>
        </r>
      </text>
    </comment>
    <comment ref="X13" authorId="2" shapeId="0" xr:uid="{52FBDABB-7B50-4296-BEC4-EAFAAACC3E93}">
      <text>
        <r>
          <rPr>
            <b/>
            <sz val="9"/>
            <color indexed="81"/>
            <rFont val="Tahoma"/>
            <family val="2"/>
          </rPr>
          <t>Mauricio Restrepo:</t>
        </r>
        <r>
          <rPr>
            <sz val="9"/>
            <color indexed="81"/>
            <rFont val="Tahoma"/>
            <family val="2"/>
          </rPr>
          <t xml:space="preserve">
Corresponde a MPP ($3.541) y dividendos $8</t>
        </r>
      </text>
    </comment>
    <comment ref="Z13" authorId="2" shapeId="0" xr:uid="{848FB052-A616-43E7-B2B4-A310A296BDAD}">
      <text>
        <r>
          <rPr>
            <b/>
            <sz val="9"/>
            <color indexed="81"/>
            <rFont val="Tahoma"/>
            <family val="2"/>
          </rPr>
          <t>Mauricio Restrepo:</t>
        </r>
        <r>
          <rPr>
            <sz val="9"/>
            <color indexed="81"/>
            <rFont val="Tahoma"/>
            <family val="2"/>
          </rPr>
          <t xml:space="preserve">
Corresponde a MPP $15.480 y dividendos $77.</t>
        </r>
      </text>
    </comment>
    <comment ref="AE13" authorId="1" shapeId="0" xr:uid="{9774BFBB-43A1-483B-8796-7F57053301FA}">
      <text>
        <r>
          <rPr>
            <b/>
            <sz val="9"/>
            <color indexed="81"/>
            <rFont val="Tahoma"/>
            <family val="2"/>
          </rPr>
          <t>Mauricio Andres Restrepo:</t>
        </r>
        <r>
          <rPr>
            <sz val="9"/>
            <color indexed="81"/>
            <rFont val="Tahoma"/>
            <family val="2"/>
          </rPr>
          <t xml:space="preserve">
Comprende principalmente:
1. Ingreso por venta de unidades de FCP Pactia $7.490
2. Método de la participación: Corresponde al MPP de asociadas y negocios conjuntos sin incluir el MPP de las asociadas y negocios conjuntos de Odinsa (se incluye en el segmento de concesiones), el MPP de las asociadas y negocios conjuntos de Cementos y de Celsia (se incluye en reclasificaciones) y el MPP de Pactia S.A.S. (se incluye en el segmento inmobiliario). Incluye MPP sobre: Interejecutiva $471 y PA Contingencias CND $8.
3. Ingreso por venta de bienes y servicios por $7.331
</t>
        </r>
      </text>
    </comment>
    <comment ref="M18" authorId="1" shapeId="0" xr:uid="{90A2567D-59EC-41A0-887F-82C0EB827564}">
      <text>
        <r>
          <rPr>
            <b/>
            <sz val="9"/>
            <color indexed="81"/>
            <rFont val="Tahoma"/>
            <family val="2"/>
          </rPr>
          <t>Mauricio Andres Restrepo:</t>
        </r>
        <r>
          <rPr>
            <sz val="9"/>
            <color indexed="81"/>
            <rFont val="Tahoma"/>
            <family val="2"/>
          </rPr>
          <t xml:space="preserve">
Otros ingresos y egresos: ($478)
- Otros ingresos $653, principalmente reintegro costos y gastos $559
- Otros egresos ($1.131): principalmente 4 x mil por ($957)
</t>
        </r>
      </text>
    </comment>
    <comment ref="N18" authorId="1" shapeId="0" xr:uid="{36D988CD-A4B8-4DED-95C7-724752A421B6}">
      <text>
        <r>
          <rPr>
            <b/>
            <sz val="9"/>
            <color indexed="81"/>
            <rFont val="Tahoma"/>
            <family val="2"/>
          </rPr>
          <t>Mauricio Andres Restrepo:</t>
        </r>
        <r>
          <rPr>
            <sz val="9"/>
            <color indexed="81"/>
            <rFont val="Tahoma"/>
            <family val="2"/>
          </rPr>
          <t xml:space="preserve">
Otros ingresos y egresos: $48.710
- Otros ingresos $52.988: utilidad en entrega de acciones de Grupo Nutresa: $52.833
- Otros egresos ($4.278): principalmente otros impuestos ($3.085) y 4 x mil por ($1.123)
</t>
        </r>
      </text>
    </comment>
    <comment ref="AE18" authorId="1" shapeId="0" xr:uid="{6424EB48-95E7-4CB1-9183-E57D2D27AF36}">
      <text>
        <r>
          <rPr>
            <b/>
            <sz val="9"/>
            <color indexed="81"/>
            <rFont val="Tahoma"/>
            <family val="2"/>
          </rPr>
          <t>Mauricio Andres Restrepo:</t>
        </r>
        <r>
          <rPr>
            <sz val="9"/>
            <color indexed="81"/>
            <rFont val="Tahoma"/>
            <family val="2"/>
          </rPr>
          <t xml:space="preserve">
Otros ingresos y egresos: ($745)
- Otros ingresos $127, principalmente reintegro costos y gastos $126
- Otros egresos ($872): principalmente 4 x mil por ($764)
</t>
        </r>
      </text>
    </comment>
    <comment ref="M24" authorId="1" shapeId="0" xr:uid="{2949EA58-5B75-487E-9269-D7908B37434C}">
      <text>
        <r>
          <rPr>
            <b/>
            <sz val="9"/>
            <color indexed="81"/>
            <rFont val="Tahoma"/>
            <family val="2"/>
          </rPr>
          <t>Mauricio Andres Restrepo:</t>
        </r>
        <r>
          <rPr>
            <sz val="9"/>
            <color indexed="81"/>
            <rFont val="Tahoma"/>
            <family val="2"/>
          </rPr>
          <t xml:space="preserve">
1. Financieros, neto ($34.241)
2. Diferencia en cambio ($7.045)
3. Provisión para impuesto a las ganancias ($6.840)
4. Utilidad (Pérdida) neta de operaciones discontinuadas ($10.930)
</t>
        </r>
      </text>
    </comment>
    <comment ref="N24" authorId="1" shapeId="0" xr:uid="{61517ADC-A7B0-459B-8B9B-B37ADF387AE1}">
      <text>
        <r>
          <rPr>
            <b/>
            <sz val="9"/>
            <color indexed="81"/>
            <rFont val="Tahoma"/>
            <family val="2"/>
          </rPr>
          <t>Mauricio Andres Restrepo:</t>
        </r>
        <r>
          <rPr>
            <sz val="9"/>
            <color indexed="81"/>
            <rFont val="Tahoma"/>
            <family val="2"/>
          </rPr>
          <t xml:space="preserve">
1. Financieros, neto ($21.078)
2. Diferencia en cambio $2.227
3. Provisión para impuesto a las ganancias ($1.862)
4. Utilidad (Pérdida) neta de operaciones discontinuadas $1.375.322
</t>
        </r>
      </text>
    </comment>
    <comment ref="AE24" authorId="1" shapeId="0" xr:uid="{FC1A2C49-EE4F-4DA0-8C61-BA9F5A61CC7A}">
      <text>
        <r>
          <rPr>
            <b/>
            <sz val="9"/>
            <color indexed="81"/>
            <rFont val="Tahoma"/>
            <family val="2"/>
          </rPr>
          <t>Mauricio Andres Restrepo:</t>
        </r>
        <r>
          <rPr>
            <sz val="9"/>
            <color indexed="81"/>
            <rFont val="Tahoma"/>
            <family val="2"/>
          </rPr>
          <t xml:space="preserve">
1. Financieros, neto ($21.140)
2. Diferencia en cambio ($9.642)
3. Provisión para impuesto a las ganancias ($3.584)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Diana Duque</author>
    <author>Mauricio Andres Restrepo</author>
    <author>Mauricio Restrepo</author>
  </authors>
  <commentList>
    <comment ref="C10" authorId="0" shapeId="0" xr:uid="{1D8574A4-2BB2-451F-A7DB-097BA9DB9519}">
      <text>
        <r>
          <rPr>
            <b/>
            <sz val="9"/>
            <color indexed="81"/>
            <rFont val="Tahoma"/>
            <family val="2"/>
          </rPr>
          <t>Segmento CEMENTO</t>
        </r>
      </text>
    </comment>
    <comment ref="F10" authorId="0" shapeId="0" xr:uid="{978CFE48-0987-41A3-9C58-FDC6F715EFE5}">
      <text>
        <r>
          <rPr>
            <b/>
            <sz val="9"/>
            <color indexed="81"/>
            <rFont val="Tahoma"/>
            <family val="2"/>
          </rPr>
          <t>Segmento ENERGÍA</t>
        </r>
      </text>
    </comment>
    <comment ref="J10" authorId="0" shapeId="0" xr:uid="{1F288719-B4A5-40BD-970C-1E7D8CF537EB}">
      <text>
        <r>
          <rPr>
            <b/>
            <sz val="9"/>
            <color indexed="81"/>
            <rFont val="Tahoma"/>
            <family val="2"/>
          </rPr>
          <t>Segmento INMOBILIARIO</t>
        </r>
      </text>
    </comment>
    <comment ref="M10" authorId="0" shapeId="0" xr:uid="{AF648B18-363E-449B-97D8-39AA0E19C0A5}">
      <text>
        <r>
          <rPr>
            <b/>
            <sz val="9"/>
            <color indexed="81"/>
            <rFont val="Tahoma"/>
            <family val="2"/>
          </rPr>
          <t>Segmento PORTAFOLIO</t>
        </r>
      </text>
    </comment>
    <comment ref="R10" authorId="0" shapeId="0" xr:uid="{86691595-2F49-41E4-BEDC-22CDC3CD30C8}">
      <text>
        <r>
          <rPr>
            <b/>
            <sz val="9"/>
            <color indexed="81"/>
            <rFont val="Tahoma"/>
            <family val="2"/>
          </rPr>
          <t>Segmento CARBON</t>
        </r>
      </text>
    </comment>
    <comment ref="U10" authorId="0" shapeId="0" xr:uid="{AB9CDEE8-6C42-4201-AF59-EA7083247769}">
      <text>
        <r>
          <rPr>
            <b/>
            <sz val="9"/>
            <color indexed="81"/>
            <rFont val="Tahoma"/>
            <family val="2"/>
          </rPr>
          <t>Segmento CONCESIONES</t>
        </r>
      </text>
    </comment>
    <comment ref="M13" authorId="1" shapeId="0" xr:uid="{F854C8F4-A2AA-4085-AD41-97E23FD524A6}">
      <text>
        <r>
          <rPr>
            <b/>
            <sz val="9"/>
            <color indexed="81"/>
            <rFont val="Tahoma"/>
            <family val="2"/>
          </rPr>
          <t>Mauricio Andres Restrepo:</t>
        </r>
        <r>
          <rPr>
            <sz val="9"/>
            <color indexed="81"/>
            <rFont val="Tahoma"/>
            <family val="2"/>
          </rPr>
          <t xml:space="preserve">
Comprende principalmente:
1. Ingreso por venta de unidades de FCP Pactia $7.490 y dividendos $29
2. Ingreso por venta de bienes y servicios por $19.188
3. Método de la participación: Corresponde al MPP de asociadas y negocios conjuntos sin incluir el MPP de las asociadas y negocios conjuntos de Odinsa (se incluye en el segmento de concesiones), el MPP de las asociadas y negocios conjuntos de Cementos y de Celsia (se incluye en reclasificaciones) y el MPP de Pactia S.A.S. (se incluye en el segmento inmobiliario). Incluye MPP sobre: Interejecutiva $821, PA Contingencias CND $30 y otros ($139).
</t>
        </r>
      </text>
    </comment>
    <comment ref="N13" authorId="1" shapeId="0" xr:uid="{5369F302-A0E2-4D94-8645-7F89C86DD510}">
      <text>
        <r>
          <rPr>
            <b/>
            <sz val="9"/>
            <color indexed="81"/>
            <rFont val="Tahoma"/>
            <family val="2"/>
          </rPr>
          <t>Mauricio Andres Restrepo:</t>
        </r>
        <r>
          <rPr>
            <sz val="9"/>
            <color indexed="81"/>
            <rFont val="Tahoma"/>
            <family val="2"/>
          </rPr>
          <t xml:space="preserve">
Comprende principalmente:
1. Dividendos $2.914
2. Ingreso por venta de bienes y servicios por $16.659
3. Método de la participación: Corresponde al MPP de asociadas y negocios conjuntos sin incluir el MPP de las asociadas y negocios conjuntos de Odinsa (se incluye en el segmento de concesiones), el MPP de las asociadas y negocios conjuntos de Cementos y de Celsia (se incluye en reclasificaciones) y el MPP de Pactia S.A.S. (se incluye en el segmento inmobiliario). Incluye MPP sobre: Interejecutiva ($952), Consorcio CMO $49 y PA Contingencias CND $36
</t>
        </r>
      </text>
    </comment>
    <comment ref="X13" authorId="2" shapeId="0" xr:uid="{7E777811-1C67-499B-BCC8-22DAA450FF3B}">
      <text>
        <r>
          <rPr>
            <b/>
            <sz val="9"/>
            <color indexed="81"/>
            <rFont val="Tahoma"/>
            <family val="2"/>
          </rPr>
          <t>Mauricio Restrepo:</t>
        </r>
        <r>
          <rPr>
            <sz val="9"/>
            <color indexed="81"/>
            <rFont val="Tahoma"/>
            <family val="2"/>
          </rPr>
          <t xml:space="preserve">
Corresponde a MPP ($10.095) y dividendos $44</t>
        </r>
      </text>
    </comment>
    <comment ref="Z13" authorId="2" shapeId="0" xr:uid="{A19B4307-2193-4694-8D7E-5C5FCCBBDE16}">
      <text>
        <r>
          <rPr>
            <b/>
            <sz val="9"/>
            <color indexed="81"/>
            <rFont val="Tahoma"/>
            <family val="2"/>
          </rPr>
          <t>Mauricio Restrepo:</t>
        </r>
        <r>
          <rPr>
            <sz val="9"/>
            <color indexed="81"/>
            <rFont val="Tahoma"/>
            <family val="2"/>
          </rPr>
          <t xml:space="preserve">
Corresponde a MPP $20.456 y dividendos $33.</t>
        </r>
      </text>
    </comment>
    <comment ref="AE13" authorId="1" shapeId="0" xr:uid="{4B4EE1BB-01EF-4BB1-97B9-D0BD32B945DB}">
      <text>
        <r>
          <rPr>
            <b/>
            <sz val="9"/>
            <color indexed="81"/>
            <rFont val="Tahoma"/>
            <family val="2"/>
          </rPr>
          <t>Mauricio Andres Restrepo:</t>
        </r>
        <r>
          <rPr>
            <sz val="9"/>
            <color indexed="81"/>
            <rFont val="Tahoma"/>
            <family val="2"/>
          </rPr>
          <t xml:space="preserve">
Comprende principalmente:
1. Ingreso por venta de unidades de FCP Pactia $7.490 y dividendos $29
2. Ingreso por venta de bienes y servicios por $16.866
3. Método de la participación: Corresponde al MPP de asociadas y negocios conjuntos sin incluir el MPP de las asociadas y negocios conjuntos de Odinsa (se incluye en el segmento de concesiones), el MPP de las asociadas y negocios conjuntos de Cementos y de Celsia (se incluye en reclasificaciones) y el MPP de Pactia S.A.S. (se incluye en el segmento inmobiliario). Incluye MPP sobre: Interejecutiva $776, PA Contingencias CND $26 y otros ($134).
</t>
        </r>
      </text>
    </comment>
    <comment ref="M18" authorId="1" shapeId="0" xr:uid="{14061583-E7A1-4A1B-8986-49555181D98B}">
      <text>
        <r>
          <rPr>
            <b/>
            <sz val="9"/>
            <color indexed="81"/>
            <rFont val="Tahoma"/>
            <family val="2"/>
          </rPr>
          <t>Mauricio Andres Restrepo:</t>
        </r>
        <r>
          <rPr>
            <sz val="9"/>
            <color indexed="81"/>
            <rFont val="Tahoma"/>
            <family val="2"/>
          </rPr>
          <t xml:space="preserve">
Otros ingresos y egresos: ($5.622)
- Otros ingresos $970, principalmente reintegro costos y gastos $656 y diversos $314
- Otros egresos ($6.592): principalmente donaciones ($3.736) y 4 x mil por ($2.540)
</t>
        </r>
      </text>
    </comment>
    <comment ref="N18" authorId="1" shapeId="0" xr:uid="{DFF5D655-2267-4E48-93A4-784FC0A3EA41}">
      <text>
        <r>
          <rPr>
            <b/>
            <sz val="9"/>
            <color indexed="81"/>
            <rFont val="Tahoma"/>
            <family val="2"/>
          </rPr>
          <t>Mauricio Andres Restrepo:</t>
        </r>
        <r>
          <rPr>
            <sz val="9"/>
            <color indexed="81"/>
            <rFont val="Tahoma"/>
            <family val="2"/>
          </rPr>
          <t xml:space="preserve">
Otros ingresos y egresos: $66.120
- Otros ingresos $75.537: principalmente utilidad en entrega de acciones de Grupo Nutresa: $74.700
- Otros egresos ($9.417): principalmente donaciones ($3.547), otros impuestos ($3.508) y 4 x mil por ($2.150)
</t>
        </r>
      </text>
    </comment>
    <comment ref="AE18" authorId="1" shapeId="0" xr:uid="{F0B0C723-C7D2-4D45-9DBB-5C79FE364532}">
      <text>
        <r>
          <rPr>
            <b/>
            <sz val="9"/>
            <color indexed="81"/>
            <rFont val="Tahoma"/>
            <family val="2"/>
          </rPr>
          <t>Mauricio Andres Restrepo:</t>
        </r>
        <r>
          <rPr>
            <sz val="9"/>
            <color indexed="81"/>
            <rFont val="Tahoma"/>
            <family val="2"/>
          </rPr>
          <t xml:space="preserve">
Otros ingresos y egresos: ($3.368)
- Otros ingresos $1.017, principalmente reintegro costos y gastos $600 y diversos $417
- Otros egresos ($4.385): principalmente 4 x mil por ($2.354) y donaciones ($1.735)
</t>
        </r>
      </text>
    </comment>
    <comment ref="M24" authorId="1" shapeId="0" xr:uid="{6E375F4E-4EE7-4359-8F4E-B6C4193FC096}">
      <text>
        <r>
          <rPr>
            <b/>
            <sz val="9"/>
            <color indexed="81"/>
            <rFont val="Tahoma"/>
            <family val="2"/>
          </rPr>
          <t>Mauricio Andres Restrepo:</t>
        </r>
        <r>
          <rPr>
            <sz val="9"/>
            <color indexed="81"/>
            <rFont val="Tahoma"/>
            <family val="2"/>
          </rPr>
          <t xml:space="preserve">
1. Financieros, neto ($72.840)
2. Diferencia en cambio ($11.797)
3. Provisión para impuesto a las ganancias $8.370
4. Utilidad (Pérdida) neta de operaciones discontinuadas ($25.579)
</t>
        </r>
      </text>
    </comment>
    <comment ref="N24" authorId="1" shapeId="0" xr:uid="{6CDBFFFB-85CB-4453-A0BD-4272A8F2EE36}">
      <text>
        <r>
          <rPr>
            <b/>
            <sz val="9"/>
            <color indexed="81"/>
            <rFont val="Tahoma"/>
            <family val="2"/>
          </rPr>
          <t>Mauricio Andres Restrepo:</t>
        </r>
        <r>
          <rPr>
            <sz val="9"/>
            <color indexed="81"/>
            <rFont val="Tahoma"/>
            <family val="2"/>
          </rPr>
          <t xml:space="preserve">
1. Financieros, neto ($67.398)
2. Diferencia en cambio $2.143
3. Provisión para impuesto a las ganancias $15.989
4. Utilidad (Pérdida) neta de operaciones discontinuadas $1.468.727
</t>
        </r>
      </text>
    </comment>
    <comment ref="AE24" authorId="1" shapeId="0" xr:uid="{F6063C4A-65DC-4910-B9E3-5C99F656D4AC}">
      <text>
        <r>
          <rPr>
            <b/>
            <sz val="9"/>
            <color indexed="81"/>
            <rFont val="Tahoma"/>
            <family val="2"/>
          </rPr>
          <t>Mauricio Andres Restrepo:</t>
        </r>
        <r>
          <rPr>
            <sz val="9"/>
            <color indexed="81"/>
            <rFont val="Tahoma"/>
            <family val="2"/>
          </rPr>
          <t xml:space="preserve">
1. Financieros, neto ($59.433)
2. Diferencia en cambio ($8.751)
3. Provisión para impuesto a las ganancias $6.439
4. Utilidad (Pérdida) neta de operaciones discontinuadas ($14.176)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Diana Duque</author>
    <author>Mauricio Andres Restrepo</author>
    <author>Mauricio Andres Restrepo Jaramillo</author>
    <author>Mauricio Restrepo</author>
  </authors>
  <commentList>
    <comment ref="C10" authorId="0" shapeId="0" xr:uid="{819EC85C-5424-4877-A3FD-FBAF61378FB6}">
      <text>
        <r>
          <rPr>
            <b/>
            <sz val="9"/>
            <color indexed="81"/>
            <rFont val="Tahoma"/>
            <family val="2"/>
          </rPr>
          <t>Segmento CEMENTO</t>
        </r>
      </text>
    </comment>
    <comment ref="F10" authorId="0" shapeId="0" xr:uid="{2C2FB1DD-1D88-4AD7-9119-1BF964A38DC8}">
      <text>
        <r>
          <rPr>
            <b/>
            <sz val="9"/>
            <color indexed="81"/>
            <rFont val="Tahoma"/>
            <family val="2"/>
          </rPr>
          <t>Segmento ENERGÍA</t>
        </r>
      </text>
    </comment>
    <comment ref="J10" authorId="0" shapeId="0" xr:uid="{F7711F35-E84A-4AEE-B4EC-E2A03D75B1AB}">
      <text>
        <r>
          <rPr>
            <b/>
            <sz val="9"/>
            <color indexed="81"/>
            <rFont val="Tahoma"/>
            <family val="2"/>
          </rPr>
          <t>Segmento INMOBILIARIO</t>
        </r>
      </text>
    </comment>
    <comment ref="M10" authorId="0" shapeId="0" xr:uid="{0C541D5D-C268-4654-98BD-897A63541A69}">
      <text>
        <r>
          <rPr>
            <b/>
            <sz val="9"/>
            <color indexed="81"/>
            <rFont val="Tahoma"/>
            <family val="2"/>
          </rPr>
          <t>Segmento PORTAFOLIO</t>
        </r>
      </text>
    </comment>
    <comment ref="R10" authorId="0" shapeId="0" xr:uid="{8D6906BD-D4FD-4AF6-B3F6-E697D3CA8060}">
      <text>
        <r>
          <rPr>
            <b/>
            <sz val="9"/>
            <color indexed="81"/>
            <rFont val="Tahoma"/>
            <family val="2"/>
          </rPr>
          <t>Segmento CARBON</t>
        </r>
      </text>
    </comment>
    <comment ref="U10" authorId="0" shapeId="0" xr:uid="{8B1C630F-3932-49D3-BA20-C35A54251A22}">
      <text>
        <r>
          <rPr>
            <b/>
            <sz val="9"/>
            <color indexed="81"/>
            <rFont val="Tahoma"/>
            <family val="2"/>
          </rPr>
          <t>Segmento CONCESIONES</t>
        </r>
      </text>
    </comment>
    <comment ref="M13" authorId="1" shapeId="0" xr:uid="{A3DA77FA-D338-4A54-AE0F-2B7312F87E6B}">
      <text>
        <r>
          <rPr>
            <sz val="9"/>
            <color indexed="81"/>
            <rFont val="Tahoma"/>
            <family val="2"/>
          </rPr>
          <t xml:space="preserve">Comprende principalmente:
1. Ingreso por venta de unidades de FCP Pactia $15.315 y dividendos $29
2. Ingreso por venta de bienes y servicios por $31.990
3. Método de la participación: Corresponde al MPP de asociadas y negocios conjuntos sin incluir el MPP de las asociadas y negocios conjuntos de Odinsa (se incluye en el segmento de concesiones), el MPP de las asociadas y negocios conjuntos de Cementos y de Celsia (se incluye en reclasificaciones) y el MPP de Pactia S.A.S. (se incluye en el segmento inmobiliario). Incluye MPP sobre: Interejecutiva $984, PA Contingencias CND $47 y otros ($346).
</t>
        </r>
      </text>
    </comment>
    <comment ref="N13" authorId="2" shapeId="0" xr:uid="{1616C3F7-7371-40C7-A06D-20523F43DC64}">
      <text>
        <r>
          <rPr>
            <sz val="9"/>
            <color indexed="81"/>
            <rFont val="Tahoma"/>
            <family val="2"/>
          </rPr>
          <t xml:space="preserve">Comprende principalmente:
1. Dividendos $2.914
2. Ingreso por venta de bienes y servicios por $22.483
3. Método de la participación: Corresponde al MPP de asociadas y negocios conjuntos sin incluir el MPP de las asociadas y negocios conjuntos de Odinsa (se incluye en el segmento de concesiones), el MPP de las asociadas y negocios conjuntos de Cementos y de Celsia (se incluye en reclasificaciones) y el MPP de Pactia S.A.S. (se incluye en el segmento inmobiliario). Incluye MPP sobre: Interejecutiva ($1.125), Consorcio CMO $49 y PA Contingencias CND $51
</t>
        </r>
      </text>
    </comment>
    <comment ref="X13" authorId="3" shapeId="0" xr:uid="{2F82DAD7-48A2-49E8-BE66-F7FF39464CDA}">
      <text>
        <r>
          <rPr>
            <b/>
            <sz val="9"/>
            <color indexed="81"/>
            <rFont val="Tahoma"/>
            <family val="2"/>
          </rPr>
          <t>Mauricio Restrepo:</t>
        </r>
        <r>
          <rPr>
            <sz val="9"/>
            <color indexed="81"/>
            <rFont val="Tahoma"/>
            <family val="2"/>
          </rPr>
          <t xml:space="preserve">
Corresponde a pérdida de control de activos de eficiencia energética Atera $453.634, MPP ($7.360) y dividendos $346</t>
        </r>
      </text>
    </comment>
    <comment ref="Z13" authorId="3" shapeId="0" xr:uid="{BEECE51A-C8A6-4DBA-AB14-CBB5BD06B015}">
      <text>
        <r>
          <rPr>
            <b/>
            <sz val="9"/>
            <color indexed="81"/>
            <rFont val="Tahoma"/>
            <family val="2"/>
          </rPr>
          <t>Mauricio Restrepo:</t>
        </r>
        <r>
          <rPr>
            <sz val="9"/>
            <color indexed="81"/>
            <rFont val="Tahoma"/>
            <family val="2"/>
          </rPr>
          <t xml:space="preserve">
Corresponde a MPP $47.534 y dividendos $41.</t>
        </r>
      </text>
    </comment>
    <comment ref="X15" authorId="3" shapeId="0" xr:uid="{384032DE-937C-42C9-B3E0-B4B2BAF0D20C}">
      <text>
        <r>
          <rPr>
            <sz val="9"/>
            <color indexed="81"/>
            <rFont val="Tahoma"/>
            <family val="2"/>
          </rPr>
          <t>Corresponde a pérdida de control de activos de eficiencia energética Atera $(80.034)</t>
        </r>
      </text>
    </comment>
    <comment ref="M18" authorId="1" shapeId="0" xr:uid="{64914E32-60FC-4510-A1AF-8295871665F8}">
      <text>
        <r>
          <rPr>
            <sz val="9"/>
            <color indexed="81"/>
            <rFont val="Tahoma"/>
            <family val="2"/>
          </rPr>
          <t xml:space="preserve">Otros ingresos y egresos: ($15.964)
- Otros ingresos $1.799, principalmente diversos $1.074 y reintegro costos y gastos $691
- Otros egresos ($17.763): principalmente donaciones ($5.813), cuatro x mil por ($4.381), provisiones multas, sanciones y litigios ($4.317) y deterioro de activos asociadas y negocios conjuntos ($1.528)
</t>
        </r>
      </text>
    </comment>
    <comment ref="N18" authorId="1" shapeId="0" xr:uid="{BC0E692B-2C21-4668-ADCC-FBD0C00217F1}">
      <text>
        <r>
          <rPr>
            <sz val="9"/>
            <color indexed="81"/>
            <rFont val="Tahoma"/>
            <family val="2"/>
          </rPr>
          <t xml:space="preserve">Otros ingresos y egresos: $61.530
- Otros ingresos $75.940: principalmente utilidad en entrega de acciones de Grupo Nutresa: $74.700
- Otros egresos ($14.410): principalmente donaciones ($6.548), otros impuestos ($4.006) y 4 x mil por ($3.610)
</t>
        </r>
      </text>
    </comment>
    <comment ref="M24" authorId="1" shapeId="0" xr:uid="{6E1AA3EB-AD93-4EFA-BBEB-B80BDFFEED80}">
      <text>
        <r>
          <rPr>
            <sz val="9"/>
            <color indexed="81"/>
            <rFont val="Tahoma"/>
            <family val="2"/>
          </rPr>
          <t xml:space="preserve">1. Financieros, neto ($219.847)
2. Diferencia en cambio ($17.595)
3. Provisión para impuesto a las ganancias ($97.285)
4. Utilidad (Pérdida) neta de operaciones discontinuadas $1.628.689
</t>
        </r>
      </text>
    </comment>
    <comment ref="N24" authorId="2" shapeId="0" xr:uid="{A42DF701-BCE6-4C8E-A233-E778248D1B7B}">
      <text>
        <r>
          <rPr>
            <sz val="9"/>
            <color indexed="81"/>
            <rFont val="Tahoma"/>
            <family val="2"/>
          </rPr>
          <t xml:space="preserve">1. Financieros, neto ($104.550)
2. Diferencia en cambio $3.101
3. Provisión para impuesto a las ganancias $15.464
4. Utilidad (Pérdida) neta de operaciones discontinuadas $1.684.718
</t>
        </r>
      </text>
    </comment>
  </commentList>
</comments>
</file>

<file path=xl/sharedStrings.xml><?xml version="1.0" encoding="utf-8"?>
<sst xmlns="http://schemas.openxmlformats.org/spreadsheetml/2006/main" count="1590" uniqueCount="677">
  <si>
    <t>GRUPO ARGOS S.A.</t>
  </si>
  <si>
    <t>ESTADO DESITUACION FINANCIERA CONSOLIDADO</t>
  </si>
  <si>
    <t>En millones de pesos colombianos o de dólares americanos</t>
  </si>
  <si>
    <t>2014</t>
  </si>
  <si>
    <t>2015</t>
  </si>
  <si>
    <t>2016</t>
  </si>
  <si>
    <t>2017</t>
  </si>
  <si>
    <t>2018</t>
  </si>
  <si>
    <t>2019</t>
  </si>
  <si>
    <t>2021</t>
  </si>
  <si>
    <t>dic.15
(Reexpresado)</t>
  </si>
  <si>
    <t>mar.16
(Reexpresado)</t>
  </si>
  <si>
    <t>jun.16
(Reexpresado)</t>
  </si>
  <si>
    <t>sep.16
(Reexpresado)</t>
  </si>
  <si>
    <t>dic-18 (1)</t>
  </si>
  <si>
    <t>Efectivo y equivalentes de efectivo</t>
  </si>
  <si>
    <t xml:space="preserve">Instrumentos financieros derivados </t>
  </si>
  <si>
    <t>Otros activos financieros</t>
  </si>
  <si>
    <t>Cuentas comerciales clientes y otras cuentas por cobrar, neto</t>
  </si>
  <si>
    <t>Inventarios</t>
  </si>
  <si>
    <t>Activos biológicos</t>
  </si>
  <si>
    <t>Gastos pagados por anticipado y otros activos no financieros</t>
  </si>
  <si>
    <t xml:space="preserve">Act.no corrientes mant. para la vta. </t>
  </si>
  <si>
    <t>Total activo corriente</t>
  </si>
  <si>
    <t>Inversiones permanentes</t>
  </si>
  <si>
    <t>Activos por derecho de uso propiedades, plantas y equipo</t>
  </si>
  <si>
    <t>Intangibles, neto</t>
  </si>
  <si>
    <t>PP&amp;E, neto</t>
  </si>
  <si>
    <t>Activos por derecho de uso propiedades de inversión</t>
  </si>
  <si>
    <t>Propiedades de inversión</t>
  </si>
  <si>
    <t>Impuesto diferido</t>
  </si>
  <si>
    <t>Instrumentos financieros derivados</t>
  </si>
  <si>
    <t>Efectivo restringido</t>
  </si>
  <si>
    <t>Total activo no corriente</t>
  </si>
  <si>
    <t>Total activo</t>
  </si>
  <si>
    <t>US$ dólares</t>
  </si>
  <si>
    <t>Obligaciones financieras</t>
  </si>
  <si>
    <t>Pasivos por arrendamientos</t>
  </si>
  <si>
    <t>Bonos y otros instrumentos financieros</t>
  </si>
  <si>
    <t>Pasivos comerciales y otras CxP</t>
  </si>
  <si>
    <t>Provisiones</t>
  </si>
  <si>
    <t>Pasivos por impuestos</t>
  </si>
  <si>
    <t>Pasivos por beneficios a empleados</t>
  </si>
  <si>
    <t>Pasivos estimados por beneficios a empleados</t>
  </si>
  <si>
    <t>Ingresos recibidos por anticipado</t>
  </si>
  <si>
    <t xml:space="preserve">Otros pasivos financieros </t>
  </si>
  <si>
    <t xml:space="preserve">Otros pasivos no financieros </t>
  </si>
  <si>
    <t>Pasivos asociados con activos mant. p. venta</t>
  </si>
  <si>
    <t>Total pasivo corriente</t>
  </si>
  <si>
    <t>Impuestos diferidos</t>
  </si>
  <si>
    <t>Otras cuentas por pagar</t>
  </si>
  <si>
    <t>Otros pasivos no financieros</t>
  </si>
  <si>
    <t>Total pasivo no corriente</t>
  </si>
  <si>
    <t>Total pasivo</t>
  </si>
  <si>
    <t>Patrimonio</t>
  </si>
  <si>
    <t>Total pasivo + patrimonio</t>
  </si>
  <si>
    <t>Capital social</t>
  </si>
  <si>
    <t>Prima en colocación de acciones</t>
  </si>
  <si>
    <t>Componentes de otros resultado integral</t>
  </si>
  <si>
    <t>Reservas</t>
  </si>
  <si>
    <t>Otros componentes del patrimono</t>
  </si>
  <si>
    <t>Utilidad (pérdida) retenidas</t>
  </si>
  <si>
    <t>Control</t>
  </si>
  <si>
    <t>Utilidad (pérdida) del ejercicio</t>
  </si>
  <si>
    <t>Patrimonio atribuible a los controladores</t>
  </si>
  <si>
    <t>Participaciones no controladoras</t>
  </si>
  <si>
    <t>Tasas</t>
  </si>
  <si>
    <t xml:space="preserve">En el Estado de Situación Financiera Consolidado a dic.18 se reclasificó de otros pasivos no financieros a pasivos financieros, en la línea de pasivos comerciales y otras cuentas por pagar, un valor de $101.788 correspondiente a importes por pagar a la Agencia Nacional de Infraestructura - ANI por recaudos realizados por la subsidiaria Sociedad Concesionaria Operadora Aeroportuaria Internacional S.A. – Opain S.A. </t>
  </si>
  <si>
    <t xml:space="preserve">Hace referencia a la compensación de activos y pasivos por impuesto </t>
  </si>
  <si>
    <t>diferido por $39.440.</t>
  </si>
  <si>
    <t>ESTADO DE RESULTADOS CONSOLIDADO</t>
  </si>
  <si>
    <t>2020</t>
  </si>
  <si>
    <t>Mar. 14
NIIF</t>
  </si>
  <si>
    <t>Jun. 14
NIIF</t>
  </si>
  <si>
    <t>Sep. 14
NIIF</t>
  </si>
  <si>
    <t>Dic. 14
NIIF</t>
  </si>
  <si>
    <t>Mar. 15
NIIF</t>
  </si>
  <si>
    <t>Jun. 15
NIIF</t>
  </si>
  <si>
    <t>Sep. 15
NIIF</t>
  </si>
  <si>
    <t>Dic. 15
NIIF</t>
  </si>
  <si>
    <t>Dic. 15 reex
NIIF</t>
  </si>
  <si>
    <t>Mar. 16
NIIF</t>
  </si>
  <si>
    <t>Mar. 16 reex
NIIF</t>
  </si>
  <si>
    <t>Jun. 16
NIIF</t>
  </si>
  <si>
    <t xml:space="preserve">Jun. 16 reex 
NIIF </t>
  </si>
  <si>
    <t>Sep. 16
NIIF</t>
  </si>
  <si>
    <t xml:space="preserve">Sep. 16 reex 
NIIF </t>
  </si>
  <si>
    <t>Dic. 16
NIIF</t>
  </si>
  <si>
    <t xml:space="preserve">Dic. 16 reex
NIIF </t>
  </si>
  <si>
    <t>Mar. 17
NIIF</t>
  </si>
  <si>
    <t>Mar. 17
NIIF (1)</t>
  </si>
  <si>
    <t>Jun. 17
NIIF</t>
  </si>
  <si>
    <t>Jun. 17
NIIF (1)</t>
  </si>
  <si>
    <t>Sep. 17
NIIF</t>
  </si>
  <si>
    <t>Sep. 17
NIIF (1)</t>
  </si>
  <si>
    <t>Dic. 17
NIIF</t>
  </si>
  <si>
    <t>Dic. 17
NIIF (1)</t>
  </si>
  <si>
    <t>Mar. 18
NIIF</t>
  </si>
  <si>
    <t>Mar. 18
NIIF (1)</t>
  </si>
  <si>
    <t>Jun. 18
NIIF</t>
  </si>
  <si>
    <t>Jun. 18
NIIF (1)</t>
  </si>
  <si>
    <t>Sep. 18
NIIF</t>
  </si>
  <si>
    <t>Sep. 18
NIIF (1)</t>
  </si>
  <si>
    <t>Dic. 18
NIIF</t>
  </si>
  <si>
    <t>Dic. 18
NIIF (1)</t>
  </si>
  <si>
    <t>Mar. 19
NIIF</t>
  </si>
  <si>
    <t>Mar. 19
NIIF (1)</t>
  </si>
  <si>
    <t xml:space="preserve">Jun. 19
NIIF </t>
  </si>
  <si>
    <t>Jun. 19
NIIF (1)</t>
  </si>
  <si>
    <t xml:space="preserve">Sep. 19
NIIF </t>
  </si>
  <si>
    <t xml:space="preserve">Dic. 19
NIIF </t>
  </si>
  <si>
    <t>Mar. 20
NIIF (1)</t>
  </si>
  <si>
    <t>Jun. 20
NIIF (1)</t>
  </si>
  <si>
    <t>Sep. 20
NIIF (1)</t>
  </si>
  <si>
    <t>Dic. 20
NIIF (1)</t>
  </si>
  <si>
    <t>Mar. 21
NIIF (1)</t>
  </si>
  <si>
    <t>Jun. 21
NIIF (1)</t>
  </si>
  <si>
    <t>Sep. 21
NIIF (1)</t>
  </si>
  <si>
    <t>Dic. 21
NIIF (1)</t>
  </si>
  <si>
    <t>Mar. 22
NIIF (1)</t>
  </si>
  <si>
    <t>Jun. 22
NIIF (1)</t>
  </si>
  <si>
    <t>Sep. 22
NIIF (1)</t>
  </si>
  <si>
    <t>Ingresos por ventas de bienes y servicios</t>
  </si>
  <si>
    <t>Ingresos de actividad financiera</t>
  </si>
  <si>
    <t>Ingresos negocio inmobiliario</t>
  </si>
  <si>
    <t>Participación neta en resultados de asociadas y negocios conjuntos</t>
  </si>
  <si>
    <t>Devoluciones y descuentos en ventas</t>
  </si>
  <si>
    <t>Costo de actividades ordinarias</t>
  </si>
  <si>
    <t>Costo de ventas de bienes y servicios</t>
  </si>
  <si>
    <t>Depreciación y amortización</t>
  </si>
  <si>
    <t>Costo de actividad financiera</t>
  </si>
  <si>
    <t>Costo de ventas negocio inmobiliario</t>
  </si>
  <si>
    <t>Utilidad bruta</t>
  </si>
  <si>
    <t>Margen bruto</t>
  </si>
  <si>
    <t>Gastos de estructura</t>
  </si>
  <si>
    <t>Administración</t>
  </si>
  <si>
    <t>Depreciación y amortización de administración</t>
  </si>
  <si>
    <t>Ventas</t>
  </si>
  <si>
    <t>Depreciación y amortización de ventas</t>
  </si>
  <si>
    <t>Otros ingresos y egresos</t>
  </si>
  <si>
    <t>Otros ingresos</t>
  </si>
  <si>
    <t>Otros egresos</t>
  </si>
  <si>
    <t>Impuesto a la riqueza</t>
  </si>
  <si>
    <t>Utilidad por actividades de operación</t>
  </si>
  <si>
    <t>Margen por actividades de operación</t>
  </si>
  <si>
    <t>EBITDA</t>
  </si>
  <si>
    <t>Margen EBITDA</t>
  </si>
  <si>
    <t>Ingresos y egresos otros</t>
  </si>
  <si>
    <t>Financieros, neto</t>
  </si>
  <si>
    <t>Diferencia en cambio, neto</t>
  </si>
  <si>
    <t>Utilidad antes de impuestos</t>
  </si>
  <si>
    <t>Impuestos de renta</t>
  </si>
  <si>
    <t>Utilidad neta</t>
  </si>
  <si>
    <t>Margen neto</t>
  </si>
  <si>
    <t>Utilidad (pérdida) atribuible a:</t>
  </si>
  <si>
    <t>Participación controladora</t>
  </si>
  <si>
    <t>Margen</t>
  </si>
  <si>
    <t>M.P.P de asociadas en Consolidado</t>
  </si>
  <si>
    <t>Anexo Financieros:</t>
  </si>
  <si>
    <t>Argos</t>
  </si>
  <si>
    <t>Gasto Intereses</t>
  </si>
  <si>
    <t>Celsia</t>
  </si>
  <si>
    <t>Grupo Argos</t>
  </si>
  <si>
    <t>Total gasto  por intereses</t>
  </si>
  <si>
    <t>Grupo</t>
  </si>
  <si>
    <t>Valoracion I. F.</t>
  </si>
  <si>
    <t>Total por valoraciones de inst. fcieros</t>
  </si>
  <si>
    <t>Anexo Financieros Grupo Argos Consolidado:</t>
  </si>
  <si>
    <t>REAL</t>
  </si>
  <si>
    <t>Gastos por intereses</t>
  </si>
  <si>
    <t>Ingresos por intereses</t>
  </si>
  <si>
    <t>Efecto neto por intereses</t>
  </si>
  <si>
    <t>Pérdida por valoraciones de inst. fcieros</t>
  </si>
  <si>
    <t>Otros gastos financieros, neto</t>
  </si>
  <si>
    <t>Efecto neto en financieros</t>
  </si>
  <si>
    <t>(1) El informe trimestral de 2017 y re-expresando la información comparativa, se reclasifican desde otros gastos operacionales a gasto por impuesto de renta los impuestos no recuperables por retención en la fuente que deben asumir algunas de nuestras operaciones en Islas Virgines Británicas.  El Grupo considera que este cambio en presentación permite reflejar más fiablemente los resultados provenientes de la operación.</t>
  </si>
  <si>
    <t xml:space="preserve">(1) Grupo ha cambiado en el Estado de Resultados Consolidado Condensado comparativo, la clasificación de los impuestos no recuperables por retención en la fuente, que deben asumir algunas de las operaciones en Islas Vírgenes Británicas desde otros egresos operacionales a gasto por impuesto a las ganancias. Asimismo, fue reclasificado del gasto de administración al costo, la contraprestación pagada a la Aerocivil como consecuencia del contrato de concesión del Aeropuerto Internacional el Dorado y la comisión por tasas aeroportuarias, de la subsidiaria Sociedad Concesionaria Operadora Aeroportuaria Internacional S.A. – Opain S.A. Grupo considera que este cambio en presentación permite reflejar más fiablemente los resultados provenientes de la operación. </t>
  </si>
  <si>
    <r>
      <t xml:space="preserve">(1) Grupo ha cambiado en el Estado de Resultados Consolidado comparativo, </t>
    </r>
    <r>
      <rPr>
        <sz val="10"/>
        <color rgb="FF000000"/>
        <rFont val="Franklin Gothic Book"/>
        <family val="2"/>
      </rPr>
      <t xml:space="preserve">del gasto de administración al costo, la contraprestación pagada a la Aerocivil como consecuencia del contrato de concesión del Aeropuerto Internacional el Dorado, la comisión por tasas aeroportuarias y la amortización del intangible asociado a dicha concesión, de la subsidiaria Sociedad Concesionaria Operadora Aeroportuaria Internacional S.A. – Opain S.A. </t>
    </r>
    <r>
      <rPr>
        <sz val="10"/>
        <rFont val="Franklin Gothic Book"/>
        <family val="2"/>
      </rPr>
      <t xml:space="preserve">Grupo considera que este cambio en presentación permite reflejar más fiablemente los resultados provenientes de la operación. </t>
    </r>
  </si>
  <si>
    <t>En junio se reclasifican ingreso y costo por venta de Omya por $62.681 y $44.158 respectivamente</t>
  </si>
  <si>
    <t xml:space="preserve">Grupo ha cambiado en el Estado de Resultados Consolidado comparativo, del gasto por diferencia en cambio a los ingresos de actividades ordinarias, el efecto de la reclasificación del patrimonio al resultado del periodo de las coberturas de flujo de efectivo de transacciones previstas de la subsidiaria Sociedad Concesionaria Operadora Aeroportuaria Internacional S.A. – Opain S.A. por $19.337. </t>
  </si>
  <si>
    <t>ESTADO DE SITUACION FINANCIERA</t>
  </si>
  <si>
    <t>2022</t>
  </si>
  <si>
    <t>Dic.2015
(Reexpresado)</t>
  </si>
  <si>
    <t>Sep. 16 
(Reexpresado)</t>
  </si>
  <si>
    <t>dic-2016 Proforma</t>
  </si>
  <si>
    <t>Otros Activos Financieros</t>
  </si>
  <si>
    <t>-</t>
  </si>
  <si>
    <t xml:space="preserve">                                                                                              </t>
  </si>
  <si>
    <t>Bonos y otros instrumentos fcieros.</t>
  </si>
  <si>
    <t>Otros pasivos financieros</t>
  </si>
  <si>
    <t>Pasivos por arrendamiento</t>
  </si>
  <si>
    <t>ESTADO DE RESULTADOS SEPARADO</t>
  </si>
  <si>
    <t>En millones de pesos colombianos</t>
  </si>
  <si>
    <t>Jun. 16 reex
NIIF</t>
  </si>
  <si>
    <t>Sep. 16 reex
NIIF</t>
  </si>
  <si>
    <t>Dic. 16
NIIF Proforma</t>
  </si>
  <si>
    <t>Mar. 17
NIIF Proforma</t>
  </si>
  <si>
    <t>Jun. 17
NIIF Proform</t>
  </si>
  <si>
    <t>Sep. 17
NIIF Proform</t>
  </si>
  <si>
    <t>Jun. 19
NIIF</t>
  </si>
  <si>
    <t>Sep. 19
NIIF</t>
  </si>
  <si>
    <t>Dic. 19
NIIF</t>
  </si>
  <si>
    <t>Mar. 20
NIIF</t>
  </si>
  <si>
    <t>Jun. 20
NIIF</t>
  </si>
  <si>
    <t>Sep. 20
NIIF</t>
  </si>
  <si>
    <t>Dic. 20
NIIF</t>
  </si>
  <si>
    <t>Mar. 21
NIIF</t>
  </si>
  <si>
    <t>Jun. 21
NIIF</t>
  </si>
  <si>
    <t>Sep. 21
NIIF</t>
  </si>
  <si>
    <t>Dic. 21
NIIF</t>
  </si>
  <si>
    <t>Mar. 22
NIIF</t>
  </si>
  <si>
    <t>Jun. 22
NIIF</t>
  </si>
  <si>
    <t>Sep. 22
NIIF</t>
  </si>
  <si>
    <t>Resultado, neto por método de participación</t>
  </si>
  <si>
    <t>Costo del negocio inmobiliario</t>
  </si>
  <si>
    <t>Depreciación y amortización administración</t>
  </si>
  <si>
    <t>Depreciación y amortizaciones ventas</t>
  </si>
  <si>
    <t>Ingresos y egresos no operacionales</t>
  </si>
  <si>
    <t>Ingresos por dividendos</t>
  </si>
  <si>
    <t>Participación neta en resultados de asociadas</t>
  </si>
  <si>
    <t>Utilidad (pérdida) neta</t>
  </si>
  <si>
    <t>OTRO RESULTADO INTEGRAL</t>
  </si>
  <si>
    <t xml:space="preserve">En millones de pesos colombianos </t>
  </si>
  <si>
    <t>Feb. 15
NIIF</t>
  </si>
  <si>
    <t>Feb. 14
NIIF</t>
  </si>
  <si>
    <t>Partidas que no se reclasificarán a resultados</t>
  </si>
  <si>
    <t>Nuevas mediciones de obligaciones por beneficios definidos</t>
  </si>
  <si>
    <t>Ganancias y pérdidas de inversiones patrimoniales</t>
  </si>
  <si>
    <t xml:space="preserve">Resultado integral total </t>
  </si>
  <si>
    <t>ESTADO DE SITUACION FINANCIERA CONSOLIDADO</t>
  </si>
  <si>
    <t>Odinsa</t>
  </si>
  <si>
    <t>Opain</t>
  </si>
  <si>
    <t>% Activo</t>
  </si>
  <si>
    <t>Var. (%)</t>
  </si>
  <si>
    <t>Inversiones permanentes (*)</t>
  </si>
  <si>
    <t>N/A</t>
  </si>
  <si>
    <t>Check</t>
  </si>
  <si>
    <t>Activo</t>
  </si>
  <si>
    <t>Corto plazo</t>
  </si>
  <si>
    <t>Inv. Permanentes</t>
  </si>
  <si>
    <t>PP&amp;E y de P. de inversión</t>
  </si>
  <si>
    <t>Otros largo plazo</t>
  </si>
  <si>
    <t>Pasivo</t>
  </si>
  <si>
    <t>Oblig. Fras. CP</t>
  </si>
  <si>
    <t>Otros CP</t>
  </si>
  <si>
    <t>Bonos LP</t>
  </si>
  <si>
    <t>Oblig. Fras. LP</t>
  </si>
  <si>
    <t>Otros LP</t>
  </si>
  <si>
    <t>Otros componentes del patrimonio</t>
  </si>
  <si>
    <t>Acciones propias readquiridas</t>
  </si>
  <si>
    <t>Tasa de cambio  &gt;&gt;&gt;Ojo modificar con tasa de cierre</t>
  </si>
  <si>
    <t>Variaciones año 2021 vs año 2020</t>
  </si>
  <si>
    <t>Var.(%)</t>
  </si>
  <si>
    <t>Variación ($)</t>
  </si>
  <si>
    <t>Explicación</t>
  </si>
  <si>
    <t>% PPTO</t>
  </si>
  <si>
    <t>MES REAL</t>
  </si>
  <si>
    <t>Ago. 21</t>
  </si>
  <si>
    <t>MES PPTO</t>
  </si>
  <si>
    <t>Ppto Ago. 21</t>
  </si>
  <si>
    <t>Total var.</t>
  </si>
  <si>
    <t>Eliminaciones y otros</t>
  </si>
  <si>
    <t>MPP y Dividendos SURA</t>
  </si>
  <si>
    <t>diferencia</t>
  </si>
  <si>
    <t>Ingresos por actividades ordinarias</t>
  </si>
  <si>
    <t>Participación neta en resultados de asociadas y negocios conjuntos (*)</t>
  </si>
  <si>
    <t xml:space="preserve">Valoración de inversiones medidas a V.R. </t>
  </si>
  <si>
    <t>N.A.</t>
  </si>
  <si>
    <t>Deterioro de valor de administración</t>
  </si>
  <si>
    <t>Deterioro de valor de ventas</t>
  </si>
  <si>
    <t>No aplica</t>
  </si>
  <si>
    <t>Dividendos (Reportado por las filiales)</t>
  </si>
  <si>
    <t>Método  de participación reportado  por subsidiarias</t>
  </si>
  <si>
    <t>Ver anexo Imp. Renta</t>
  </si>
  <si>
    <t>Inventarios, neto</t>
  </si>
  <si>
    <t xml:space="preserve">Activos no corrientes mantenidos para la venta. </t>
  </si>
  <si>
    <t>Otros activos</t>
  </si>
  <si>
    <t>Otros activos no financieros</t>
  </si>
  <si>
    <t>Pasivos comerciales y otras cuentas por pagar</t>
  </si>
  <si>
    <t>Otros pasivos</t>
  </si>
  <si>
    <t>TRM</t>
  </si>
  <si>
    <t xml:space="preserve">Var. (%) </t>
  </si>
  <si>
    <t xml:space="preserve">MES REAL </t>
  </si>
  <si>
    <t>Ingresos de actividades ordinarias</t>
  </si>
  <si>
    <t>NA</t>
  </si>
  <si>
    <t>Costo de ventas de actividad financiera</t>
  </si>
  <si>
    <t>Gastos operacionales</t>
  </si>
  <si>
    <t>Ver anexo de gastos de administración y ventas</t>
  </si>
  <si>
    <t>Var. (%) NIIF
2015 VS 2014</t>
  </si>
  <si>
    <t>Provisión para impuesto a las ganancias</t>
  </si>
  <si>
    <t>Resultado del consolidado</t>
  </si>
  <si>
    <t>Diferencia entre separado y consolidado --&gt;</t>
  </si>
  <si>
    <t>Utilidad en venta de Argos</t>
  </si>
  <si>
    <t>Póliza por cambios  en particip. Celsia y Argos</t>
  </si>
  <si>
    <t>Ajuste de la % no controladora sobre Asociadas</t>
  </si>
  <si>
    <t>Método de participacion sobre asociadas</t>
  </si>
  <si>
    <t>Impuesto diferiodo</t>
  </si>
  <si>
    <t>Eliminacion de dividendos oper y no opera</t>
  </si>
  <si>
    <t>Método Sator y Fucol</t>
  </si>
  <si>
    <t>Subtotal</t>
  </si>
  <si>
    <t>Resultado en BPC</t>
  </si>
  <si>
    <r>
      <t xml:space="preserve">Grupo Argos </t>
    </r>
    <r>
      <rPr>
        <b/>
        <u/>
        <sz val="22"/>
        <rFont val="Arial"/>
        <family val="2"/>
      </rPr>
      <t>Consolidado</t>
    </r>
  </si>
  <si>
    <t>Segmentos por contribución</t>
  </si>
  <si>
    <t>Var.</t>
  </si>
  <si>
    <t>Var. $</t>
  </si>
  <si>
    <t>Explicación segmento portafolio</t>
  </si>
  <si>
    <t>Reclasificaciones</t>
  </si>
  <si>
    <t>Consolidado</t>
  </si>
  <si>
    <t>(3)</t>
  </si>
  <si>
    <t>Margen operativo</t>
  </si>
  <si>
    <t>(1)</t>
  </si>
  <si>
    <t xml:space="preserve">Incluye el MPP generado en el consolidado y excluye el negocio inmobiliario. </t>
  </si>
  <si>
    <t>(2)</t>
  </si>
  <si>
    <t>Por política de homologación, la venta de inversiones, los dividendos y el MPP reportados</t>
  </si>
  <si>
    <t xml:space="preserve"> por las compañías  operativas se reclasifican a ingresos por actividades de operación. </t>
  </si>
  <si>
    <t>MPP de la Holding ($41.467), ingresos intercompañías ($62.957), exclusión de puertos ($65.006), más MPP en el consolidado $91.150</t>
  </si>
  <si>
    <t>MPP de la Holding ($41.467), ingresos intercompañías ($60.282), exclusión de puertos ($24.930), más MPP en el consolidado $91.150</t>
  </si>
  <si>
    <t>MPP de la Holding ($41.467), ingresos intercompañías ($64.658), exclusión de puertos ($17.009), más MPP en el consolidado $91.150</t>
  </si>
  <si>
    <t>(4)</t>
  </si>
  <si>
    <t>MPP de la Holding ($41.467), ingresos intercompañías ($64.913), exclusión de puertos ($23.764), más MPP en el consolidado $91.150</t>
  </si>
  <si>
    <t>(5)</t>
  </si>
  <si>
    <t>MPP de la Holding ($41.467), ingresos intercompañías ($80.907), exclusión de puertos ($5.698), más MPP en el consolidado $91.150</t>
  </si>
  <si>
    <t>Minoristas de Celsia $4.334, minoristas de CemArgos ($43.641), recuperación participación en EPSA $9.042, otros minoristas $257</t>
  </si>
  <si>
    <t>de CemArgos ($86 MM). MPP de la Holding  neto ($207 MM).</t>
  </si>
  <si>
    <t>En cada una de las lineas de eliminaciones se resta mpp de la Holding por ($41.467) y se suma mpp del consolidado por $91.150</t>
  </si>
  <si>
    <t>Ingresos intercompañías ($62.957), exclusión de puertos ($65.006)</t>
  </si>
  <si>
    <t>Ingresos intercompañías ($60.282), exclusión de puertos ($24.930)</t>
  </si>
  <si>
    <t>Ingresos intercompañías ($64.658), exclusión de puertos ($17.009)</t>
  </si>
  <si>
    <t>Ingresos intercompañías ($64.913), exclusión de puertos ($23.764)</t>
  </si>
  <si>
    <t>(6)</t>
  </si>
  <si>
    <t>Ingresos intercompañías ($80.907), exclusión de puertos ($5.698)</t>
  </si>
  <si>
    <t>Minoristas de Celsia $4.334, minoristas de CemArgos ($43.641), recuperación participación en EPSA $9.042, otros minoristas $257.</t>
  </si>
  <si>
    <t>Grupo Argos - Ingresos Operacionales por Dividendos – Separado</t>
  </si>
  <si>
    <t>Cifras en millones de pesos</t>
  </si>
  <si>
    <t>INGRESOS OPERACIONALES POR DIVIDENDOS</t>
  </si>
  <si>
    <t>Var (%)</t>
  </si>
  <si>
    <t>Grupo Nutresa S.A.</t>
  </si>
  <si>
    <t>Fondo Regional de Garantías de la Costa Atlántica</t>
  </si>
  <si>
    <t xml:space="preserve">Subtotal </t>
  </si>
  <si>
    <t>Fondo de Capital Privado Pactia y Pactia SAS</t>
  </si>
  <si>
    <t>Fidubogota (Alameda del Rio)</t>
  </si>
  <si>
    <t xml:space="preserve">Total </t>
  </si>
  <si>
    <t>Flujo de caja por dividendos</t>
  </si>
  <si>
    <t>Cementos Argos S.A.</t>
  </si>
  <si>
    <t>Celsia S.A. E.S.P.</t>
  </si>
  <si>
    <t>Odinsa S.A.</t>
  </si>
  <si>
    <t>Total dividendos y otras participaciones recibidas</t>
  </si>
  <si>
    <t>Grupo Argos - Método de Participación – Separado</t>
  </si>
  <si>
    <t>Sator S.A.S.</t>
  </si>
  <si>
    <t>Servicios Corporativos Integrales S.A.S.</t>
  </si>
  <si>
    <t>Ingresos por método de participación</t>
  </si>
  <si>
    <t>Patrimonio Autonomo Ganadería</t>
  </si>
  <si>
    <t>Gastos por método de participación</t>
  </si>
  <si>
    <t>Total Ingresos (Gastos) por Método de Participación</t>
  </si>
  <si>
    <t>Grupo Argos - Utilidad en Venta de Inversiones - Separado</t>
  </si>
  <si>
    <t>Compañía</t>
  </si>
  <si>
    <t>No de acciones</t>
  </si>
  <si>
    <t>Participación</t>
  </si>
  <si>
    <t>Precio de venta</t>
  </si>
  <si>
    <t>Costo</t>
  </si>
  <si>
    <t>Utilidad/Pérdida</t>
  </si>
  <si>
    <t xml:space="preserve">ORI Reclasificado </t>
  </si>
  <si>
    <t>Resultados</t>
  </si>
  <si>
    <t>VRCCER</t>
  </si>
  <si>
    <t>Valor razonable con cambio en resultados</t>
  </si>
  <si>
    <t>VRCCORI</t>
  </si>
  <si>
    <t xml:space="preserve">Valor razonable con cambio en Otro Resultado Integral </t>
  </si>
  <si>
    <t>Grupo Argos - Ingresos por Dividendos – Consolidado</t>
  </si>
  <si>
    <t>Grupo Argos - Método de Participación – Consolidado</t>
  </si>
  <si>
    <t>Corporación Quiport S.A.</t>
  </si>
  <si>
    <t>Caoba Inversiones S.A.S.</t>
  </si>
  <si>
    <t>Trans Atlantic Shipmanagement Ltd.</t>
  </si>
  <si>
    <t>Pactia S.A.S.</t>
  </si>
  <si>
    <t>Consorcio Farallones</t>
  </si>
  <si>
    <t>Termoeléctrica El Tesorito S.A.S. E.S.P.</t>
  </si>
  <si>
    <t>Otras asociadas y negocios conjuntos</t>
  </si>
  <si>
    <t>FLUJOS DE EFECTIVO POR ACTIVIDADES DE OPERACIÓN</t>
  </si>
  <si>
    <t>UTILIDAD NETA</t>
  </si>
  <si>
    <t>Ajustes por:</t>
  </si>
  <si>
    <t>Ingresos por dividendos y participaciones</t>
  </si>
  <si>
    <t>Gasto financiero, neto reconocido en resultados del periodo</t>
  </si>
  <si>
    <t>Gastos reconocidos con respecto a beneficios a empleados y provisiones</t>
  </si>
  <si>
    <t>Deterioro, neto de activos financieros</t>
  </si>
  <si>
    <t>Deterioro, neto de activos no corrientes e inventario</t>
  </si>
  <si>
    <t>Depreciación y amortización de activos no corrientes</t>
  </si>
  <si>
    <t>Otros ajustes para conciliar los resultados del año</t>
  </si>
  <si>
    <t>CAMBIOS EN EL CAPITAL DE TRABAJO DE:</t>
  </si>
  <si>
    <t>EFECTIVO GENERADO POR LAS OPERACIONES</t>
  </si>
  <si>
    <t>Impuesto a la renta pagado</t>
  </si>
  <si>
    <t xml:space="preserve">Dividendos y participaciones recibidas </t>
  </si>
  <si>
    <t>FLUJO NETO DE EFECTIVO GENERADO POR ACTIVIDADES DE OPERACIÓN</t>
  </si>
  <si>
    <t>FLUJOS DE EFECTIVO POR ACTIVIDADES DE INVERSIÓN</t>
  </si>
  <si>
    <t>Intereses financieros recibidos</t>
  </si>
  <si>
    <t>Adquisición de propiedades, planta y equipo</t>
  </si>
  <si>
    <t>Producto de la venta de propiedades, planta y equipo</t>
  </si>
  <si>
    <t>Adquisición de propiedades de inversión</t>
  </si>
  <si>
    <t>Adquisición de activos intangibles</t>
  </si>
  <si>
    <t>Producto de la venta de activos intangibles</t>
  </si>
  <si>
    <t>Adquisición de otros activos no corrientes</t>
  </si>
  <si>
    <t>Producto de la venta de otros activos no corrientes</t>
  </si>
  <si>
    <t>Venta de negocios con pérdida del control</t>
  </si>
  <si>
    <t>Adquisición de activos financieros</t>
  </si>
  <si>
    <t>Producto de la venta de activos financieros</t>
  </si>
  <si>
    <t>FLUJOS DE EFECTIVO POR ACTIVIDADES DE FINANCIACIÓN</t>
  </si>
  <si>
    <t>Pago de bonos, notas estructuradas y papeles comerciales</t>
  </si>
  <si>
    <t>Adquisición de otros instrumentos de financiación</t>
  </si>
  <si>
    <t>Pagos de otros instrumentos de financiación</t>
  </si>
  <si>
    <t>Pagos por pasivos por arrendamientos</t>
  </si>
  <si>
    <t>Compra de participaciones en la propiedad de subsidiarias que no dan lugar a obtención de control</t>
  </si>
  <si>
    <t>Pagos realizados a contratos de derivados financieros</t>
  </si>
  <si>
    <t>Cobros procedentes de contratos de derivados financieros</t>
  </si>
  <si>
    <t>Capitalización de las participaciones no controladoras</t>
  </si>
  <si>
    <t>Dividendos pagados acciones ordinarias</t>
  </si>
  <si>
    <t>Dividendos pagados acciones preferenciales</t>
  </si>
  <si>
    <t>Intereses pagados</t>
  </si>
  <si>
    <t>Otras salidas de efectivo</t>
  </si>
  <si>
    <t xml:space="preserve">Ajustes por: </t>
  </si>
  <si>
    <t xml:space="preserve">Ingresos por dividendos y participaciones </t>
  </si>
  <si>
    <t xml:space="preserve">Deterioro, neto de activos financieros </t>
  </si>
  <si>
    <t>Otros ajustes</t>
  </si>
  <si>
    <t>Cuentas comerciales y otras cuentas por cobrar</t>
  </si>
  <si>
    <t>Cuentas comerciales y otras cuentas por pagar</t>
  </si>
  <si>
    <t>FLUJO DE EFECTIVO NETO GENERADO POR ACTIVIDADES DE OPERACIÓN</t>
  </si>
  <si>
    <t>Producto de la venta de participaciones en subsidiaria</t>
  </si>
  <si>
    <t>Efectivo y equivalentes de efectivo al principio del período</t>
  </si>
  <si>
    <t>Efectos de la variación en la tasa de cambio sobre el efectivo y equivalentes de efectivo mantenidos en moneda extranjera</t>
  </si>
  <si>
    <t>Dic. 22
NIIF (1)</t>
  </si>
  <si>
    <t>Dic. 22
NIIF</t>
  </si>
  <si>
    <t>P.A. Fideicomiso Operación Hotel Calablanca Barú</t>
  </si>
  <si>
    <t>P.A. Muverang</t>
  </si>
  <si>
    <t>Granulados Reciclados de Colombia Greco S.A.S.</t>
  </si>
  <si>
    <t xml:space="preserve">Impuesto sobre las ganancias </t>
  </si>
  <si>
    <t xml:space="preserve">Provisiones </t>
  </si>
  <si>
    <t>Anticipos recibidos para transacciones de activos no corrientes</t>
  </si>
  <si>
    <t>Efectivo y equivalentes de efectivo al principio del periodo, incluidos los importes presentados en un grupo de activos mantenidos para la venta</t>
  </si>
  <si>
    <t>EFECTIVO Y EQUIVALENTES DE EFECTIVO AL FINAL DEL PERÍODO, INCLUIDOS LOS IMPORTES PRESENTADOS EN UN GRUPO DE ACTIVOS MANTENIDOS PARA LA VENTA</t>
  </si>
  <si>
    <t>Menos efectivo y equivalentes de efectivo incluidos en un grupo de activos mantenidos para la venta</t>
  </si>
  <si>
    <t>EFECTIVO Y EQUIVALENTES DE EFECTIVO AL FINAL DEL PERÍODO SIN EL EFECTIVO Y EQUIVALENTES DE EFECTIVO INCLUIDOS EN UN GRUPO DE ACTIVOS MANTENIDOS PARA LA VENTA</t>
  </si>
  <si>
    <t>2023</t>
  </si>
  <si>
    <t>Ver pestaña “MPP cons”.</t>
  </si>
  <si>
    <t>Cruce Utilidad del ejercicio</t>
  </si>
  <si>
    <t>Hotel Calablanca</t>
  </si>
  <si>
    <t>P.A. Laurel</t>
  </si>
  <si>
    <t>Fideicomiso Plan Luz</t>
  </si>
  <si>
    <t>International Airport Finance S.A.</t>
  </si>
  <si>
    <t>Ingresos por geografía</t>
  </si>
  <si>
    <t xml:space="preserve"> Colombia </t>
  </si>
  <si>
    <t xml:space="preserve"> Panamá </t>
  </si>
  <si>
    <t xml:space="preserve"> Islas del Caribe </t>
  </si>
  <si>
    <t xml:space="preserve"> Honduras </t>
  </si>
  <si>
    <t xml:space="preserve"> República Dominicana </t>
  </si>
  <si>
    <t xml:space="preserve"> Haití </t>
  </si>
  <si>
    <t xml:space="preserve"> Costa Rica </t>
  </si>
  <si>
    <t xml:space="preserve"> Guatemala </t>
  </si>
  <si>
    <t xml:space="preserve"> Surinam </t>
  </si>
  <si>
    <t xml:space="preserve"> Total </t>
  </si>
  <si>
    <t xml:space="preserve">Grupo Argos S.A. </t>
  </si>
  <si>
    <t>Readquisición de acciones ordinarias</t>
  </si>
  <si>
    <t>Readquisición de acciones preferenciales</t>
  </si>
  <si>
    <t>Gasto por impuesto sobre las ganancias reconocido en resultados del periodo</t>
  </si>
  <si>
    <t>Diferencia en cambio, neta reconocida en resultados sobre instrumentos financieros</t>
  </si>
  <si>
    <t>Readquisición de acciones</t>
  </si>
  <si>
    <t>May.23</t>
  </si>
  <si>
    <t>Ppto May. 23</t>
  </si>
  <si>
    <t>Fondo de Capital Privado por Compartimentos Odinsa Infraestructura</t>
  </si>
  <si>
    <t>Estado de flujos de efectivo separado condensado</t>
  </si>
  <si>
    <t>Método de participación neta en resultados de subsidiarias</t>
  </si>
  <si>
    <t xml:space="preserve">Diferencia en cambio, neta reconocida en resultados sobre instrumentos financieros </t>
  </si>
  <si>
    <t>Dividendos recibidos e ingresos por otras participaciones</t>
  </si>
  <si>
    <t>Adquisición de propiedades planta y equipo</t>
  </si>
  <si>
    <t>FLUJO NETO DE EFECTIVO UTILIZADO EN ACTIVIDADES DE FINANCIACIÓN</t>
  </si>
  <si>
    <t>Intangibles, neto y crédito mercantil</t>
  </si>
  <si>
    <t>PA Hacienda Niquía</t>
  </si>
  <si>
    <t>Dic. 23</t>
  </si>
  <si>
    <t>Patrimonio Autónomo Hacienda Niquía</t>
  </si>
  <si>
    <t>Utilidad por venta de activos no corrientes</t>
  </si>
  <si>
    <t>P.A. Fideicomiso Hotel Calablanca Barú</t>
  </si>
  <si>
    <t>Internacional Ejecutiva de Aviación S.A.S.</t>
  </si>
  <si>
    <t>Saint-Gobain Colombia S.A.S.</t>
  </si>
  <si>
    <t>Quito Airport Management (QUIAMA) LLC</t>
  </si>
  <si>
    <t>2024</t>
  </si>
  <si>
    <t>Mar. 23</t>
  </si>
  <si>
    <t>Jun. 23</t>
  </si>
  <si>
    <t>Sep. 23</t>
  </si>
  <si>
    <t>Sociedad Portafolio S.A.</t>
  </si>
  <si>
    <t>Celsia S.A.</t>
  </si>
  <si>
    <t>Mar. 23 (*)</t>
  </si>
  <si>
    <t>Jun. 23 (*)</t>
  </si>
  <si>
    <t>Odinsa Vías S.A.S.</t>
  </si>
  <si>
    <t>Odinsa Aeropuertos S.A.S.</t>
  </si>
  <si>
    <t>Sep. 23 (*)</t>
  </si>
  <si>
    <t>Dic. 23 (*)</t>
  </si>
  <si>
    <t>Dic. 24</t>
  </si>
  <si>
    <t>Ver_Adm. cias. Nov.</t>
  </si>
  <si>
    <t>FCP Pactia</t>
  </si>
  <si>
    <t xml:space="preserve">Estado de flujos de efectivo separado </t>
  </si>
  <si>
    <t>RESULTADO DEL EJERCICIO</t>
  </si>
  <si>
    <t>EFECTIVO UTILIZADO POR ACTIVIDADES DE OPERACIÓN</t>
  </si>
  <si>
    <t xml:space="preserve">Adquisición de propiedades de inversión </t>
  </si>
  <si>
    <t xml:space="preserve">Producto de la venta de participaciones en asociadas y negocios conjuntos </t>
  </si>
  <si>
    <t>Pago de bonos y papeles comerciales</t>
  </si>
  <si>
    <t>FLUJO DE EFECTIVO NETO UTILIZADO EN ACTIVIDADES DE FINANCIACIÓN</t>
  </si>
  <si>
    <t>Las notas que se acompañan son parte integrante de los Estados Financieros Separados.</t>
  </si>
  <si>
    <t>Préstamos recaudados (concedidos) a terceros</t>
  </si>
  <si>
    <t>2025</t>
  </si>
  <si>
    <t>Mar. 24 (*)</t>
  </si>
  <si>
    <t>Mar. 24</t>
  </si>
  <si>
    <t>Jun. 24</t>
  </si>
  <si>
    <t>Sep. 24</t>
  </si>
  <si>
    <t xml:space="preserve">Mar. 25
</t>
  </si>
  <si>
    <t>Grupo de Inversiones Suramericana S.A.- Ordinaria (*)</t>
  </si>
  <si>
    <t>Valle Cement Investments Inc.</t>
  </si>
  <si>
    <t>Cemex S.A.</t>
  </si>
  <si>
    <t>Adquisición de participaciones en asociadas y negocios conjuntos</t>
  </si>
  <si>
    <t>INGRESOS POR DIVIDENDOS PRESENTADOS COMO OPERACIONES DISCONTINUADAS</t>
  </si>
  <si>
    <t>Utilidad (Pérdida) neta de operaciones discontinuadas</t>
  </si>
  <si>
    <t xml:space="preserve">(*) La inversión en Grupo de Inversiones Suramericana S.A. fue clasificada como un activo no corrientes mantenido para distribuir a los accionistas y como una operación discontinuada de Grupo en marzo de 2025. </t>
  </si>
  <si>
    <t>Lo anterior implica que el ingreso por dividendos del periodo actual y comparativo fue reclasificado hacia la línea de utilidad o pérdida por operaciones discontinuadas</t>
  </si>
  <si>
    <t>ESTADO DE FLUJOS DE EFECTIVO CONSOLIDADO CONDENSADO</t>
  </si>
  <si>
    <t>Método de la participación de asociadas y negocios conjuntos</t>
  </si>
  <si>
    <t>Utilidad por venta y/o baja de activos no corrientes</t>
  </si>
  <si>
    <t>Pérdida (utilidad) por medición al valor razonable</t>
  </si>
  <si>
    <t>Adquisición y/o aportes en participaciones en asociadas, negocios conjuntos y subsidiarias con fines de disposición clasificadas como mantenidas para la venta</t>
  </si>
  <si>
    <t>Producto de la venta y restitución de aportes de participaciones en asociadas, negocios conjuntos y subsidiarias con fines de disposición clasificadas como mantenidas para la venta</t>
  </si>
  <si>
    <t>FLUJO NETO DE EFECTIVO GENERADO (UTILIZADO) EN ACTIVIDADES DE INVERSIÓN</t>
  </si>
  <si>
    <t>Emisión de acciones u otros instrumentos de capital, de subsidiarias</t>
  </si>
  <si>
    <t>Aumento de otros instrumentos de financiación</t>
  </si>
  <si>
    <t>Disminución de otros instrumentos de financiación</t>
  </si>
  <si>
    <t>AUMENTO (DISMINUCIÓN) NETA EN EFECTIVO Y EQUIVALENTES DE EFECTIVO</t>
  </si>
  <si>
    <t>Efectos de la variación de tasas de cambio sobre el efectivo y equivalentes de efectivo mantenido en moneda extranjera</t>
  </si>
  <si>
    <t>Componentes de otro resultado integral</t>
  </si>
  <si>
    <t>Jun. 24 (*)</t>
  </si>
  <si>
    <t xml:space="preserve">Jun. 25
</t>
  </si>
  <si>
    <t>Fondo Regional de Garantías de la C. Atlántica y otros</t>
  </si>
  <si>
    <t>Consorcio de Mantenimiento Opain CMO</t>
  </si>
  <si>
    <t>CMO (Consorcio de Mantenimiento Opain)</t>
  </si>
  <si>
    <t>Efigas S.A.</t>
  </si>
  <si>
    <t xml:space="preserve">Total dividendos </t>
  </si>
  <si>
    <t>Préstamos concedidos a terceros</t>
  </si>
  <si>
    <t xml:space="preserve">COP millones  </t>
  </si>
  <si>
    <t>Var A/A</t>
  </si>
  <si>
    <t>Ingresos Separados</t>
  </si>
  <si>
    <t>Costos &amp; Gastos Separados</t>
  </si>
  <si>
    <t xml:space="preserve">COP millones </t>
  </si>
  <si>
    <t>Otros Ingresos, Egresos Operacionales</t>
  </si>
  <si>
    <t>Otros Ingresos, Egresos No operacionales</t>
  </si>
  <si>
    <t>Resumen resultados financieros Grupo Argos separado</t>
  </si>
  <si>
    <t>Ebitda</t>
  </si>
  <si>
    <t>Margen Ebitda</t>
  </si>
  <si>
    <t>Utilidad (pérdida) Neta</t>
  </si>
  <si>
    <t xml:space="preserve">Margen Neto </t>
  </si>
  <si>
    <t xml:space="preserve">Ingresos Consolidados </t>
  </si>
  <si>
    <t xml:space="preserve"> COP millones  </t>
  </si>
  <si>
    <r>
      <t>Var A/A</t>
    </r>
    <r>
      <rPr>
        <sz val="8"/>
        <color rgb="FF000000"/>
        <rFont val="Calibri"/>
        <family val="2"/>
        <scheme val="minor"/>
      </rPr>
      <t> </t>
    </r>
  </si>
  <si>
    <t>Ingresos por actividades de operación</t>
  </si>
  <si>
    <t>Costos y Gastos Consolidados</t>
  </si>
  <si>
    <r>
      <t>Var A/A</t>
    </r>
    <r>
      <rPr>
        <sz val="9"/>
        <color rgb="FF000000"/>
        <rFont val="Calibri"/>
        <family val="2"/>
        <scheme val="minor"/>
      </rPr>
      <t> </t>
    </r>
  </si>
  <si>
    <t>Otros Ingresos, Egresos Consolidados</t>
  </si>
  <si>
    <t>Ingresos y Egresos no Operacionales</t>
  </si>
  <si>
    <t>Resumen resultados financieros Grupo Argos consolidados</t>
  </si>
  <si>
    <t>Utilidad Neta</t>
  </si>
  <si>
    <t>Cemento</t>
  </si>
  <si>
    <t>Energía</t>
  </si>
  <si>
    <t>Inmobiliario</t>
  </si>
  <si>
    <t>Portafolio</t>
  </si>
  <si>
    <t>Concesiones</t>
  </si>
  <si>
    <t>Otros</t>
  </si>
  <si>
    <t>Total</t>
  </si>
  <si>
    <t>Ingresos</t>
  </si>
  <si>
    <t>Utilidad operacional</t>
  </si>
  <si>
    <t>Control I</t>
  </si>
  <si>
    <t>Control II</t>
  </si>
  <si>
    <t>INGRESOS OPERACIONALES Y FLUJO DE CAJA POR DIVIDENDOS – SEPARADO</t>
  </si>
  <si>
    <r>
      <t>Ingresos operacionales por dividendos reconocidos en el PyG</t>
    </r>
    <r>
      <rPr>
        <sz val="8"/>
        <color theme="1"/>
        <rFont val="Calibri"/>
        <family val="2"/>
        <scheme val="minor"/>
      </rPr>
      <t> </t>
    </r>
  </si>
  <si>
    <t>COP millones</t>
  </si>
  <si>
    <t>Grupo de Inversiones Suramericana S.A.- Ordinaria</t>
  </si>
  <si>
    <t>Sociedad Portafolio</t>
  </si>
  <si>
    <t>Ingresos por dividendos presentados como operacioes discontinuadas</t>
  </si>
  <si>
    <t>Ingresos por dividendos recibidos en caja</t>
  </si>
  <si>
    <t>Total Dividendos</t>
  </si>
  <si>
    <t xml:space="preserve">   Consorcio de Mantenimiento Opain CMO</t>
  </si>
  <si>
    <t>ESTADO DE SITUACIÓN FINANCIERA SEPARADO</t>
  </si>
  <si>
    <t>ESTADO DE LA SITUACIÓN FINANCIERA – SEPARADO</t>
  </si>
  <si>
    <t xml:space="preserve">Grupo Argos S.A. y subsidiarias </t>
  </si>
  <si>
    <t>Producto de la venta de propiedades de inversión</t>
  </si>
  <si>
    <t>Adquisición del control de subsidiarias y otros negocios</t>
  </si>
  <si>
    <t>Cobros procedentes de contratos derivados financieros</t>
  </si>
  <si>
    <t>Otras entradas de efectivo</t>
  </si>
  <si>
    <t>Sep. 24 (*)</t>
  </si>
  <si>
    <t>Sep. 2025</t>
  </si>
  <si>
    <t>Sep. 2024 (re presentado)</t>
  </si>
  <si>
    <t>Ppto Sep. 2025</t>
  </si>
  <si>
    <t>*Cementos Argos ($145.326). 
*Celsia ($644.994). Principalmente por generación de energía ($308.663), suministro de gas y agua por ($336.598), actividades conexas de energía arrendamientos ($7) e ingreso por venta de gas de otros distritos térmicos $274; la disminución corresponde principalmente en venta de construcción de proyectos BOT para Caoba Inversiones, y menor venta de energía.
*Odinsa $1.633.
*Otras compañías y ajustes de consolidación ($11.337).</t>
  </si>
  <si>
    <t>*Principalmente por venta de unidades de FCP Pactia por $15.315.
*Reconocimiento de la contraprestación recibida en la pérdida de control de activos de eficiencia energética "Atera" por $453.634.
*Mayores ingresos por intereses reportados por Odinsa por $11.115. La variación corresponde principalmente a Caribbean Infrastructure Company N.V. por los intereses del activo financiero
*Menores dividendos reconocidos en 2025 por ($2.579).</t>
  </si>
  <si>
    <t>*Grupo Argos $108.906: Se presenta mayor valoración de FCP Pactia por $58.103, menores pérdidas por valoración de propiedades de inversión por $97.549, menor venta de lotes por ($31.433), menores distribuciones de FCP Pactia por ($13.818), menores rendimientos de Alameda del Río por ($1.956) y otros movimientos por $461.     
*Odinsa $264.
*Cementos Argos $2.377. 
*Otras compañías $0.</t>
  </si>
  <si>
    <t>*Cementos Argos, neto de eliminaciones ($32.696). Disminución devoluciones en venta ($26.786), principalmente ($26.285) en Zona Franca con Summit en 2024 y ($6.310) en Cementos Argos, así como aumento en descuentos en Cementos Argos por $2.402.</t>
  </si>
  <si>
    <t>*Cementos Argos ($131.245). Principalmente por disminución en los volúmenes de venta de cemento, cal y yeso y artículos de hormigón en la regional Colombia ($67.590) y en Centro América ($61.553).
*Celsia ($815.365): Principalmente por suministro de energía y gas por ($781.806) y CIF diversos por ($33.559); disminución principalmente en costos asociados a las transacciones de energía en Bolsa y en venta de construcción de proyectos BOT para Caoba Inversiones.
*Odinsa $14.013. La variación corresponde principalmente a Caribbean Infrastructure Company N.V., asociados a mantenimiento mayor de la vía
*Otras compañías y ajustes de consolidación $4.780.</t>
  </si>
  <si>
    <t>*Cementos Argos ($22.139).
*Celsia $33.559. Principalmente por depreciaciones de acueductos, plantas y redes por $32.383 y amortizaciones por $1.176.
*Odinsa $0.
*Otras compañías y ajustes de consolidación ($385).</t>
  </si>
  <si>
    <t>*Grupo Argos $15.315. Costo de venta de 1.042.000 de unidades de FCP Pactia por $15.315.
*Celsia $540.573. Costo de la baja de los activos de eficiencia energética por pérdida de control para el negocio de Atera.</t>
  </si>
  <si>
    <t>*Odinsa $2.
*Grupo Argos ($18.295). Disminución en costos de urbanismo y venta de lotes por ($18.373) y aumento en costo de traspaso de propiedades $78.
*Otras compañías y ajustes de consolidación $112.</t>
  </si>
  <si>
    <t>Principalmente en gastos de personal ($7.455), honorarios ($20.467), impuestos $8.431, servicios $5.169, mantenimiento ($6.333), deterioro de valor ($2.959), gastos de viaje ($4.282), gastos diversos ($12.388); y otras variaciones en gastos por $444. Ver detalle en Adm.cias.Sep.</t>
  </si>
  <si>
    <t>Ver_Adm. cias. Sep.</t>
  </si>
  <si>
    <t>*Grupo Argos ($72.585). Principalmente en 2024, por utilidad en entrega de acciones de Grupo Nutresa 1er intercambio, 2do intercambio y entrega de acciones de Sociedad Portafolio en la OPA ($74.700), reintegros de costos y gastos $1.287 y otros ingresos $1.087.
*Cementos Argos ($4.454). Principalmente por menor recuperación de deterioro de deudores por ($16.386) por recuperación de deterioro de cuenta por cobrar al gobierno de Panamá, por proceso que resultó a favor de Argos por $16.426 en 2024, menor recuperación de retiro o cesión activos por derecho de uso por ($7.080) por baja de contrato de arrendamiento en Haiti por $5.917 en 2024, mayores ventas de equipo de transporte en 2025 por $6.226, mayores recuperaciones provisión desmantelamiento en 2025 por $4.352, mayores ingresos diversos en 2025 por $2.943, mayores indemnizaciones por siniestros en 2025 por $2.590, mayores ventas de equipo de terrenos en 2025 por $1.496, mayores aprovechamientos en 2025 por $1.220, y mayores ventas de maquinaria y equipo en 2025 por $676.
*Celsia $76.357. Principalmente por ingreso por medición a valor razonable de la inversión  por la participación retenida en Atera por $76.529; utilidad en venta de PPE por venta a la Universidad del Valle de maquinaria y equipos del campamento San Miguel ubicado en la central hidroeléctrica Salvajina en Suarez Cauca por $6.431 y por venta de activos fotovoltaicos de Celsia Centroamérica por $2.013 como parte de la transacción de Atera, así como recuperación de mayor valor provisionado para bonificación PRO-2024 en Celsia Centroamérica y Celsia Honduras por $2.639. En 2024, se reconoció la recuperación por fallo favorable en sentencia del Consejo de Estado que concedió nulidad de los actos administrativos de la Superintendencia de Servicios Públicos Domiciliarios que establecían la contribución especial por el año 2020 del año 2024 por ($4.114).
*Odinsa $457.
*Otras compañías y ajustes de consolidación ($618).</t>
  </si>
  <si>
    <t>*Grupo Argos $5.473. Principalmente provisiones multas, sanciones y litigios $4.317 por proceso de renta año gravable 2015 - sanción por devolución improcedente; deterioro de asociadas por inversión de Interejecutiva por $2.538, aumenta cuatro x mil $650, donaciones $247, retención en la fuente asumida principalmente en la prima de éxito de JP Morgan en 2024 por ($2.703).
*Cementos Argos $59.244. Principalmente por deterioro activos en Argos Puerto Rico en 2025 por $53.241, inventarios por $28.021 y activos de propiedad, planta y equipo por $25.220 (ver anexo otros.cias).
*Celsia ($6.548). Corresponde principalmente a deterioros por $4.740 en la inversión del negocio conjunto Muverang y por $4.500 en construcciones en curso de Porvenir II S.A.S. También se reportó una pérdida de $2.142 por el saneamiento predial de terrenos rurales en el bajo Anchicayá y la baja de construcciones en curso. Por otro lado, se registraron ingresos por recuperación de gastos por ($14.231), relacionados con la ejecución de garantías de proyectos solares Chicamocha 1, 2 y 3 a favor de XM. Finalmente, se incurrió en donaciones por ($2.072) y otros gastos diversos por ($1.627), principalmente por la terminación de contratos de suministro de torres de hormigón para parques eólicos.
*Odinsa $488.
*Otras compañías y ajustes de consolidación ($1.858).</t>
  </si>
  <si>
    <t>*Grupo Argos $126.907. 
*Cementos Argos ($398.419).
*Celsia $672.
*Odinsa $3.542.
*Otras compañías y ajustes ($6.988).
Ver_Anexo financiero Sep.</t>
  </si>
  <si>
    <t>*Grupo Argos ($20.238). Principalmente ingreso por diferencia en cambio asociado con celda cautiva ($16.247), efectivo y equivalentes de efectivo “Time Deposit” ($9.307), operaciones con derivados $5.854 y otros rubros por ($538).
*Cementos Argos $127.337. Principalmente en Cementos Argos debido a la tasa de cambio y a que la posición neta de la compañía ahora es corta, dado que tiene un crédito intercompañía que solo se cubrió al 50% (obligación financiera por pagar a Argos Honduras, que a la fecha tiene un valor de 209 millones de USD, incluyendo capital e intereses) por $114.088; en Argos Honduras derivado de valoración de la inversión de los bonos en moneda extranjera con Cementos Argos por $19.333; compensado con ajustes en diferencia en cambio en Zona Franca, Cement and Mining Engineering y Argos Guyana por ($8.151).
*Celsia ($28.342). El efecto de la variación de tasas de cambio en obligaciones financieras, deudores e inversiones
*Odinsa ($261).
*Otras compañías ($1.023).</t>
  </si>
  <si>
    <t>(*) Grupo realizó cambios en la presentación de partidas en el estado de resultados consolidado condensado comparativo al 30 de septiembre de 2024, reclasificando todas las partidas asociadas a la participación mantenida en Summit Materials, Inc. y Grupo de Inversiones Suramericana S.A. a una única línea de utilidad neta de operaciones discontinuadas</t>
  </si>
  <si>
    <t xml:space="preserve">Sep. 25
</t>
  </si>
  <si>
    <t>(*) La Compañía realizó cambios en la presentación de partidas en el estado de resultados separado condensado comparativo a 30 de septiembre de 2024, reclasificando todas las partidas asociadas a la inversión en la asociada Grupo de Inversiones Suramericana S.A. a una única línea de utilidad neta de operaciones discontinuadas.</t>
  </si>
  <si>
    <t>Sep.25</t>
  </si>
  <si>
    <t>Sep.24 (re presentado)</t>
  </si>
  <si>
    <t>Ppto Sep.25</t>
  </si>
  <si>
    <t>Principalmente: 
En 2025, venta de 1.042.000 de unidades de FCP Pactia por $15.315
Dividendos decretados: ($2.885)
Principalmente en 2024, Sociedad Portafolio ($2.871)
En 2024, ajuste al precio de venta de acciones de Vallecement ($176)</t>
  </si>
  <si>
    <t>Principalmente menores gastos de desvalorización de Propiedades de Inversión $97.258 (principalmente Lotes Pavas $47.063, Barú $45.719, La Fortuna $3.000)
Mayores ingresos por valoración de FCP Pactia $58.103
Menores ingresos por ventas de lotes ($31.433)
Menor distribución de FCP Pactia ($13.818)
Otros ($234)</t>
  </si>
  <si>
    <t>Ver anexo MPP sep. (Principalmente en 2025 MPP de Cementos Argos por la venta de la participación mantenida en SUMMIT por $1.076.984)</t>
  </si>
  <si>
    <t>Costo de venta de 1.042.000.de unidades de FCP Pactia por $15.315</t>
  </si>
  <si>
    <r>
      <t>Disminución en costos de urbanismo y venta de lotes por (</t>
    </r>
    <r>
      <rPr>
        <b/>
        <sz val="10"/>
        <rFont val="Arial"/>
        <family val="2"/>
      </rPr>
      <t>$18.373)</t>
    </r>
    <r>
      <rPr>
        <sz val="10"/>
        <rFont val="Arial"/>
        <family val="2"/>
      </rPr>
      <t xml:space="preserve"> y aumento en costo de traspaso de propiedades </t>
    </r>
    <r>
      <rPr>
        <b/>
        <sz val="10"/>
        <rFont val="Arial"/>
        <family val="2"/>
      </rPr>
      <t>$78</t>
    </r>
    <r>
      <rPr>
        <sz val="10"/>
        <rFont val="Arial"/>
        <family val="2"/>
      </rPr>
      <t>.</t>
    </r>
  </si>
  <si>
    <t>Ver anexo de gastos de administración y ventas. Principalmente honorarios por ($27.728) (menores honorarios de asesoría financiera ($20.348) (proyecto Teseo) principalmente por servicios prestados por JP Morgan), menores gastos por honorarios de asesoría jurídica ($7.144) (proyecto Teseo); incremento en impuestos por $16.799 (impuesto a la propiedad raíz $14.662 principalmente predio Pavas por cambio de tarifa en 2025) y otros gastos administrativos $111. Fueron reclasificados hacia operaciones discontinuadas gastos administrativos por ($43.859) (principalmente gastos de honorarios de asesoría financiera ($40.153) y gastos de honorarios de asesoría jurídica ($2.417). Ver línea de utilidad (pérdida) por operaciones discontinuada.</t>
  </si>
  <si>
    <t>Principalmente en 2024, por utilidad en entrega de acciones de Grupo Nutresa 1er intercambio, 2do intercambio y entrega de acciones de Sociedad Portafolio en la OPA ($74.700), reintegros de costos y gastos $1.287 y otros ingresos $1.087</t>
  </si>
  <si>
    <t>Principalmente provisiones multas, sanciones y litigios $4.317 por proceso de renta año gravable 2015 - sanción por devolución improcedente; deterioro Interejecutiva $2.538, aumenta cuatro x mil $650, donaciones $247, retención en la fuente asumida principalmente en la prima de éxito de JP Morgan en 2024 por ($2.703).</t>
  </si>
  <si>
    <t>‘-Mayor gasto financiero por intereses $92.125: principalmente intereses de mora por proceso de renta año gravable 2015 $98.309, mientras que disminuyen por intereses generados de obligaciones financieras y por fluctuación de tasas ($6.183).
-Pérdida valoración de activos financieros a vr. razonable $3.692, principalmente cuenta por cobrar a banco Santander $7.504 y por valoración de derivados y de inversiones en deposito a termino (CDT's) ($3.812)
-Menores gastos bancarios y comisiones ($4.064): principalmente por comisiones pagadas en la OPA. 
-Menores ingreso por intereses $26.209: corresponde a rendimientos recibidos asociados con los CDT’s, clientes y empleados y en operaciones de cobertura derivadas.
-Menores ingresos por valoración de instrumentos financieros $9.248: por valoración de instrumentos financieros derivados $8.710 y de CDT’s $538.
-mayores otros ingresos financieros ($303) por venta de CDT y recompra de bonos.</t>
  </si>
  <si>
    <t>Principalmente gasto por diferencia en cambio asociado con celda cautiva ($16.247), efectivo y equivalentes de efectivo “Time Deposit” ($9.307), cuentas por cobrar (depósito en garantía Equity Swap) y operaciones con derivados $5.854 y otros rubros por ($536).</t>
  </si>
  <si>
    <t>En 2025, reclasificación operación discontinuada Grupo Sura:
Reclasificación operación discontinuada Grupo Sura
Medición a valor razonable de acciones de Grupo Sura escindidas $2.710.186
Impuestos diferidos $411.533 dado:
Devolución impuesto diferido asociado al exceso de control $450.533
Baja de escudos fiscales por patrimonio escindido ($39.000)
Ingresos por dividendos: $142.328
Dividendos decretados en la AGA y ajuste por escisión de 2024 $142.119
Dividendos por las acciones recibidas en dación en pago de Sator $209
Gasto financiero neto operaciones discontinuas ($4.069) por pasivo por dividendo mínimo de acciones preferenciales
Costos incrementales (orden interna Teseo 3): ($47.952), principalmente:
Gastos de honorarios de asesoría financiera ($40.153) (principalmente JP Morgan ($32.786), Bain ($5.060) e Inverlink ($1.103)
Otros impuestos asumidos ($4.093) con JP Morgan
Gastos de honorarios de asesoría jurídica ($2.417) (principalmente Philippi Prieto Carri)
En 2024, reclasificación operación discontinuada Grupo Sura
Reclasificación operación discontinuada Grupo Sura
Ingresos por dividendos: $237.330
Dividendos decretados en la AGA de 2024 $232.517
Dividendos por acciones recibidas en la OPA $4.813
Ingreso por venta de acciones de Grupo Sura en la OPA $18.074
Costo por venta de acciones de Grupo Sura en la OPA ($13.345)
Gto. adm. honorarios asesoría jurídica ($2.417)
Diferencia en cambio ($30)
Impuesto diferido: ($236.873)
Causación impuesto diferido al exceso de control de las acciones recibidas de Grupo Sura ($236.873)</t>
  </si>
  <si>
    <t>Sep. 25</t>
  </si>
  <si>
    <t>Principalmente aumentan por ingreso en venta de unidades de FCP Pactia $15.315 y disminuyen dividendos ($2.885), aumentan venta de bienes y servicios $5.553, MPP $1.336 y otros ingresos $16.</t>
  </si>
  <si>
    <t>Aumentan principalmente por costo de venta de 1.042.000 unidades de FCP Pactia por $15.315, costo de ventas de bienes y servicios por $7.301 y otros $40.</t>
  </si>
  <si>
    <t>Otros ingresos y egresos: 
* Gastos de estructura e ingresos y gastos diversos ($54.574). En 2024 se reconoció utilidad en entrega de acciones de Grupo Nutresa: ($74.700), mientras que los gastos de administración disminuyeron $23.823, principalmente honorarios por $28.383 (menores honorarios de asesoría financiera $20.348 (proyecto Teseo) principalmente por servicios prestados por JP Morgan), menores gastos por honorarios de asesoría jurídica $7.906 (proyecto Teseo), aumentan impuestos ($3.269), gastos de personal ($2.139)</t>
  </si>
  <si>
    <t>*Financieros, neto ($115.297), principalmente en 2025, intereses de mora por proceso de renta año gravable 2015 ($98.309)
*Diferencia en cambio ($20.696)
*Provisión para impuesto a las ganancias ($112.749), principalmente reclasificación a operación continuada Equity Swap $45.678 y provisión proceso renta 2015 $54.948
* Utilidad (Pérdida) neta de operaciones discontinuadas $122.654. En 2025, corresponde a la utilidad generada en el proceso de escisión de Grupo Sura, que incluye transferencia de ORI por $1.318.643, recuperación de impuesto diferido asociado a la inversión por $450.533, pérdida por valoración por ($47.187) y gasto por impuesto por baja de escudos fiscales por patrimonio escindido por ($39.000), así como costos incrementales por ($52.022). En 2025, incluye también ingreso por venta de acciones de Grupo Sura por $13.701 y su costo asociado por ($15.979); en 2024, corresponde a MPP de Grupo Sura por $2.224.986, venta de acciones por $18.074 y su costo asociado por ($18.419), y su impuesto diferido asociado por ($537.477), así como costos incrementales por ($2.446).</t>
  </si>
  <si>
    <t>(*) Grupo realizó cambios en la presentación de partidas en el estado de resultados consolidado condensado comparativo al 30 de septiembre de 2024, reclasificando todas las partidas asociadas a la participación mantenida en Summit Materials, Inc. y Grupo de Inversiones Suramericana S.A. a una única línea de utilidad neta de operaciones discontinuadas. Así mismo, se incluye una asignación del impuesto a la renta del segmento portafolio al segmento inmobiliario.</t>
  </si>
  <si>
    <t>3T2025</t>
  </si>
  <si>
    <t>3T2024</t>
  </si>
  <si>
    <t>Aporte neto por segmento a los resultados consolidados acumulado</t>
  </si>
  <si>
    <t>Jun. 25</t>
  </si>
  <si>
    <t>Principalmente aumentan por ingreso en venta de unidades de FCP Pactia $7.490 y disminuyen dividendos ($2.885), aumentan venta de bienes y servicios $2.529 y MPP $1.579.</t>
  </si>
  <si>
    <t>Aumentan principalmente por costo de venta de 526.940 unidades de FCP Pactia por $7.490, costo de ventas de bienes y servicios por $5.007 y otros ($4).</t>
  </si>
  <si>
    <t>Otros ingresos y egresos: 
* Gastos de estructura e ingresos y gastos diversos ($47.061).</t>
  </si>
  <si>
    <t>*Financieros, neto ($5.442) 
*Diferencia en cambio ($13.940)
*Provisión para impuesto a las ganancias ($7.619)
* Utilidad (Pérdida) neta de operaciones discontinuadas ($1.494.306)</t>
  </si>
  <si>
    <t xml:space="preserve">Control </t>
  </si>
  <si>
    <t>Aporte neto por segmento a los resultados consolidados trimestral</t>
  </si>
  <si>
    <t>Sep.2025</t>
  </si>
  <si>
    <t>Sep. 2024</t>
  </si>
  <si>
    <t>Grupo realizó cambios en la presentación de partidas en el estado de resultados consolidado condensado comparativo al 30 de septiembre de 2024, reclasificando todas las partidas asociadas a la participación mantenida en Summit Materials, Inc. y Grupo de Inversiones Suramericana S.A. a una única línea de utilidad neta de operaciones discontinuadas.</t>
  </si>
  <si>
    <t xml:space="preserve">Instituto de Previsión Militar (Argos Honduras) </t>
  </si>
  <si>
    <t>Mar. 25</t>
  </si>
  <si>
    <t>Principalmente aumentan por ingreso en venta de unidades de FCP Pactia $7.490 y disminuyen dividendos ($2.842), aumentan venta de bienes y servicios $2.176 y MPP $417.</t>
  </si>
  <si>
    <t>Aumentan principalmente por costo de venta de 526.940 unidades de FCP Pactia por $7.490, costo de ventas de bienes y servicios por $2.852 y otros ($1).</t>
  </si>
  <si>
    <t>Otros ingresos y egresos: 
* Gastos de estructura e ingresos y gastos diversos ($32.200).</t>
  </si>
  <si>
    <t>*Financieros, neto ($13.163) 
*Diferencia en cambio ($9.272)
*Provisión para impuesto a las ganancias $8.702
* Utilidad (Pérdida) neta de operaciones discontinuadas ($1.386.252)</t>
  </si>
  <si>
    <t xml:space="preserve">(*) Grupo realizó cambios en la presentación de partidas en el estado de resultados consolidado condensado comparativo para 2024, reclasificando </t>
  </si>
  <si>
    <t>todas las partidas asociadas a la participación mantenida en Summit Materials, Inc. y Grupo de Inversiones Suramericana S.A. a una única línea de u</t>
  </si>
  <si>
    <t>tilidad neta de operaciones discontinuadas</t>
  </si>
  <si>
    <t xml:space="preserve">Corresponde al negocio de concesiones e incluye a Odinsa </t>
  </si>
  <si>
    <t>Años terminados el 30 de septiembre| Expresado en millones de pesos colombianos</t>
  </si>
  <si>
    <t>Nota</t>
  </si>
  <si>
    <t>Utilidad reconocida con respecto a beneficios a empleados y provisiones</t>
  </si>
  <si>
    <t>Pérdida (Utilidad) por medición al valor razonable</t>
  </si>
  <si>
    <t>Impuesto a la renta recibido (pagado)</t>
  </si>
  <si>
    <t xml:space="preserve">Producto de la venta de propiedades, planta y equipo </t>
  </si>
  <si>
    <t xml:space="preserve">Producto de la venta de propiedades de inversión </t>
  </si>
  <si>
    <t>Cobros procedentes del reembolso préstamos concedidos a terceros</t>
  </si>
  <si>
    <t>Cobros realizados a contratos de derivados financieros</t>
  </si>
  <si>
    <t>FLUJO NETO DE EFECTIVO GENERADO POR ACTIVIDADES DE INVERSIÓN</t>
  </si>
  <si>
    <t>7.7</t>
  </si>
  <si>
    <t>(DISMINUCIÓN) AUMENTO NETO EN EFECTIVO Y EQUIVALENTES DE EFECTIVO</t>
  </si>
  <si>
    <t>EFECTIVO Y EQUIVALENTES DE EFECTIVO AL FINAL DEL EJERCICIO</t>
  </si>
  <si>
    <t>11.3</t>
  </si>
  <si>
    <t>(*) Grupo realizó cambios en la presentación de partidas en el estado de resultados consolidado condensado comparativo al 30 de septiembre de 2024, reclasificando todas las partidas asociadas a la participación mantenida en Summit Materials, Inc. y Grupo de Inversiones Suramericana S.A. a una única línea de utilidad neta de operaciones discontinuadas.</t>
  </si>
  <si>
    <t>Utilidad (Pérdida) neta de op discont Summit M</t>
  </si>
  <si>
    <t>Utilidad (Pérdida) neta de op discont Grupo Sura</t>
  </si>
  <si>
    <t>Utilidad de operaciones continuadas</t>
  </si>
  <si>
    <t>En 2025, corresponde a la utilidad en la venta de Summit, neta de impuestos por $2.012.369 y costos de transacción por $26.338; En 2024, corresponde a la utilidad en la venta de la regional de Estados Unidos y reclasificación del MPP de Summit por $5.484.808.</t>
  </si>
  <si>
    <t>En 2025, corresponde a la utilidad generada en el proceso de escisión de Grupo Sura, que incluye pérdida por valoración por $47.187, así como transferencia de ORI por $1.318.643, recuperación de impuesto diferido asociado a la inversión por $450.533 y gasto por impuesto por baja de escudos fiscales por patrimonio escindido por $39.000, así como costos incrementales por $53.618. En 2025, incluye también ingreso por venta de acciones de Grupo Sura por $13.700 y su costo asociado por $15.979; en 2024, corresponde  al MPP de Grupo Sura por $2.224.985, venta de acciones por $18.074 y su costo asociado por $18.419, y su impuesto diferido asociado por $537.476, así como costos incrementales por $2.446.</t>
  </si>
  <si>
    <t>RESULTADOS FINANCIEROS SEPARADOS GRUPO ARGOS 3T2025</t>
  </si>
  <si>
    <t>RESULTADOS FINANCIEROS CONSOLIDADOS GRUPO ARGOS 3T2025</t>
  </si>
  <si>
    <t xml:space="preserve">El 25 de julio de 2025, se completó la ejecución del Proyecto de Escisión aprobado por las Asambleas de Accionistas de Grupo Argos S.A., Cementos Argos S.A. y Grupo de Inversiones Suramericana S.A. </t>
  </si>
  <si>
    <t>Períodos intermedios que terminaron a 30 de septiembre |En millones de pesos colombianos</t>
  </si>
  <si>
    <t>Emisión de bonos y papeles comerciales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</si>
</sst>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3" formatCode="_-* #,##0.00_-;\-* #,##0.00_-;_-* &quot;-&quot;??_-;_-@_-"/>
    <numFmt numFmtId="164" formatCode="_(* #,##0.00_);_(* \(#,##0.00\);_(* &quot;-&quot;??_);_(@_)"/>
    <numFmt numFmtId="165" formatCode="_(* #,##0_);_(* \(#,##0\);_(*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_-* #,##0\ _€_-;\-* #,##0\ _€_-;_-* &quot;-&quot;??\ _€_-;_-@_-"/>
    <numFmt numFmtId="172" formatCode="_(* #,##0.0_);_(* \(#,##0.0\);_(* &quot;-&quot;??_);_(@_)"/>
    <numFmt numFmtId="173" formatCode="_-* #,##0.00_-;\-* #,##0.00_-;_-* &quot;-&quot;_-;_-@_-"/>
    <numFmt numFmtId="174" formatCode="0.00000%"/>
    <numFmt numFmtId="175" formatCode="0.0"/>
    <numFmt numFmtId="176" formatCode="#,##0;\(#,##0\)"/>
    <numFmt numFmtId="177" formatCode="0.0_);\(0.0\)"/>
    <numFmt numFmtId="178" formatCode="#,##0.0;\(#,##0.0\)"/>
    <numFmt numFmtId="179" formatCode="_ * #,##0.0_ ;_ * \-#,##0.0_ ;_ * &quot;-&quot;??_ ;_ @_ "/>
    <numFmt numFmtId="180" formatCode="_(* #,##0_)_);_(* \(#,##0\)_);_(* &quot;-&quot;_);_(@_)"/>
    <numFmt numFmtId="181" formatCode="_-* #,##0_-;\-* #,##0_-;_-* &quot;-&quot;??_-;_-@_-"/>
    <numFmt numFmtId="182" formatCode="_-* #,##0.0_-;\-* #,##0.0_-;_-* &quot;-&quot;??_-;_-@_-"/>
  </numFmts>
  <fonts count="125">
    <font>
      <sz val="11"/>
      <color theme="1"/>
      <name val="Calibri"/>
      <family val="2"/>
      <scheme val="minor"/>
    </font>
    <font>
      <sz val="11"/>
      <color theme="1"/>
      <name val="Calibri"/>
      <family val="2"/>
      <scheme val="minor"/>
    </font>
    <font>
      <b/>
      <sz val="13"/>
      <color theme="3"/>
      <name val="Calibri"/>
      <family val="2"/>
      <scheme val="minor"/>
    </font>
    <font>
      <b/>
      <sz val="11"/>
      <color theme="1"/>
      <name val="Calibri"/>
      <family val="2"/>
      <scheme val="minor"/>
    </font>
    <font>
      <sz val="10"/>
      <name val="Arial"/>
      <family val="2"/>
    </font>
    <font>
      <b/>
      <sz val="10"/>
      <name val="Arial"/>
      <family val="2"/>
    </font>
    <font>
      <b/>
      <sz val="11"/>
      <color indexed="9"/>
      <name val="Arial"/>
      <family val="2"/>
    </font>
    <font>
      <b/>
      <sz val="10"/>
      <color indexed="9"/>
      <name val="Arial"/>
      <family val="2"/>
    </font>
    <font>
      <sz val="10"/>
      <color indexed="8"/>
      <name val="Arial"/>
      <family val="2"/>
    </font>
    <font>
      <b/>
      <sz val="10"/>
      <color rgb="FFFF0000"/>
      <name val="Arial"/>
      <family val="2"/>
    </font>
    <font>
      <sz val="10"/>
      <color rgb="FFFF0000"/>
      <name val="Arial"/>
      <family val="2"/>
    </font>
    <font>
      <b/>
      <sz val="11"/>
      <color theme="1"/>
      <name val="Calibri"/>
      <family val="2"/>
    </font>
    <font>
      <sz val="11"/>
      <color theme="1"/>
      <name val="Calibri"/>
      <family val="2"/>
    </font>
    <font>
      <sz val="11"/>
      <name val="Calibri"/>
      <family val="2"/>
    </font>
    <font>
      <sz val="11"/>
      <color indexed="8"/>
      <name val="Calibri"/>
      <family val="2"/>
    </font>
    <font>
      <b/>
      <sz val="10"/>
      <color indexed="8"/>
      <name val="Arial"/>
      <family val="2"/>
    </font>
    <font>
      <i/>
      <sz val="10"/>
      <color rgb="FFFF0000"/>
      <name val="Arial"/>
      <family val="2"/>
    </font>
    <font>
      <sz val="10"/>
      <color theme="3" tint="0.39997558519241921"/>
      <name val="Arial"/>
      <family val="2"/>
    </font>
    <font>
      <i/>
      <sz val="10"/>
      <name val="Arial"/>
      <family val="2"/>
    </font>
    <font>
      <i/>
      <sz val="10"/>
      <color indexed="8"/>
      <name val="Arial"/>
      <family val="2"/>
    </font>
    <font>
      <i/>
      <sz val="10"/>
      <color theme="3" tint="0.39997558519241921"/>
      <name val="Arial"/>
      <family val="2"/>
    </font>
    <font>
      <b/>
      <sz val="10"/>
      <color theme="3" tint="0.39997558519241921"/>
      <name val="Arial"/>
      <family val="2"/>
    </font>
    <font>
      <b/>
      <sz val="10"/>
      <color theme="1"/>
      <name val="Arial"/>
      <family val="2"/>
    </font>
    <font>
      <sz val="10"/>
      <name val="Franklin Gothic Book"/>
      <family val="2"/>
    </font>
    <font>
      <sz val="10"/>
      <color rgb="FF000000"/>
      <name val="Franklin Gothic Book"/>
      <family val="2"/>
    </font>
    <font>
      <b/>
      <sz val="9"/>
      <color indexed="81"/>
      <name val="Tahoma"/>
      <family val="2"/>
    </font>
    <font>
      <sz val="9"/>
      <color indexed="81"/>
      <name val="Tahoma"/>
      <family val="2"/>
    </font>
    <font>
      <b/>
      <sz val="10"/>
      <color indexed="53"/>
      <name val="Arial"/>
      <family val="2"/>
    </font>
    <font>
      <b/>
      <i/>
      <sz val="10"/>
      <color rgb="FF002060"/>
      <name val="Arial"/>
      <family val="2"/>
    </font>
    <font>
      <i/>
      <sz val="10"/>
      <color rgb="FF002060"/>
      <name val="Arial"/>
      <family val="2"/>
    </font>
    <font>
      <i/>
      <sz val="8"/>
      <color indexed="8"/>
      <name val="Arial"/>
      <family val="2"/>
    </font>
    <font>
      <sz val="8"/>
      <color indexed="8"/>
      <name val="Arial"/>
      <family val="2"/>
    </font>
    <font>
      <b/>
      <sz val="11"/>
      <color rgb="FF000000"/>
      <name val="Calibri"/>
      <family val="2"/>
    </font>
    <font>
      <sz val="11"/>
      <color rgb="FF000000"/>
      <name val="Calibri"/>
      <family val="2"/>
    </font>
    <font>
      <sz val="10"/>
      <color indexed="81"/>
      <name val="Tahoma"/>
      <family val="2"/>
    </font>
    <font>
      <b/>
      <sz val="10"/>
      <color theme="2"/>
      <name val="Arial"/>
      <family val="2"/>
    </font>
    <font>
      <sz val="10"/>
      <color theme="2"/>
      <name val="Arial"/>
      <family val="2"/>
    </font>
    <font>
      <b/>
      <sz val="9"/>
      <color rgb="FF002060"/>
      <name val="Arial"/>
      <family val="2"/>
    </font>
    <font>
      <b/>
      <sz val="9"/>
      <color theme="2"/>
      <name val="Arial"/>
      <family val="2"/>
    </font>
    <font>
      <b/>
      <sz val="10"/>
      <color rgb="FF002060"/>
      <name val="Arial"/>
      <family val="2"/>
    </font>
    <font>
      <b/>
      <sz val="10"/>
      <color theme="0"/>
      <name val="Arial"/>
      <family val="2"/>
    </font>
    <font>
      <sz val="10"/>
      <color theme="0"/>
      <name val="Arial"/>
      <family val="2"/>
    </font>
    <font>
      <sz val="11"/>
      <color theme="0"/>
      <name val="Calibri"/>
      <family val="2"/>
    </font>
    <font>
      <sz val="9"/>
      <color indexed="8"/>
      <name val="Arial"/>
      <family val="2"/>
    </font>
    <font>
      <b/>
      <sz val="12"/>
      <color theme="0"/>
      <name val="Arial"/>
      <family val="2"/>
    </font>
    <font>
      <b/>
      <sz val="9"/>
      <color indexed="8"/>
      <name val="Arial"/>
      <family val="2"/>
    </font>
    <font>
      <b/>
      <sz val="11"/>
      <color rgb="FF000000"/>
      <name val="Arial"/>
      <family val="2"/>
    </font>
    <font>
      <sz val="8"/>
      <name val="Arial"/>
      <family val="2"/>
    </font>
    <font>
      <sz val="10"/>
      <color theme="1"/>
      <name val="Arial"/>
      <family val="2"/>
    </font>
    <font>
      <b/>
      <sz val="9"/>
      <name val="Arial"/>
      <family val="2"/>
    </font>
    <font>
      <b/>
      <i/>
      <sz val="10"/>
      <color indexed="53"/>
      <name val="Arial"/>
      <family val="2"/>
    </font>
    <font>
      <sz val="9"/>
      <name val="Arial"/>
      <family val="2"/>
    </font>
    <font>
      <b/>
      <i/>
      <sz val="10"/>
      <color indexed="8"/>
      <name val="Arial"/>
      <family val="2"/>
    </font>
    <font>
      <b/>
      <i/>
      <sz val="10"/>
      <name val="Arial"/>
      <family val="2"/>
    </font>
    <font>
      <b/>
      <i/>
      <sz val="11"/>
      <color theme="1"/>
      <name val="Arial"/>
      <family val="2"/>
    </font>
    <font>
      <b/>
      <sz val="11"/>
      <color rgb="FF0070C0"/>
      <name val="Arial"/>
      <family val="2"/>
    </font>
    <font>
      <sz val="9"/>
      <color indexed="8"/>
      <name val="Calibri"/>
      <family val="2"/>
    </font>
    <font>
      <b/>
      <sz val="10"/>
      <color indexed="81"/>
      <name val="Tahoma"/>
      <family val="2"/>
    </font>
    <font>
      <b/>
      <sz val="22"/>
      <name val="Arial"/>
      <family val="2"/>
    </font>
    <font>
      <b/>
      <u/>
      <sz val="22"/>
      <name val="Arial"/>
      <family val="2"/>
    </font>
    <font>
      <b/>
      <sz val="16"/>
      <name val="Arial"/>
      <family val="2"/>
    </font>
    <font>
      <b/>
      <sz val="18"/>
      <name val="Arial"/>
      <family val="2"/>
    </font>
    <font>
      <b/>
      <i/>
      <sz val="11"/>
      <name val="Arial"/>
      <family val="2"/>
    </font>
    <font>
      <b/>
      <sz val="12"/>
      <name val="Calibri"/>
      <family val="2"/>
    </font>
    <font>
      <b/>
      <sz val="8"/>
      <name val="Calibri"/>
      <family val="2"/>
    </font>
    <font>
      <b/>
      <sz val="11"/>
      <name val="Arial"/>
      <family val="2"/>
    </font>
    <font>
      <sz val="10"/>
      <name val="Cambria"/>
      <family val="1"/>
    </font>
    <font>
      <b/>
      <sz val="8"/>
      <name val="Arial"/>
      <family val="2"/>
    </font>
    <font>
      <sz val="24"/>
      <color rgb="FF002060"/>
      <name val="Arial"/>
      <family val="2"/>
    </font>
    <font>
      <sz val="10"/>
      <color rgb="FF002060"/>
      <name val="Arial"/>
      <family val="2"/>
    </font>
    <font>
      <sz val="16"/>
      <color rgb="FF002060"/>
      <name val="Arial"/>
      <family val="2"/>
    </font>
    <font>
      <b/>
      <sz val="11"/>
      <color rgb="FF002060"/>
      <name val="Arial"/>
      <family val="2"/>
    </font>
    <font>
      <sz val="11"/>
      <name val="Arial"/>
      <family val="2"/>
    </font>
    <font>
      <sz val="11"/>
      <color rgb="FF002060"/>
      <name val="Arial"/>
      <family val="2"/>
    </font>
    <font>
      <sz val="12"/>
      <name val="Arial"/>
      <family val="2"/>
    </font>
    <font>
      <sz val="24"/>
      <color theme="3" tint="-0.499984740745262"/>
      <name val="Arial"/>
      <family val="2"/>
    </font>
    <font>
      <sz val="16"/>
      <color theme="3" tint="-0.499984740745262"/>
      <name val="Arial"/>
      <family val="2"/>
    </font>
    <font>
      <sz val="12"/>
      <color indexed="10"/>
      <name val="Arial"/>
      <family val="2"/>
    </font>
    <font>
      <b/>
      <sz val="11"/>
      <color theme="3" tint="-0.499984740745262"/>
      <name val="Arial"/>
      <family val="2"/>
    </font>
    <font>
      <i/>
      <sz val="9"/>
      <name val="Arial"/>
      <family val="2"/>
    </font>
    <font>
      <b/>
      <sz val="12"/>
      <color rgb="FF002060"/>
      <name val="Arial"/>
      <family val="2"/>
    </font>
    <font>
      <b/>
      <sz val="11"/>
      <color theme="4" tint="-0.499984740745262"/>
      <name val="Arial"/>
      <family val="2"/>
    </font>
    <font>
      <sz val="10"/>
      <color theme="4" tint="-0.499984740745262"/>
      <name val="Arial"/>
      <family val="2"/>
    </font>
    <font>
      <b/>
      <sz val="18"/>
      <color rgb="FF0C2D66"/>
      <name val="Arial"/>
      <family val="2"/>
    </font>
    <font>
      <sz val="9"/>
      <color theme="1"/>
      <name val="Calibri"/>
      <family val="2"/>
      <scheme val="minor"/>
    </font>
    <font>
      <b/>
      <sz val="14"/>
      <color rgb="FF0C2D66"/>
      <name val="Arial"/>
      <family val="2"/>
    </font>
    <font>
      <sz val="10"/>
      <color theme="1"/>
      <name val="Franklin Gothic Book"/>
      <family val="2"/>
    </font>
    <font>
      <sz val="9"/>
      <color rgb="FF000000"/>
      <name val="Arial"/>
      <family val="2"/>
    </font>
    <font>
      <sz val="9"/>
      <color theme="1"/>
      <name val="Arial"/>
      <family val="2"/>
    </font>
    <font>
      <sz val="9"/>
      <color rgb="FF0C2D66"/>
      <name val="Arial"/>
      <family val="2"/>
    </font>
    <font>
      <b/>
      <sz val="9"/>
      <color rgb="FF0C2D66"/>
      <name val="Arial"/>
      <family val="2"/>
    </font>
    <font>
      <b/>
      <sz val="9"/>
      <color rgb="FF203764"/>
      <name val="Arial"/>
      <family val="2"/>
    </font>
    <font>
      <b/>
      <sz val="8"/>
      <color rgb="FF1A3475"/>
      <name val="Arial"/>
      <family val="2"/>
    </font>
    <font>
      <b/>
      <sz val="8"/>
      <color rgb="FF103475"/>
      <name val="Arial"/>
      <family val="2"/>
    </font>
    <font>
      <sz val="7.5"/>
      <color rgb="FF000000"/>
      <name val="Arial"/>
      <family val="2"/>
    </font>
    <font>
      <b/>
      <sz val="7.5"/>
      <color rgb="FF103475"/>
      <name val="Arial"/>
      <family val="2"/>
    </font>
    <font>
      <b/>
      <sz val="11"/>
      <color rgb="FF0C2D66"/>
      <name val="Franklin Gothic Book"/>
      <family val="2"/>
    </font>
    <font>
      <sz val="10"/>
      <color indexed="81"/>
      <name val="Arial  "/>
    </font>
    <font>
      <sz val="9"/>
      <color theme="1"/>
      <name val="Franklin Gothic Book"/>
      <family val="2"/>
    </font>
    <font>
      <sz val="8"/>
      <color rgb="FF000000"/>
      <name val="Arial"/>
      <family val="2"/>
    </font>
    <font>
      <b/>
      <sz val="8"/>
      <color rgb="FF1F4E78"/>
      <name val="Arial"/>
      <family val="2"/>
    </font>
    <font>
      <sz val="8"/>
      <color theme="1"/>
      <name val="Arial"/>
      <family val="2"/>
    </font>
    <font>
      <b/>
      <sz val="8"/>
      <color rgb="FF002060"/>
      <name val="Arial"/>
      <family val="2"/>
    </font>
    <font>
      <b/>
      <sz val="8"/>
      <color rgb="FF1F4E79"/>
      <name val="Arial"/>
      <family val="2"/>
    </font>
    <font>
      <sz val="10"/>
      <color theme="1"/>
      <name val="Calibri"/>
      <family val="2"/>
      <scheme val="minor"/>
    </font>
    <font>
      <i/>
      <sz val="9"/>
      <color rgb="FF404040"/>
      <name val="Franklin Gothic Book"/>
      <family val="2"/>
    </font>
    <font>
      <b/>
      <sz val="9"/>
      <color rgb="FF15234A"/>
      <name val="Franklin Gothic Book"/>
      <family val="2"/>
    </font>
    <font>
      <sz val="9"/>
      <color rgb="FF000000"/>
      <name val="Franklin Gothic Book"/>
      <family val="2"/>
    </font>
    <font>
      <b/>
      <sz val="14"/>
      <color rgb="FF15234A"/>
      <name val="Franklin Gothic Book"/>
      <family val="2"/>
    </font>
    <font>
      <b/>
      <sz val="12"/>
      <color rgb="FF15234A"/>
      <name val="Franklin Gothic Book"/>
      <family val="2"/>
    </font>
    <font>
      <i/>
      <sz val="9"/>
      <color rgb="FF000000"/>
      <name val="Franklin Gothic Book"/>
      <family val="2"/>
    </font>
    <font>
      <b/>
      <sz val="9"/>
      <color rgb="FF000000"/>
      <name val="Franklin Gothic Book"/>
      <family val="2"/>
    </font>
    <font>
      <sz val="8"/>
      <color rgb="FF000000"/>
      <name val="Calibri"/>
      <family val="2"/>
      <scheme val="minor"/>
    </font>
    <font>
      <sz val="8"/>
      <color theme="1"/>
      <name val="Calibri"/>
      <family val="2"/>
      <scheme val="minor"/>
    </font>
    <font>
      <b/>
      <sz val="8"/>
      <color rgb="FF15234A"/>
      <name val="Franklin Gothic Book"/>
      <family val="2"/>
    </font>
    <font>
      <sz val="8"/>
      <color rgb="FF000000"/>
      <name val="Franklin Gothic Book"/>
      <family val="2"/>
    </font>
    <font>
      <sz val="9"/>
      <color rgb="FF000000"/>
      <name val="Calibri"/>
      <family val="2"/>
      <scheme val="minor"/>
    </font>
    <font>
      <sz val="8"/>
      <color rgb="FF15234A"/>
      <name val="Franklin Gothic Book"/>
      <family val="2"/>
    </font>
    <font>
      <b/>
      <sz val="8"/>
      <color rgb="FF000000"/>
      <name val="Franklin Gothic Book"/>
      <family val="2"/>
    </font>
    <font>
      <b/>
      <sz val="10"/>
      <color theme="1"/>
      <name val="Franklin Gothic Book"/>
      <family val="2"/>
    </font>
    <font>
      <b/>
      <sz val="10"/>
      <color rgb="FF15234A"/>
      <name val="Franklin Gothic Book"/>
      <family val="2"/>
    </font>
    <font>
      <sz val="9"/>
      <color rgb="FF15234A"/>
      <name val="Franklin Gothic Book"/>
      <family val="2"/>
    </font>
    <font>
      <i/>
      <sz val="9"/>
      <color rgb="FF15234A"/>
      <name val="Franklin Gothic Book"/>
      <family val="2"/>
    </font>
    <font>
      <sz val="10"/>
      <color rgb="FF000000"/>
      <name val="Arial"/>
      <family val="2"/>
    </font>
    <font>
      <b/>
      <sz val="9"/>
      <color rgb="FF000000"/>
      <name val="Arial"/>
      <family val="2"/>
    </font>
  </fonts>
  <fills count="18">
    <fill>
      <patternFill patternType="none"/>
    </fill>
    <fill>
      <patternFill patternType="gray125"/>
    </fill>
    <fill>
      <patternFill patternType="solid">
        <fgColor rgb="FF002D6A"/>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indexed="9"/>
        <bgColor indexed="64"/>
      </patternFill>
    </fill>
    <fill>
      <patternFill patternType="solid">
        <fgColor theme="0" tint="-4.9989318521683403E-2"/>
        <bgColor rgb="FF000000"/>
      </patternFill>
    </fill>
    <fill>
      <patternFill patternType="solid">
        <fgColor theme="0"/>
        <bgColor indexed="64"/>
      </patternFill>
    </fill>
    <fill>
      <patternFill patternType="solid">
        <fgColor rgb="FF121C4D"/>
        <bgColor indexed="64"/>
      </patternFill>
    </fill>
    <fill>
      <patternFill patternType="solid">
        <fgColor indexed="56"/>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E5EAF0"/>
        <bgColor rgb="FF000000"/>
      </patternFill>
    </fill>
    <fill>
      <patternFill patternType="solid">
        <fgColor rgb="FFF2F2F2"/>
        <bgColor indexed="64"/>
      </patternFill>
    </fill>
    <fill>
      <patternFill patternType="solid">
        <fgColor rgb="FF92D050"/>
        <bgColor indexed="64"/>
      </patternFill>
    </fill>
    <fill>
      <patternFill patternType="solid">
        <fgColor theme="4" tint="0.79998168889431442"/>
        <bgColor rgb="FF000000"/>
      </patternFill>
    </fill>
    <fill>
      <patternFill patternType="solid">
        <fgColor rgb="FFD9E1F2"/>
        <bgColor indexed="64"/>
      </patternFill>
    </fill>
  </fills>
  <borders count="112">
    <border>
      <left/>
      <right/>
      <top/>
      <bottom/>
      <diagonal/>
    </border>
    <border>
      <left/>
      <right/>
      <top/>
      <bottom style="thick">
        <color theme="4" tint="0.499984740745262"/>
      </bottom>
      <diagonal/>
    </border>
    <border>
      <left style="thick">
        <color indexed="22"/>
      </left>
      <right/>
      <top/>
      <bottom/>
      <diagonal/>
    </border>
    <border>
      <left style="thick">
        <color indexed="22"/>
      </left>
      <right/>
      <top style="thick">
        <color indexed="22"/>
      </top>
      <bottom style="thick">
        <color indexed="22"/>
      </bottom>
      <diagonal/>
    </border>
    <border>
      <left style="thick">
        <color indexed="22"/>
      </left>
      <right style="thick">
        <color indexed="22"/>
      </right>
      <top style="thick">
        <color indexed="22"/>
      </top>
      <bottom style="thick">
        <color indexed="22"/>
      </bottom>
      <diagonal/>
    </border>
    <border>
      <left/>
      <right/>
      <top style="thick">
        <color indexed="22"/>
      </top>
      <bottom style="thick">
        <color indexed="22"/>
      </bottom>
      <diagonal/>
    </border>
    <border>
      <left/>
      <right style="thick">
        <color indexed="22"/>
      </right>
      <top style="thick">
        <color indexed="22"/>
      </top>
      <bottom style="thick">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ck">
        <color indexed="22"/>
      </right>
      <top style="thick">
        <color indexed="22"/>
      </top>
      <bottom style="thin">
        <color indexed="22"/>
      </bottom>
      <diagonal/>
    </border>
    <border>
      <left/>
      <right style="thick">
        <color indexed="22"/>
      </right>
      <top/>
      <bottom style="thin">
        <color indexed="22"/>
      </bottom>
      <diagonal/>
    </border>
    <border>
      <left/>
      <right style="thick">
        <color indexed="22"/>
      </right>
      <top style="thin">
        <color indexed="22"/>
      </top>
      <bottom style="thin">
        <color indexed="22"/>
      </bottom>
      <diagonal/>
    </border>
    <border>
      <left/>
      <right style="thin">
        <color indexed="22"/>
      </right>
      <top style="thin">
        <color indexed="22"/>
      </top>
      <bottom style="thin">
        <color indexed="22"/>
      </bottom>
      <diagonal/>
    </border>
    <border>
      <left/>
      <right style="thick">
        <color indexed="22"/>
      </right>
      <top style="thin">
        <color indexed="22"/>
      </top>
      <bottom/>
      <diagonal/>
    </border>
    <border>
      <left/>
      <right style="thick">
        <color indexed="22"/>
      </right>
      <top style="thin">
        <color indexed="22"/>
      </top>
      <bottom style="thick">
        <color indexed="22"/>
      </bottom>
      <diagonal/>
    </border>
    <border>
      <left style="thick">
        <color indexed="22"/>
      </left>
      <right/>
      <top style="thick">
        <color indexed="22"/>
      </top>
      <bottom/>
      <diagonal/>
    </border>
    <border>
      <left/>
      <right style="thick">
        <color indexed="22"/>
      </right>
      <top style="thick">
        <color indexed="22"/>
      </top>
      <bottom/>
      <diagonal/>
    </border>
    <border>
      <left style="thick">
        <color indexed="22"/>
      </left>
      <right style="thick">
        <color indexed="22"/>
      </right>
      <top style="thick">
        <color indexed="22"/>
      </top>
      <bottom/>
      <diagonal/>
    </border>
    <border>
      <left style="thick">
        <color indexed="22"/>
      </left>
      <right/>
      <top/>
      <bottom style="thick">
        <color indexed="22"/>
      </bottom>
      <diagonal/>
    </border>
    <border>
      <left/>
      <right style="thick">
        <color indexed="22"/>
      </right>
      <top/>
      <bottom style="thick">
        <color indexed="22"/>
      </bottom>
      <diagonal/>
    </border>
    <border>
      <left style="thick">
        <color indexed="22"/>
      </left>
      <right style="thick">
        <color indexed="22"/>
      </right>
      <top/>
      <bottom style="thick">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diagonal/>
    </border>
    <border>
      <left style="thin">
        <color indexed="22"/>
      </left>
      <right style="thin">
        <color indexed="22"/>
      </right>
      <top style="thin">
        <color indexed="22"/>
      </top>
      <bottom/>
      <diagonal/>
    </border>
    <border>
      <left style="thin">
        <color theme="0" tint="-0.14981536301767021"/>
      </left>
      <right style="thin">
        <color theme="0" tint="-0.1498764000366222"/>
      </right>
      <top style="thin">
        <color theme="0" tint="-0.24994659260841701"/>
      </top>
      <bottom/>
      <diagonal/>
    </border>
    <border>
      <left/>
      <right style="thin">
        <color indexed="22"/>
      </right>
      <top/>
      <bottom/>
      <diagonal/>
    </border>
    <border>
      <left/>
      <right style="thin">
        <color indexed="22"/>
      </right>
      <top style="thin">
        <color indexed="22"/>
      </top>
      <bottom/>
      <diagonal/>
    </border>
    <border>
      <left style="thin">
        <color indexed="22"/>
      </left>
      <right/>
      <top style="thin">
        <color indexed="22"/>
      </top>
      <bottom/>
      <diagonal/>
    </border>
    <border>
      <left style="thin">
        <color theme="0" tint="-0.24994659260841701"/>
      </left>
      <right/>
      <top/>
      <bottom/>
      <diagonal/>
    </border>
    <border>
      <left style="thin">
        <color indexed="22"/>
      </left>
      <right style="thin">
        <color indexed="22"/>
      </right>
      <top/>
      <bottom/>
      <diagonal/>
    </border>
    <border>
      <left style="thin">
        <color theme="0" tint="-0.14981536301767021"/>
      </left>
      <right style="thin">
        <color theme="0" tint="-0.1498764000366222"/>
      </right>
      <top/>
      <bottom/>
      <diagonal/>
    </border>
    <border>
      <left style="thin">
        <color indexed="22"/>
      </left>
      <right/>
      <top/>
      <bottom/>
      <diagonal/>
    </border>
    <border>
      <left style="thin">
        <color theme="0" tint="-0.24994659260841701"/>
      </left>
      <right style="thin">
        <color theme="0" tint="-0.24994659260841701"/>
      </right>
      <top/>
      <bottom/>
      <diagonal/>
    </border>
    <border>
      <left style="thin">
        <color theme="0" tint="-0.24994659260841701"/>
      </left>
      <right/>
      <top/>
      <bottom style="thin">
        <color theme="0" tint="-0.24994659260841701"/>
      </bottom>
      <diagonal/>
    </border>
    <border>
      <left style="thin">
        <color indexed="22"/>
      </left>
      <right style="thin">
        <color indexed="22"/>
      </right>
      <top/>
      <bottom style="thin">
        <color indexed="22"/>
      </bottom>
      <diagonal/>
    </border>
    <border>
      <left style="thin">
        <color theme="0" tint="-0.14981536301767021"/>
      </left>
      <right style="thin">
        <color theme="0" tint="-0.1498764000366222"/>
      </right>
      <top/>
      <bottom style="thin">
        <color theme="0" tint="-0.14978484450819421"/>
      </bottom>
      <diagonal/>
    </border>
    <border>
      <left/>
      <right style="thin">
        <color indexed="22"/>
      </right>
      <top/>
      <bottom style="thin">
        <color indexed="22"/>
      </bottom>
      <diagonal/>
    </border>
    <border>
      <left style="thin">
        <color indexed="22"/>
      </left>
      <right/>
      <top/>
      <bottom style="thin">
        <color indexed="22"/>
      </bottom>
      <diagonal/>
    </border>
    <border>
      <left style="thin">
        <color theme="0" tint="-0.14981536301767021"/>
      </left>
      <right/>
      <top style="thin">
        <color theme="0" tint="-0.24994659260841701"/>
      </top>
      <bottom/>
      <diagonal/>
    </border>
    <border>
      <left/>
      <right style="thin">
        <color theme="0" tint="-0.1498764000366222"/>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indexed="22"/>
      </right>
      <top style="thin">
        <color theme="0" tint="-0.24994659260841701"/>
      </top>
      <bottom/>
      <diagonal/>
    </border>
    <border>
      <left style="thin">
        <color theme="0" tint="-0.14981536301767021"/>
      </left>
      <right/>
      <top/>
      <bottom/>
      <diagonal/>
    </border>
    <border>
      <left/>
      <right style="thin">
        <color theme="0" tint="-0.1498764000366222"/>
      </right>
      <top/>
      <bottom/>
      <diagonal/>
    </border>
    <border>
      <left/>
      <right style="thin">
        <color theme="0" tint="-0.24994659260841701"/>
      </right>
      <top/>
      <bottom/>
      <diagonal/>
    </border>
    <border>
      <left style="thin">
        <color theme="0" tint="-0.24994659260841701"/>
      </left>
      <right style="thin">
        <color indexed="22"/>
      </right>
      <top/>
      <bottom/>
      <diagonal/>
    </border>
    <border>
      <left style="thin">
        <color theme="0" tint="-0.14981536301767021"/>
      </left>
      <right/>
      <top/>
      <bottom style="thin">
        <color theme="0" tint="-0.14978484450819421"/>
      </bottom>
      <diagonal/>
    </border>
    <border>
      <left/>
      <right style="thin">
        <color theme="0" tint="-0.1498764000366222"/>
      </right>
      <top/>
      <bottom style="thin">
        <color theme="0" tint="-0.14978484450819421"/>
      </bottom>
      <diagonal/>
    </border>
    <border>
      <left/>
      <right style="thin">
        <color theme="0" tint="-0.24994659260841701"/>
      </right>
      <top/>
      <bottom style="thin">
        <color theme="0" tint="-0.24994659260841701"/>
      </bottom>
      <diagonal/>
    </border>
    <border>
      <left style="thin">
        <color theme="0" tint="-0.24994659260841701"/>
      </left>
      <right style="thin">
        <color indexed="22"/>
      </right>
      <top/>
      <bottom style="thin">
        <color theme="0" tint="-0.24994659260841701"/>
      </bottom>
      <diagonal/>
    </border>
    <border>
      <left style="thin">
        <color theme="0" tint="-0.14981536301767021"/>
      </left>
      <right style="thin">
        <color indexed="22"/>
      </right>
      <top style="thin">
        <color indexed="22"/>
      </top>
      <bottom/>
      <diagonal/>
    </border>
    <border>
      <left style="thin">
        <color theme="0" tint="-0.14981536301767021"/>
      </left>
      <right style="thin">
        <color indexed="22"/>
      </right>
      <top/>
      <bottom style="thin">
        <color indexed="22"/>
      </bottom>
      <diagonal/>
    </border>
    <border>
      <left style="thin">
        <color theme="0" tint="-0.24994659260841701"/>
      </left>
      <right style="thin">
        <color theme="0" tint="-0.24994659260841701"/>
      </right>
      <top style="thin">
        <color theme="0" tint="-0.24994659260841701"/>
      </top>
      <bottom/>
      <diagonal/>
    </border>
    <border>
      <left style="thin">
        <color indexed="22"/>
      </left>
      <right/>
      <top style="thin">
        <color theme="0" tint="-0.24994659260841701"/>
      </top>
      <bottom/>
      <diagonal/>
    </border>
    <border>
      <left style="thin">
        <color indexed="22"/>
      </left>
      <right style="thin">
        <color indexed="22"/>
      </right>
      <top style="thin">
        <color theme="0" tint="-0.24994659260841701"/>
      </top>
      <bottom/>
      <diagonal/>
    </border>
    <border>
      <left style="thin">
        <color theme="0" tint="-0.24994659260841701"/>
      </left>
      <right style="thin">
        <color theme="0" tint="-0.24994659260841701"/>
      </right>
      <top/>
      <bottom style="thin">
        <color theme="0" tint="-0.14978484450819421"/>
      </bottom>
      <diagonal/>
    </border>
    <border>
      <left/>
      <right style="thin">
        <color theme="0" tint="-0.24994659260841701"/>
      </right>
      <top/>
      <bottom style="thin">
        <color theme="0" tint="-0.14978484450819421"/>
      </bottom>
      <diagonal/>
    </border>
    <border>
      <left style="thin">
        <color theme="0" tint="-0.14981536301767021"/>
      </left>
      <right style="thin">
        <color theme="0" tint="-0.24994659260841701"/>
      </right>
      <top/>
      <bottom style="thin">
        <color theme="0" tint="-0.14978484450819421"/>
      </bottom>
      <diagonal/>
    </border>
    <border>
      <left style="thin">
        <color indexed="22"/>
      </left>
      <right/>
      <top/>
      <bottom style="thin">
        <color theme="0" tint="-0.14978484450819421"/>
      </bottom>
      <diagonal/>
    </border>
    <border>
      <left style="thin">
        <color theme="0" tint="-0.24994659260841701"/>
      </left>
      <right style="thin">
        <color theme="0" tint="-0.1498764000366222"/>
      </right>
      <top/>
      <bottom style="thin">
        <color theme="0" tint="-0.24994659260841701"/>
      </bottom>
      <diagonal/>
    </border>
    <border>
      <left style="thin">
        <color theme="0" tint="-0.24994659260841701"/>
      </left>
      <right style="thin">
        <color theme="0" tint="-0.1498764000366222"/>
      </right>
      <top style="thin">
        <color theme="0" tint="-0.24994659260841701"/>
      </top>
      <bottom/>
      <diagonal/>
    </border>
    <border>
      <left/>
      <right/>
      <top/>
      <bottom style="thin">
        <color theme="0" tint="-0.24994659260841701"/>
      </bottom>
      <diagonal/>
    </border>
    <border>
      <left style="thin">
        <color theme="0" tint="-0.14981536301767021"/>
      </left>
      <right/>
      <top style="thin">
        <color theme="0" tint="-0.24994659260841701"/>
      </top>
      <bottom style="thin">
        <color theme="0" tint="-0.14978484450819421"/>
      </bottom>
      <diagonal/>
    </border>
    <border>
      <left style="thin">
        <color theme="0" tint="-0.14981536301767021"/>
      </left>
      <right style="thin">
        <color theme="0" tint="-0.1498764000366222"/>
      </right>
      <top style="thin">
        <color theme="0" tint="-0.24994659260841701"/>
      </top>
      <bottom style="thin">
        <color theme="0" tint="-0.14978484450819421"/>
      </bottom>
      <diagonal/>
    </border>
    <border>
      <left/>
      <right/>
      <top style="thin">
        <color indexed="22"/>
      </top>
      <bottom/>
      <diagonal/>
    </border>
    <border>
      <left style="thin">
        <color rgb="FF808080"/>
      </left>
      <right style="thin">
        <color rgb="FF808080"/>
      </right>
      <top style="thin">
        <color rgb="FF808080"/>
      </top>
      <bottom style="thin">
        <color rgb="FF808080"/>
      </bottom>
      <diagonal/>
    </border>
    <border>
      <left/>
      <right/>
      <top/>
      <bottom style="thin">
        <color indexed="64"/>
      </bottom>
      <diagonal/>
    </border>
    <border>
      <left/>
      <right/>
      <top style="thick">
        <color indexed="22"/>
      </top>
      <bottom/>
      <diagonal/>
    </border>
    <border>
      <left style="thin">
        <color indexed="22"/>
      </left>
      <right/>
      <top style="thin">
        <color indexed="22"/>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22"/>
      </right>
      <top style="thin">
        <color theme="0" tint="-0.24994659260841701"/>
      </top>
      <bottom style="thin">
        <color theme="0" tint="-0.24994659260841701"/>
      </bottom>
      <diagonal/>
    </border>
    <border>
      <left/>
      <right/>
      <top/>
      <bottom style="thin">
        <color indexed="22"/>
      </bottom>
      <diagonal/>
    </border>
    <border>
      <left style="thin">
        <color theme="0" tint="-0.24994659260841701"/>
      </left>
      <right style="thin">
        <color theme="0" tint="-0.24994659260841701"/>
      </right>
      <top/>
      <bottom style="thin">
        <color theme="0" tint="-0.24994659260841701"/>
      </bottom>
      <diagonal/>
    </border>
    <border>
      <left style="thin">
        <color indexed="22"/>
      </left>
      <right style="thin">
        <color theme="0" tint="-0.24994659260841701"/>
      </right>
      <top style="thin">
        <color indexed="22"/>
      </top>
      <bottom/>
      <diagonal/>
    </border>
    <border>
      <left style="thin">
        <color indexed="22"/>
      </left>
      <right style="thin">
        <color theme="0" tint="-0.24994659260841701"/>
      </right>
      <top/>
      <bottom/>
      <diagonal/>
    </border>
    <border>
      <left style="thin">
        <color indexed="22"/>
      </left>
      <right style="thin">
        <color theme="0" tint="-0.24994659260841701"/>
      </right>
      <top/>
      <bottom style="thin">
        <color theme="0" tint="-0.24994659260841701"/>
      </bottom>
      <diagonal/>
    </border>
    <border>
      <left style="thin">
        <color indexed="22"/>
      </left>
      <right/>
      <top/>
      <bottom style="thin">
        <color theme="0" tint="-0.24994659260841701"/>
      </bottom>
      <diagonal/>
    </border>
    <border>
      <left style="thin">
        <color indexed="22"/>
      </left>
      <right style="thin">
        <color theme="0" tint="-0.24994659260841701"/>
      </right>
      <top/>
      <bottom style="thin">
        <color indexed="22"/>
      </bottom>
      <diagonal/>
    </border>
    <border>
      <left style="thin">
        <color indexed="22"/>
      </left>
      <right style="thin">
        <color indexed="22"/>
      </right>
      <top/>
      <bottom style="thin">
        <color theme="0" tint="-0.24994659260841701"/>
      </bottom>
      <diagonal/>
    </border>
    <border>
      <left/>
      <right/>
      <top style="thin">
        <color theme="0" tint="-0.24994659260841701"/>
      </top>
      <bottom style="thin">
        <color indexed="22"/>
      </bottom>
      <diagonal/>
    </border>
    <border>
      <left/>
      <right/>
      <top style="thin">
        <color indexed="22"/>
      </top>
      <bottom style="thin">
        <color indexed="22"/>
      </bottom>
      <diagonal/>
    </border>
    <border>
      <left style="thin">
        <color indexed="22"/>
      </left>
      <right/>
      <top/>
      <bottom style="thick">
        <color indexed="22"/>
      </bottom>
      <diagonal/>
    </border>
    <border>
      <left/>
      <right style="thin">
        <color indexed="22"/>
      </right>
      <top/>
      <bottom style="thin">
        <color theme="0" tint="-0.24994659260841701"/>
      </bottom>
      <diagonal/>
    </border>
    <border>
      <left style="thin">
        <color theme="1" tint="0.499984740745262"/>
      </left>
      <right style="thin">
        <color theme="1" tint="0.499984740745262"/>
      </right>
      <top style="thin">
        <color theme="1" tint="0.499984740745262"/>
      </top>
      <bottom style="thin">
        <color theme="0" tint="-0.499984740745262"/>
      </bottom>
      <diagonal/>
    </border>
    <border>
      <left style="thin">
        <color indexed="64"/>
      </left>
      <right/>
      <top style="thin">
        <color indexed="64"/>
      </top>
      <bottom/>
      <diagonal/>
    </border>
    <border>
      <left/>
      <right/>
      <top style="hair">
        <color indexed="22"/>
      </top>
      <bottom/>
      <diagonal/>
    </border>
    <border>
      <left/>
      <right style="thin">
        <color indexed="64"/>
      </right>
      <top style="hair">
        <color indexed="22"/>
      </top>
      <bottom/>
      <diagonal/>
    </border>
    <border>
      <left style="thin">
        <color indexed="64"/>
      </left>
      <right/>
      <top/>
      <bottom/>
      <diagonal/>
    </border>
    <border>
      <left/>
      <right style="thin">
        <color indexed="64"/>
      </right>
      <top/>
      <bottom/>
      <diagonal/>
    </border>
    <border>
      <left/>
      <right/>
      <top style="hair">
        <color indexed="22"/>
      </top>
      <bottom style="hair">
        <color indexed="22"/>
      </bottom>
      <diagonal/>
    </border>
    <border>
      <left style="thin">
        <color indexed="64"/>
      </left>
      <right/>
      <top style="hair">
        <color indexed="22"/>
      </top>
      <bottom style="hair">
        <color indexed="22"/>
      </bottom>
      <diagonal/>
    </border>
    <border>
      <left/>
      <right style="thin">
        <color indexed="64"/>
      </right>
      <top style="hair">
        <color indexed="22"/>
      </top>
      <bottom style="hair">
        <color indexed="22"/>
      </bottom>
      <diagonal/>
    </border>
    <border>
      <left/>
      <right/>
      <top/>
      <bottom style="hair">
        <color indexed="22"/>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bottom style="medium">
        <color rgb="FF002060"/>
      </bottom>
      <diagonal/>
    </border>
    <border>
      <left/>
      <right/>
      <top/>
      <bottom style="thick">
        <color rgb="FF000000"/>
      </bottom>
      <diagonal/>
    </border>
    <border>
      <left/>
      <right/>
      <top/>
      <bottom style="dotted">
        <color indexed="64"/>
      </bottom>
      <diagonal/>
    </border>
    <border>
      <left/>
      <right/>
      <top/>
      <bottom style="thick">
        <color indexed="64"/>
      </bottom>
      <diagonal/>
    </border>
    <border>
      <left/>
      <right/>
      <top style="medium">
        <color indexed="64"/>
      </top>
      <bottom style="medium">
        <color indexed="64"/>
      </bottom>
      <diagonal/>
    </border>
    <border>
      <left/>
      <right/>
      <top/>
      <bottom style="medium">
        <color rgb="FF000000"/>
      </bottom>
      <diagonal/>
    </border>
    <border>
      <left/>
      <right/>
      <top/>
      <bottom style="dotted">
        <color rgb="FF000000"/>
      </bottom>
      <diagonal/>
    </border>
    <border>
      <left/>
      <right/>
      <top style="medium">
        <color rgb="FF002060"/>
      </top>
      <bottom style="medium">
        <color rgb="FF002060"/>
      </bottom>
      <diagonal/>
    </border>
    <border>
      <left/>
      <right/>
      <top style="medium">
        <color rgb="FF000000"/>
      </top>
      <bottom style="medium">
        <color rgb="FF000000"/>
      </bottom>
      <diagonal/>
    </border>
    <border>
      <left/>
      <right/>
      <top style="thick">
        <color indexed="64"/>
      </top>
      <bottom/>
      <diagonal/>
    </border>
    <border>
      <left/>
      <right/>
      <top style="dotted">
        <color indexed="64"/>
      </top>
      <bottom/>
      <diagonal/>
    </border>
    <border>
      <left/>
      <right/>
      <top style="medium">
        <color indexed="64"/>
      </top>
      <bottom/>
      <diagonal/>
    </border>
    <border>
      <left/>
      <right/>
      <top style="dotted">
        <color indexed="64"/>
      </top>
      <bottom style="dotted">
        <color indexed="64"/>
      </bottom>
      <diagonal/>
    </border>
  </borders>
  <cellStyleXfs count="47">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4" fillId="0" borderId="0"/>
    <xf numFmtId="164" fontId="4" fillId="0" borderId="0" applyFont="0" applyFill="0" applyBorder="0" applyAlignment="0" applyProtection="0"/>
    <xf numFmtId="0" fontId="4" fillId="0" borderId="0"/>
    <xf numFmtId="166" fontId="4" fillId="0" borderId="0" applyFont="0" applyFill="0" applyBorder="0" applyAlignment="0" applyProtection="0"/>
    <xf numFmtId="167" fontId="4" fillId="0" borderId="0" applyFont="0" applyFill="0" applyBorder="0" applyAlignment="0" applyProtection="0"/>
    <xf numFmtId="0" fontId="14" fillId="0" borderId="0"/>
    <xf numFmtId="0" fontId="4" fillId="0" borderId="0"/>
    <xf numFmtId="0" fontId="1" fillId="0" borderId="0"/>
    <xf numFmtId="0" fontId="14" fillId="0" borderId="0"/>
    <xf numFmtId="41" fontId="4" fillId="0" borderId="0" applyFont="0" applyFill="0" applyBorder="0" applyAlignment="0" applyProtection="0"/>
    <xf numFmtId="166" fontId="1" fillId="0" borderId="0" applyFont="0" applyFill="0" applyBorder="0" applyAlignment="0" applyProtection="0"/>
    <xf numFmtId="0" fontId="4"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 fillId="0" borderId="0"/>
    <xf numFmtId="166" fontId="1" fillId="0" borderId="0" applyFont="0" applyFill="0" applyBorder="0" applyAlignment="0" applyProtection="0"/>
    <xf numFmtId="167" fontId="4" fillId="0" borderId="0" applyFont="0" applyFill="0" applyBorder="0" applyAlignment="0" applyProtection="0"/>
    <xf numFmtId="0" fontId="1" fillId="0" borderId="0"/>
    <xf numFmtId="0" fontId="4" fillId="0" borderId="0"/>
    <xf numFmtId="164" fontId="14"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167" fontId="4" fillId="0" borderId="0" applyFont="0" applyFill="0" applyBorder="0" applyAlignment="0" applyProtection="0"/>
    <xf numFmtId="0" fontId="4" fillId="0" borderId="0"/>
    <xf numFmtId="164" fontId="1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cellStyleXfs>
  <cellXfs count="1234">
    <xf numFmtId="0" fontId="0" fillId="0" borderId="0" xfId="0"/>
    <xf numFmtId="0" fontId="5" fillId="0" borderId="0" xfId="5" applyFont="1" applyAlignment="1">
      <alignment horizontal="center" vertical="center" wrapText="1"/>
    </xf>
    <xf numFmtId="0" fontId="4" fillId="0" borderId="0" xfId="5" applyAlignment="1">
      <alignment horizontal="left" vertical="center" wrapText="1"/>
    </xf>
    <xf numFmtId="0" fontId="4" fillId="0" borderId="0" xfId="5" applyAlignment="1">
      <alignment horizontal="center" vertical="center" wrapText="1"/>
    </xf>
    <xf numFmtId="49" fontId="6" fillId="2" borderId="2" xfId="5" applyNumberFormat="1" applyFont="1" applyFill="1" applyBorder="1" applyAlignment="1">
      <alignment horizontal="center" vertical="center" wrapText="1"/>
    </xf>
    <xf numFmtId="49" fontId="6" fillId="2" borderId="0" xfId="5" applyNumberFormat="1" applyFont="1" applyFill="1" applyAlignment="1">
      <alignment horizontal="center" vertical="center" wrapText="1"/>
    </xf>
    <xf numFmtId="49" fontId="6" fillId="0" borderId="0" xfId="5" applyNumberFormat="1" applyFont="1" applyAlignment="1">
      <alignment horizontal="center" vertical="center" wrapText="1"/>
    </xf>
    <xf numFmtId="17" fontId="7" fillId="2" borderId="3" xfId="5" applyNumberFormat="1" applyFont="1" applyFill="1" applyBorder="1" applyAlignment="1">
      <alignment horizontal="center" vertical="center" wrapText="1"/>
    </xf>
    <xf numFmtId="17" fontId="7" fillId="0" borderId="0" xfId="5" applyNumberFormat="1" applyFont="1" applyAlignment="1">
      <alignment horizontal="center" vertical="center" wrapText="1"/>
    </xf>
    <xf numFmtId="17" fontId="7" fillId="2" borderId="3" xfId="5" quotePrefix="1" applyNumberFormat="1" applyFont="1" applyFill="1" applyBorder="1" applyAlignment="1">
      <alignment horizontal="center" vertical="center" wrapText="1"/>
    </xf>
    <xf numFmtId="0" fontId="4" fillId="0" borderId="0" xfId="5" applyAlignment="1">
      <alignment horizontal="right" vertical="center" wrapText="1"/>
    </xf>
    <xf numFmtId="0" fontId="8" fillId="0" borderId="0" xfId="5" applyFont="1" applyAlignment="1" applyProtection="1">
      <alignment horizontal="left" vertical="center" wrapText="1"/>
      <protection locked="0"/>
    </xf>
    <xf numFmtId="165" fontId="4" fillId="0" borderId="0" xfId="1" applyNumberFormat="1" applyFont="1" applyFill="1" applyBorder="1" applyAlignment="1">
      <alignment horizontal="right" vertical="center" wrapText="1"/>
    </xf>
    <xf numFmtId="165" fontId="4" fillId="0" borderId="0" xfId="1" applyNumberFormat="1" applyFont="1" applyFill="1" applyAlignment="1">
      <alignment horizontal="left" vertical="center" wrapText="1"/>
    </xf>
    <xf numFmtId="165" fontId="4" fillId="0" borderId="0" xfId="5" applyNumberFormat="1" applyAlignment="1">
      <alignment horizontal="left" vertical="center" wrapText="1"/>
    </xf>
    <xf numFmtId="165" fontId="4" fillId="3" borderId="0" xfId="1" applyNumberFormat="1" applyFont="1" applyFill="1" applyAlignment="1">
      <alignment horizontal="left" vertical="center" wrapText="1"/>
    </xf>
    <xf numFmtId="165" fontId="4" fillId="0" borderId="0" xfId="1" applyNumberFormat="1" applyFont="1" applyAlignment="1">
      <alignment horizontal="left" vertical="center" wrapText="1"/>
    </xf>
    <xf numFmtId="0" fontId="5" fillId="0" borderId="0" xfId="5" applyFont="1" applyAlignment="1">
      <alignment horizontal="left" vertical="center" wrapText="1"/>
    </xf>
    <xf numFmtId="3" fontId="5" fillId="0" borderId="0" xfId="5" applyNumberFormat="1" applyFont="1" applyAlignment="1">
      <alignment horizontal="right" vertical="center" wrapText="1"/>
    </xf>
    <xf numFmtId="3" fontId="5" fillId="3" borderId="0" xfId="5" applyNumberFormat="1" applyFont="1" applyFill="1" applyAlignment="1">
      <alignment horizontal="right" vertical="center" wrapText="1"/>
    </xf>
    <xf numFmtId="3" fontId="4" fillId="0" borderId="0" xfId="5" applyNumberFormat="1" applyAlignment="1">
      <alignment horizontal="right" vertical="center" wrapText="1"/>
    </xf>
    <xf numFmtId="0" fontId="8" fillId="0" borderId="0" xfId="5" applyFont="1" applyAlignment="1" applyProtection="1">
      <alignment horizontal="left"/>
      <protection locked="0"/>
    </xf>
    <xf numFmtId="165" fontId="4" fillId="0" borderId="0" xfId="6" applyNumberFormat="1" applyFont="1" applyFill="1" applyBorder="1" applyAlignment="1">
      <alignment horizontal="right" vertical="center" wrapText="1"/>
    </xf>
    <xf numFmtId="165" fontId="4" fillId="0" borderId="0" xfId="1" applyNumberFormat="1" applyFont="1" applyBorder="1" applyAlignment="1">
      <alignment horizontal="right" vertical="center" wrapText="1"/>
    </xf>
    <xf numFmtId="0" fontId="5" fillId="4" borderId="0" xfId="5" applyFont="1" applyFill="1" applyAlignment="1">
      <alignment horizontal="left" vertical="center" wrapText="1"/>
    </xf>
    <xf numFmtId="3" fontId="5" fillId="4" borderId="0" xfId="5" applyNumberFormat="1" applyFont="1" applyFill="1" applyAlignment="1">
      <alignment horizontal="right" vertical="center" wrapText="1"/>
    </xf>
    <xf numFmtId="0" fontId="4" fillId="4" borderId="0" xfId="5" applyFill="1" applyAlignment="1">
      <alignment horizontal="left" vertical="center" wrapText="1"/>
    </xf>
    <xf numFmtId="0" fontId="9" fillId="4" borderId="0" xfId="5" applyFont="1" applyFill="1" applyAlignment="1">
      <alignment horizontal="left" vertical="center" wrapText="1"/>
    </xf>
    <xf numFmtId="3" fontId="9" fillId="4" borderId="0" xfId="5" applyNumberFormat="1" applyFont="1" applyFill="1" applyAlignment="1">
      <alignment horizontal="right" vertical="center" wrapText="1"/>
    </xf>
    <xf numFmtId="0" fontId="10" fillId="4" borderId="0" xfId="5" applyFont="1" applyFill="1" applyAlignment="1">
      <alignment horizontal="left" vertical="center" wrapText="1"/>
    </xf>
    <xf numFmtId="3" fontId="9" fillId="0" borderId="0" xfId="5" applyNumberFormat="1" applyFont="1" applyAlignment="1">
      <alignment horizontal="right" vertical="center" wrapText="1"/>
    </xf>
    <xf numFmtId="3" fontId="9" fillId="3" borderId="0" xfId="5" applyNumberFormat="1" applyFont="1" applyFill="1" applyAlignment="1">
      <alignment horizontal="right" vertical="center" wrapText="1"/>
    </xf>
    <xf numFmtId="3" fontId="4" fillId="0" borderId="0" xfId="5" applyNumberFormat="1" applyAlignment="1">
      <alignment horizontal="left" vertical="center" wrapText="1"/>
    </xf>
    <xf numFmtId="0" fontId="4" fillId="0" borderId="0" xfId="7" applyProtection="1">
      <protection locked="0"/>
    </xf>
    <xf numFmtId="165" fontId="4" fillId="3" borderId="0" xfId="5" applyNumberFormat="1" applyFill="1" applyAlignment="1">
      <alignment horizontal="left" vertical="center" wrapText="1"/>
    </xf>
    <xf numFmtId="165" fontId="5" fillId="4" borderId="0" xfId="1" applyNumberFormat="1" applyFont="1" applyFill="1" applyBorder="1" applyAlignment="1">
      <alignment horizontal="right" vertical="center" wrapText="1"/>
    </xf>
    <xf numFmtId="165" fontId="5" fillId="0" borderId="0" xfId="1" applyNumberFormat="1" applyFont="1" applyFill="1" applyBorder="1" applyAlignment="1">
      <alignment horizontal="right" vertical="center" wrapText="1"/>
    </xf>
    <xf numFmtId="43" fontId="4" fillId="0" borderId="0" xfId="1" applyFont="1" applyBorder="1" applyAlignment="1">
      <alignment horizontal="left" vertical="center" wrapText="1"/>
    </xf>
    <xf numFmtId="43" fontId="4" fillId="0" borderId="0" xfId="1" applyFont="1" applyBorder="1" applyAlignment="1">
      <alignment horizontal="right" vertical="center" wrapText="1"/>
    </xf>
    <xf numFmtId="43" fontId="4" fillId="0" borderId="0" xfId="1" applyFont="1" applyFill="1" applyBorder="1" applyAlignment="1">
      <alignment horizontal="left" vertical="center" wrapText="1"/>
    </xf>
    <xf numFmtId="43" fontId="4" fillId="0" borderId="0" xfId="1" applyFont="1" applyAlignment="1">
      <alignment horizontal="left" vertical="center" wrapText="1"/>
    </xf>
    <xf numFmtId="43" fontId="4" fillId="0" borderId="0" xfId="1" applyFont="1" applyFill="1" applyAlignment="1">
      <alignment horizontal="left" vertical="center" wrapText="1"/>
    </xf>
    <xf numFmtId="166" fontId="4" fillId="0" borderId="0" xfId="5" applyNumberFormat="1" applyAlignment="1">
      <alignment horizontal="right" vertical="center" wrapText="1"/>
    </xf>
    <xf numFmtId="43" fontId="4" fillId="0" borderId="0" xfId="1" applyFont="1" applyFill="1" applyBorder="1" applyAlignment="1">
      <alignment horizontal="right" vertical="center" wrapText="1"/>
    </xf>
    <xf numFmtId="166" fontId="4" fillId="0" borderId="0" xfId="5" applyNumberFormat="1" applyAlignment="1">
      <alignment horizontal="left" vertical="center" wrapText="1"/>
    </xf>
    <xf numFmtId="0" fontId="11" fillId="0" borderId="0" xfId="7" applyFont="1"/>
    <xf numFmtId="165" fontId="12" fillId="0" borderId="0" xfId="8" applyNumberFormat="1" applyFont="1" applyFill="1" applyBorder="1"/>
    <xf numFmtId="0" fontId="12" fillId="0" borderId="0" xfId="7" applyFont="1"/>
    <xf numFmtId="168" fontId="13" fillId="0" borderId="0" xfId="9" applyNumberFormat="1" applyFont="1" applyFill="1" applyBorder="1"/>
    <xf numFmtId="165" fontId="11" fillId="0" borderId="0" xfId="8" applyNumberFormat="1" applyFont="1" applyFill="1" applyBorder="1"/>
    <xf numFmtId="0" fontId="15" fillId="0" borderId="0" xfId="10" applyFont="1" applyAlignment="1">
      <alignment horizontal="center" vertical="center" wrapText="1"/>
    </xf>
    <xf numFmtId="0" fontId="8" fillId="0" borderId="0" xfId="10" applyFont="1" applyAlignment="1">
      <alignment vertical="center" wrapText="1"/>
    </xf>
    <xf numFmtId="0" fontId="4" fillId="0" borderId="0" xfId="5" applyAlignment="1">
      <alignment vertical="center" wrapText="1"/>
    </xf>
    <xf numFmtId="0" fontId="8" fillId="0" borderId="0" xfId="10" applyFont="1" applyAlignment="1">
      <alignment horizontal="center" vertical="center" wrapText="1"/>
    </xf>
    <xf numFmtId="17" fontId="7" fillId="2" borderId="0" xfId="5" applyNumberFormat="1" applyFont="1" applyFill="1" applyAlignment="1">
      <alignment horizontal="center" vertical="center" wrapText="1"/>
    </xf>
    <xf numFmtId="0" fontId="8" fillId="0" borderId="0" xfId="10" applyFont="1" applyAlignment="1">
      <alignment horizontal="right" vertical="center" wrapText="1"/>
    </xf>
    <xf numFmtId="0" fontId="15" fillId="0" borderId="0" xfId="10" applyFont="1" applyAlignment="1">
      <alignment vertical="center" wrapText="1"/>
    </xf>
    <xf numFmtId="165" fontId="5" fillId="4" borderId="0" xfId="6" applyNumberFormat="1" applyFont="1" applyFill="1" applyBorder="1" applyAlignment="1">
      <alignment horizontal="right" vertical="center" wrapText="1"/>
    </xf>
    <xf numFmtId="0" fontId="8" fillId="4" borderId="0" xfId="10" applyFont="1" applyFill="1" applyAlignment="1">
      <alignment horizontal="right" vertical="center" wrapText="1"/>
    </xf>
    <xf numFmtId="165" fontId="5" fillId="0" borderId="0" xfId="6" applyNumberFormat="1" applyFont="1" applyFill="1" applyBorder="1" applyAlignment="1">
      <alignment horizontal="right" vertical="center" wrapText="1"/>
    </xf>
    <xf numFmtId="165" fontId="8" fillId="0" borderId="0" xfId="10" applyNumberFormat="1" applyFont="1" applyAlignment="1">
      <alignment vertical="center" wrapText="1"/>
    </xf>
    <xf numFmtId="0" fontId="9" fillId="4" borderId="0" xfId="10" applyFont="1" applyFill="1" applyAlignment="1">
      <alignment vertical="center" wrapText="1"/>
    </xf>
    <xf numFmtId="165" fontId="9" fillId="4" borderId="0" xfId="6" applyNumberFormat="1" applyFont="1" applyFill="1" applyBorder="1" applyAlignment="1">
      <alignment horizontal="right" vertical="center" wrapText="1"/>
    </xf>
    <xf numFmtId="165" fontId="9" fillId="0" borderId="0" xfId="6" applyNumberFormat="1" applyFont="1" applyFill="1" applyBorder="1" applyAlignment="1">
      <alignment horizontal="right" vertical="center" wrapText="1"/>
    </xf>
    <xf numFmtId="0" fontId="8" fillId="0" borderId="0" xfId="10" applyFont="1" applyAlignment="1">
      <alignment horizontal="left" vertical="center" wrapText="1" indent="1"/>
    </xf>
    <xf numFmtId="165" fontId="4" fillId="5" borderId="0" xfId="6" applyNumberFormat="1" applyFont="1" applyFill="1" applyBorder="1" applyAlignment="1">
      <alignment horizontal="right" vertical="center" wrapText="1"/>
    </xf>
    <xf numFmtId="3" fontId="4" fillId="0" borderId="0" xfId="10" applyNumberFormat="1" applyFont="1" applyAlignment="1">
      <alignment horizontal="right" vertical="center" wrapText="1"/>
    </xf>
    <xf numFmtId="165" fontId="15" fillId="0" borderId="0" xfId="6" applyNumberFormat="1" applyFont="1" applyFill="1" applyBorder="1" applyAlignment="1">
      <alignment horizontal="right" vertical="center" wrapText="1"/>
    </xf>
    <xf numFmtId="165" fontId="8" fillId="0" borderId="0" xfId="6" applyNumberFormat="1" applyFont="1" applyFill="1" applyBorder="1" applyAlignment="1">
      <alignment horizontal="right" vertical="center" wrapText="1"/>
    </xf>
    <xf numFmtId="37" fontId="15" fillId="0" borderId="0" xfId="10" applyNumberFormat="1" applyFont="1" applyAlignment="1">
      <alignment horizontal="right" vertical="center" wrapText="1"/>
    </xf>
    <xf numFmtId="37" fontId="5" fillId="0" borderId="0" xfId="10" applyNumberFormat="1" applyFont="1" applyAlignment="1">
      <alignment horizontal="right" vertical="center" wrapText="1"/>
    </xf>
    <xf numFmtId="37" fontId="15" fillId="0" borderId="0" xfId="10" applyNumberFormat="1" applyFont="1" applyAlignment="1">
      <alignment vertical="center" wrapText="1"/>
    </xf>
    <xf numFmtId="0" fontId="16" fillId="0" borderId="0" xfId="10" applyFont="1" applyAlignment="1">
      <alignment vertical="center" wrapText="1"/>
    </xf>
    <xf numFmtId="9" fontId="16" fillId="0" borderId="0" xfId="3" applyFont="1" applyFill="1" applyBorder="1" applyAlignment="1">
      <alignment horizontal="right" vertical="center" wrapText="1"/>
    </xf>
    <xf numFmtId="0" fontId="4" fillId="0" borderId="0" xfId="10" applyFont="1" applyAlignment="1">
      <alignment horizontal="left" vertical="center" wrapText="1" indent="1"/>
    </xf>
    <xf numFmtId="165" fontId="4" fillId="0" borderId="0" xfId="6" applyNumberFormat="1" applyFont="1" applyFill="1" applyBorder="1" applyAlignment="1">
      <alignment horizontal="right" vertical="center"/>
    </xf>
    <xf numFmtId="3" fontId="17" fillId="0" borderId="0" xfId="10" applyNumberFormat="1" applyFont="1" applyAlignment="1">
      <alignment horizontal="right" vertical="center" wrapText="1"/>
    </xf>
    <xf numFmtId="0" fontId="9" fillId="0" borderId="0" xfId="10" applyFont="1" applyAlignment="1">
      <alignment vertical="center" wrapText="1"/>
    </xf>
    <xf numFmtId="37" fontId="9" fillId="0" borderId="0" xfId="10" applyNumberFormat="1" applyFont="1" applyAlignment="1">
      <alignment horizontal="right" vertical="center" wrapText="1"/>
    </xf>
    <xf numFmtId="0" fontId="18" fillId="0" borderId="0" xfId="10" applyFont="1" applyAlignment="1">
      <alignment vertical="center" wrapText="1"/>
    </xf>
    <xf numFmtId="9" fontId="18" fillId="0" borderId="0" xfId="3" applyFont="1" applyFill="1" applyBorder="1" applyAlignment="1">
      <alignment horizontal="right" vertical="center" wrapText="1"/>
    </xf>
    <xf numFmtId="0" fontId="4" fillId="0" borderId="0" xfId="10" applyFont="1" applyAlignment="1">
      <alignment horizontal="right" vertical="center" wrapText="1"/>
    </xf>
    <xf numFmtId="3" fontId="8" fillId="0" borderId="0" xfId="10" applyNumberFormat="1" applyFont="1" applyAlignment="1">
      <alignment horizontal="right" vertical="center" wrapText="1"/>
    </xf>
    <xf numFmtId="0" fontId="15" fillId="4" borderId="0" xfId="10" applyFont="1" applyFill="1" applyAlignment="1">
      <alignment horizontal="left" vertical="center" wrapText="1"/>
    </xf>
    <xf numFmtId="3" fontId="15" fillId="4" borderId="0" xfId="10" applyNumberFormat="1" applyFont="1" applyFill="1" applyAlignment="1">
      <alignment horizontal="right" vertical="center" wrapText="1"/>
    </xf>
    <xf numFmtId="3" fontId="15" fillId="0" borderId="0" xfId="10" applyNumberFormat="1" applyFont="1" applyAlignment="1">
      <alignment horizontal="right" vertical="center" wrapText="1"/>
    </xf>
    <xf numFmtId="0" fontId="9" fillId="4" borderId="0" xfId="10" applyFont="1" applyFill="1" applyAlignment="1">
      <alignment horizontal="left" vertical="center" wrapText="1"/>
    </xf>
    <xf numFmtId="3" fontId="9" fillId="4" borderId="0" xfId="10" applyNumberFormat="1" applyFont="1" applyFill="1" applyAlignment="1">
      <alignment horizontal="right" vertical="center" wrapText="1"/>
    </xf>
    <xf numFmtId="3" fontId="9" fillId="0" borderId="0" xfId="10" applyNumberFormat="1" applyFont="1" applyAlignment="1">
      <alignment horizontal="right" vertical="center" wrapText="1"/>
    </xf>
    <xf numFmtId="0" fontId="18" fillId="4" borderId="0" xfId="10" applyFont="1" applyFill="1" applyAlignment="1">
      <alignment horizontal="left" vertical="center" wrapText="1" indent="1"/>
    </xf>
    <xf numFmtId="9" fontId="18" fillId="4" borderId="0" xfId="3" applyFont="1" applyFill="1" applyBorder="1" applyAlignment="1">
      <alignment horizontal="right" vertical="center" wrapText="1"/>
    </xf>
    <xf numFmtId="0" fontId="4" fillId="4" borderId="0" xfId="10" applyFont="1" applyFill="1" applyAlignment="1">
      <alignment horizontal="right" vertical="center" wrapText="1"/>
    </xf>
    <xf numFmtId="0" fontId="4" fillId="6" borderId="0" xfId="11" applyFill="1" applyAlignment="1">
      <alignment horizontal="left" vertical="center" indent="1"/>
    </xf>
    <xf numFmtId="37" fontId="4" fillId="0" borderId="0" xfId="10" applyNumberFormat="1" applyFont="1" applyAlignment="1">
      <alignment horizontal="right" vertical="center" wrapText="1"/>
    </xf>
    <xf numFmtId="0" fontId="4" fillId="0" borderId="0" xfId="10" applyFont="1" applyAlignment="1">
      <alignment horizontal="right" vertical="center"/>
    </xf>
    <xf numFmtId="0" fontId="8" fillId="0" borderId="0" xfId="10" applyFont="1" applyAlignment="1">
      <alignment vertical="center"/>
    </xf>
    <xf numFmtId="0" fontId="4" fillId="0" borderId="0" xfId="0" applyFont="1" applyAlignment="1" applyProtection="1">
      <alignment horizontal="left"/>
      <protection locked="0"/>
    </xf>
    <xf numFmtId="0" fontId="4" fillId="0" borderId="0" xfId="11" applyAlignment="1">
      <alignment horizontal="left" vertical="center" indent="1"/>
    </xf>
    <xf numFmtId="165" fontId="15" fillId="0" borderId="0" xfId="10" applyNumberFormat="1" applyFont="1" applyAlignment="1">
      <alignment vertical="center" wrapText="1"/>
    </xf>
    <xf numFmtId="0" fontId="10" fillId="0" borderId="0" xfId="10" applyFont="1" applyAlignment="1">
      <alignment vertical="center" wrapText="1"/>
    </xf>
    <xf numFmtId="0" fontId="19" fillId="0" borderId="0" xfId="10" applyFont="1" applyAlignment="1">
      <alignment vertical="center" wrapText="1"/>
    </xf>
    <xf numFmtId="169" fontId="19" fillId="0" borderId="0" xfId="3" applyNumberFormat="1" applyFont="1" applyFill="1" applyBorder="1" applyAlignment="1">
      <alignment horizontal="right" vertical="center" wrapText="1"/>
    </xf>
    <xf numFmtId="169" fontId="20" fillId="0" borderId="0" xfId="3" applyNumberFormat="1" applyFont="1" applyFill="1" applyBorder="1" applyAlignment="1">
      <alignment horizontal="right" vertical="center" wrapText="1"/>
    </xf>
    <xf numFmtId="37" fontId="21" fillId="0" borderId="0" xfId="10" applyNumberFormat="1" applyFont="1" applyAlignment="1">
      <alignment horizontal="right" vertical="center" wrapText="1"/>
    </xf>
    <xf numFmtId="0" fontId="5" fillId="4" borderId="0" xfId="11" applyFont="1" applyFill="1" applyAlignment="1">
      <alignment horizontal="left" vertical="center" indent="1"/>
    </xf>
    <xf numFmtId="165" fontId="22" fillId="4" borderId="0" xfId="6" applyNumberFormat="1" applyFont="1" applyFill="1" applyBorder="1" applyAlignment="1">
      <alignment horizontal="right" vertical="center" wrapText="1"/>
    </xf>
    <xf numFmtId="165" fontId="22" fillId="0" borderId="0" xfId="6" applyNumberFormat="1" applyFont="1" applyFill="1" applyBorder="1" applyAlignment="1">
      <alignment horizontal="right" vertical="center" wrapText="1"/>
    </xf>
    <xf numFmtId="0" fontId="9" fillId="4" borderId="0" xfId="11" applyFont="1" applyFill="1" applyAlignment="1">
      <alignment horizontal="left" vertical="center" indent="1"/>
    </xf>
    <xf numFmtId="0" fontId="18" fillId="4" borderId="0" xfId="10" applyFont="1" applyFill="1" applyAlignment="1">
      <alignment vertical="center" wrapText="1"/>
    </xf>
    <xf numFmtId="3" fontId="15" fillId="0" borderId="0" xfId="10" applyNumberFormat="1" applyFont="1" applyAlignment="1">
      <alignment vertical="center" wrapText="1"/>
    </xf>
    <xf numFmtId="37" fontId="10" fillId="0" borderId="0" xfId="10" applyNumberFormat="1" applyFont="1" applyAlignment="1">
      <alignment vertical="center" wrapText="1"/>
    </xf>
    <xf numFmtId="37" fontId="10" fillId="0" borderId="0" xfId="10" applyNumberFormat="1" applyFont="1" applyAlignment="1">
      <alignment horizontal="right" vertical="center" wrapText="1"/>
    </xf>
    <xf numFmtId="39" fontId="10" fillId="0" borderId="0" xfId="10" applyNumberFormat="1" applyFont="1" applyAlignment="1">
      <alignment horizontal="right" vertical="center" wrapText="1"/>
    </xf>
    <xf numFmtId="0" fontId="15" fillId="4" borderId="0" xfId="10" applyFont="1" applyFill="1" applyAlignment="1">
      <alignment vertical="center" wrapText="1"/>
    </xf>
    <xf numFmtId="165" fontId="8" fillId="0" borderId="0" xfId="6" applyNumberFormat="1" applyFont="1" applyFill="1" applyBorder="1" applyAlignment="1">
      <alignment vertical="center" wrapText="1"/>
    </xf>
    <xf numFmtId="165" fontId="15" fillId="0" borderId="0" xfId="6" applyNumberFormat="1" applyFont="1" applyFill="1" applyBorder="1" applyAlignment="1">
      <alignment vertical="center" wrapText="1"/>
    </xf>
    <xf numFmtId="165" fontId="15" fillId="0" borderId="0" xfId="10" applyNumberFormat="1" applyFont="1" applyAlignment="1">
      <alignment horizontal="right" vertical="center" wrapText="1"/>
    </xf>
    <xf numFmtId="0" fontId="15" fillId="0" borderId="0" xfId="10" applyFont="1" applyAlignment="1">
      <alignment horizontal="right" vertical="center" wrapText="1"/>
    </xf>
    <xf numFmtId="165" fontId="8" fillId="0" borderId="0" xfId="10" applyNumberFormat="1" applyFont="1" applyAlignment="1">
      <alignment horizontal="right" vertical="center" wrapText="1"/>
    </xf>
    <xf numFmtId="37" fontId="8" fillId="0" borderId="0" xfId="10" applyNumberFormat="1" applyFont="1" applyAlignment="1">
      <alignment vertical="center" wrapText="1"/>
    </xf>
    <xf numFmtId="41" fontId="8" fillId="0" borderId="0" xfId="2" applyFont="1" applyFill="1" applyBorder="1" applyAlignment="1">
      <alignment vertical="center" wrapText="1"/>
    </xf>
    <xf numFmtId="41" fontId="8" fillId="0" borderId="0" xfId="2" applyFont="1" applyFill="1" applyBorder="1" applyAlignment="1">
      <alignment horizontal="right" vertical="center" wrapText="1"/>
    </xf>
    <xf numFmtId="41" fontId="8" fillId="0" borderId="0" xfId="2" applyFont="1" applyAlignment="1">
      <alignment vertical="center" wrapText="1"/>
    </xf>
    <xf numFmtId="41" fontId="8" fillId="0" borderId="0" xfId="2" applyFont="1" applyFill="1" applyAlignment="1">
      <alignment vertical="center" wrapText="1"/>
    </xf>
    <xf numFmtId="0" fontId="23" fillId="0" borderId="0" xfId="0" applyFont="1" applyAlignment="1">
      <alignment horizontal="left" vertical="center" wrapText="1"/>
    </xf>
    <xf numFmtId="0" fontId="0" fillId="0" borderId="0" xfId="0" applyAlignment="1">
      <alignment vertical="center" wrapText="1"/>
    </xf>
    <xf numFmtId="165" fontId="8" fillId="0" borderId="0" xfId="6" applyNumberFormat="1" applyFont="1" applyBorder="1" applyAlignment="1">
      <alignment horizontal="right" vertical="center" wrapText="1"/>
    </xf>
    <xf numFmtId="0" fontId="23" fillId="0" borderId="0" xfId="0" applyFont="1" applyAlignment="1">
      <alignment vertical="center" wrapText="1"/>
    </xf>
    <xf numFmtId="41" fontId="8" fillId="0" borderId="0" xfId="10" applyNumberFormat="1" applyFont="1" applyAlignment="1">
      <alignment vertical="center" wrapText="1"/>
    </xf>
    <xf numFmtId="165" fontId="4" fillId="0" borderId="0" xfId="6" applyNumberFormat="1" applyFont="1" applyAlignment="1">
      <alignment horizontal="left" vertical="center" wrapText="1"/>
    </xf>
    <xf numFmtId="49" fontId="6" fillId="2" borderId="4" xfId="5" applyNumberFormat="1" applyFont="1" applyFill="1" applyBorder="1" applyAlignment="1">
      <alignment horizontal="center" vertical="center" wrapText="1"/>
    </xf>
    <xf numFmtId="17" fontId="7" fillId="2" borderId="4" xfId="5" applyNumberFormat="1" applyFont="1" applyFill="1" applyBorder="1" applyAlignment="1">
      <alignment horizontal="center" vertical="center" wrapText="1"/>
    </xf>
    <xf numFmtId="17" fontId="7" fillId="2" borderId="5" xfId="5" applyNumberFormat="1" applyFont="1" applyFill="1" applyBorder="1" applyAlignment="1">
      <alignment horizontal="center" vertical="center" wrapText="1"/>
    </xf>
    <xf numFmtId="41" fontId="4" fillId="0" borderId="0" xfId="2" applyFont="1" applyAlignment="1">
      <alignment horizontal="left" vertical="center" wrapText="1"/>
    </xf>
    <xf numFmtId="165" fontId="4" fillId="0" borderId="0" xfId="6" applyNumberFormat="1" applyFont="1" applyFill="1" applyAlignment="1">
      <alignment horizontal="left" vertical="center" wrapText="1"/>
    </xf>
    <xf numFmtId="164" fontId="4" fillId="0" borderId="0" xfId="6" applyFont="1" applyFill="1" applyBorder="1" applyAlignment="1">
      <alignment horizontal="right" vertical="center" wrapText="1"/>
    </xf>
    <xf numFmtId="0" fontId="8" fillId="5" borderId="0" xfId="5" applyFont="1" applyFill="1" applyAlignment="1" applyProtection="1">
      <alignment horizontal="left" vertical="center" wrapText="1"/>
      <protection locked="0"/>
    </xf>
    <xf numFmtId="170" fontId="5" fillId="0" borderId="0" xfId="3" applyNumberFormat="1" applyFont="1" applyFill="1" applyBorder="1" applyAlignment="1">
      <alignment horizontal="right" vertical="center" wrapText="1"/>
    </xf>
    <xf numFmtId="0" fontId="5" fillId="7" borderId="0" xfId="5" applyFont="1" applyFill="1" applyAlignment="1">
      <alignment horizontal="left" vertical="center" wrapText="1"/>
    </xf>
    <xf numFmtId="3" fontId="5" fillId="7" borderId="0" xfId="5" applyNumberFormat="1" applyFont="1" applyFill="1" applyAlignment="1">
      <alignment horizontal="right" vertical="center" wrapText="1"/>
    </xf>
    <xf numFmtId="0" fontId="9" fillId="7" borderId="0" xfId="5" applyFont="1" applyFill="1" applyAlignment="1">
      <alignment horizontal="left" vertical="center" wrapText="1"/>
    </xf>
    <xf numFmtId="3" fontId="9" fillId="7" borderId="0" xfId="5" applyNumberFormat="1" applyFont="1" applyFill="1" applyAlignment="1">
      <alignment horizontal="right" vertical="center" wrapText="1"/>
    </xf>
    <xf numFmtId="0" fontId="9" fillId="0" borderId="0" xfId="5" applyFont="1" applyAlignment="1">
      <alignment horizontal="left" vertical="center" wrapText="1"/>
    </xf>
    <xf numFmtId="0" fontId="4" fillId="5" borderId="0" xfId="5" applyFill="1" applyAlignment="1">
      <alignment horizontal="left" vertical="center" wrapText="1"/>
    </xf>
    <xf numFmtId="0" fontId="8" fillId="5" borderId="0" xfId="5" applyFont="1" applyFill="1" applyAlignment="1" applyProtection="1">
      <alignment horizontal="left"/>
      <protection locked="0"/>
    </xf>
    <xf numFmtId="0" fontId="7" fillId="0" borderId="0" xfId="5" applyFont="1" applyAlignment="1">
      <alignment horizontal="left" vertical="center" wrapText="1"/>
    </xf>
    <xf numFmtId="3" fontId="7" fillId="0" borderId="0" xfId="5" applyNumberFormat="1" applyFont="1" applyAlignment="1">
      <alignment horizontal="right" vertical="center" wrapText="1"/>
    </xf>
    <xf numFmtId="165" fontId="4" fillId="0" borderId="0" xfId="6" applyNumberFormat="1" applyFont="1" applyFill="1" applyAlignment="1">
      <alignment horizontal="right" vertical="center" wrapText="1"/>
    </xf>
    <xf numFmtId="165" fontId="4" fillId="0" borderId="0" xfId="6" applyNumberFormat="1" applyFont="1" applyAlignment="1">
      <alignment horizontal="right" vertical="center" wrapText="1"/>
    </xf>
    <xf numFmtId="37" fontId="4" fillId="0" borderId="0" xfId="5" applyNumberFormat="1" applyAlignment="1">
      <alignment horizontal="right" vertical="center" wrapText="1"/>
    </xf>
    <xf numFmtId="171" fontId="4" fillId="0" borderId="0" xfId="8" applyNumberFormat="1" applyFont="1" applyBorder="1" applyAlignment="1">
      <alignment horizontal="right" vertical="center" wrapText="1"/>
    </xf>
    <xf numFmtId="165" fontId="4" fillId="0" borderId="0" xfId="6" applyNumberFormat="1" applyFont="1" applyBorder="1" applyAlignment="1">
      <alignment horizontal="right" vertical="center" wrapText="1"/>
    </xf>
    <xf numFmtId="171" fontId="4" fillId="0" borderId="0" xfId="8" applyNumberFormat="1" applyFont="1" applyFill="1" applyBorder="1" applyAlignment="1">
      <alignment horizontal="right" vertical="center" wrapText="1"/>
    </xf>
    <xf numFmtId="164" fontId="4" fillId="0" borderId="0" xfId="6" applyFont="1" applyBorder="1" applyAlignment="1">
      <alignment horizontal="right" vertical="center" wrapText="1"/>
    </xf>
    <xf numFmtId="165" fontId="11" fillId="0" borderId="0" xfId="8" applyNumberFormat="1" applyFont="1" applyFill="1" applyBorder="1" applyAlignment="1">
      <alignment horizontal="center"/>
    </xf>
    <xf numFmtId="165" fontId="11" fillId="0" borderId="0" xfId="8" quotePrefix="1" applyNumberFormat="1" applyFont="1" applyFill="1" applyBorder="1" applyAlignment="1">
      <alignment horizontal="center"/>
    </xf>
    <xf numFmtId="0" fontId="1" fillId="0" borderId="0" xfId="12"/>
    <xf numFmtId="17" fontId="7" fillId="2" borderId="5" xfId="5" quotePrefix="1" applyNumberFormat="1" applyFont="1" applyFill="1" applyBorder="1" applyAlignment="1">
      <alignment horizontal="center" vertical="center" wrapText="1"/>
    </xf>
    <xf numFmtId="37" fontId="15" fillId="4" borderId="0" xfId="10" applyNumberFormat="1" applyFont="1" applyFill="1" applyAlignment="1">
      <alignment vertical="center" wrapText="1"/>
    </xf>
    <xf numFmtId="0" fontId="8" fillId="4" borderId="0" xfId="10" applyFont="1" applyFill="1" applyAlignment="1">
      <alignment vertical="center" wrapText="1"/>
    </xf>
    <xf numFmtId="0" fontId="27" fillId="4" borderId="0" xfId="13" applyFont="1" applyFill="1" applyAlignment="1">
      <alignment vertical="center" wrapText="1"/>
    </xf>
    <xf numFmtId="170" fontId="27" fillId="4" borderId="0" xfId="13" applyNumberFormat="1" applyFont="1" applyFill="1" applyAlignment="1">
      <alignment vertical="center" wrapText="1"/>
    </xf>
    <xf numFmtId="0" fontId="5" fillId="4" borderId="0" xfId="7" applyFont="1" applyFill="1" applyAlignment="1" applyProtection="1">
      <alignment vertical="center"/>
      <protection locked="0"/>
    </xf>
    <xf numFmtId="0" fontId="5" fillId="0" borderId="0" xfId="7" applyFont="1" applyAlignment="1" applyProtection="1">
      <alignment vertical="center"/>
      <protection locked="0"/>
    </xf>
    <xf numFmtId="41" fontId="5" fillId="0" borderId="0" xfId="2" applyFont="1" applyAlignment="1" applyProtection="1">
      <alignment vertical="center"/>
      <protection locked="0"/>
    </xf>
    <xf numFmtId="165" fontId="8" fillId="0" borderId="0" xfId="6" applyNumberFormat="1" applyFont="1" applyAlignment="1">
      <alignment vertical="center" wrapText="1"/>
    </xf>
    <xf numFmtId="165" fontId="8" fillId="0" borderId="0" xfId="6" applyNumberFormat="1" applyFont="1" applyFill="1" applyAlignment="1">
      <alignment vertical="center" wrapText="1"/>
    </xf>
    <xf numFmtId="3" fontId="8" fillId="0" borderId="0" xfId="10" applyNumberFormat="1" applyFont="1" applyAlignment="1">
      <alignment vertical="center" wrapText="1"/>
    </xf>
    <xf numFmtId="164" fontId="8" fillId="0" borderId="0" xfId="6" applyFont="1" applyAlignment="1">
      <alignment vertical="center" wrapText="1"/>
    </xf>
    <xf numFmtId="169" fontId="19" fillId="0" borderId="0" xfId="3" applyNumberFormat="1" applyFont="1" applyFill="1" applyBorder="1" applyAlignment="1">
      <alignment vertical="center" wrapText="1"/>
    </xf>
    <xf numFmtId="164" fontId="8" fillId="0" borderId="0" xfId="6" applyFont="1" applyFill="1" applyBorder="1" applyAlignment="1">
      <alignment vertical="center" wrapText="1"/>
    </xf>
    <xf numFmtId="165" fontId="4" fillId="0" borderId="0" xfId="6" applyNumberFormat="1" applyFont="1" applyFill="1" applyBorder="1" applyAlignment="1">
      <alignment vertical="center" wrapText="1"/>
    </xf>
    <xf numFmtId="0" fontId="4" fillId="0" borderId="0" xfId="10" applyFont="1" applyAlignment="1">
      <alignment vertical="center" wrapText="1"/>
    </xf>
    <xf numFmtId="165" fontId="4" fillId="0" borderId="0" xfId="6" applyNumberFormat="1" applyFont="1" applyFill="1" applyAlignment="1">
      <alignment vertical="center" wrapText="1"/>
    </xf>
    <xf numFmtId="37" fontId="4" fillId="0" borderId="0" xfId="10" applyNumberFormat="1" applyFont="1" applyAlignment="1">
      <alignment vertical="center" wrapText="1"/>
    </xf>
    <xf numFmtId="0" fontId="27" fillId="0" borderId="0" xfId="13" applyFont="1" applyAlignment="1">
      <alignment vertical="center" wrapText="1"/>
    </xf>
    <xf numFmtId="170" fontId="27" fillId="0" borderId="0" xfId="13" applyNumberFormat="1" applyFont="1" applyAlignment="1">
      <alignment vertical="center" wrapText="1"/>
    </xf>
    <xf numFmtId="0" fontId="4" fillId="0" borderId="0" xfId="7" applyAlignment="1" applyProtection="1">
      <alignment vertical="center"/>
      <protection locked="0"/>
    </xf>
    <xf numFmtId="165" fontId="15" fillId="4" borderId="0" xfId="6" applyNumberFormat="1" applyFont="1" applyFill="1" applyBorder="1" applyAlignment="1">
      <alignment vertical="center" wrapText="1"/>
    </xf>
    <xf numFmtId="0" fontId="27" fillId="4" borderId="0" xfId="13" applyFont="1" applyFill="1" applyAlignment="1">
      <alignment horizontal="left" vertical="center" wrapText="1"/>
    </xf>
    <xf numFmtId="0" fontId="4" fillId="4" borderId="0" xfId="7" applyFill="1" applyAlignment="1" applyProtection="1">
      <alignment vertical="center"/>
      <protection locked="0"/>
    </xf>
    <xf numFmtId="0" fontId="8" fillId="4" borderId="0" xfId="10" applyFont="1" applyFill="1" applyAlignment="1">
      <alignment horizontal="left" vertical="center" wrapText="1" indent="1"/>
    </xf>
    <xf numFmtId="169" fontId="19" fillId="4" borderId="0" xfId="3" applyNumberFormat="1" applyFont="1" applyFill="1" applyBorder="1" applyAlignment="1">
      <alignment vertical="center" wrapText="1"/>
    </xf>
    <xf numFmtId="0" fontId="8" fillId="0" borderId="0" xfId="10" applyFont="1"/>
    <xf numFmtId="0" fontId="4" fillId="0" borderId="0" xfId="7" applyAlignment="1" applyProtection="1">
      <alignment horizontal="left"/>
      <protection locked="0"/>
    </xf>
    <xf numFmtId="0" fontId="15" fillId="4" borderId="0" xfId="10" applyFont="1" applyFill="1" applyAlignment="1">
      <alignment horizontal="left" vertical="center" wrapText="1" indent="1"/>
    </xf>
    <xf numFmtId="0" fontId="27" fillId="4" borderId="0" xfId="13" applyFont="1" applyFill="1" applyAlignment="1">
      <alignment horizontal="left" vertical="center" wrapText="1" indent="1"/>
    </xf>
    <xf numFmtId="0" fontId="19" fillId="4" borderId="0" xfId="10" applyFont="1" applyFill="1" applyAlignment="1">
      <alignment vertical="center" wrapText="1"/>
    </xf>
    <xf numFmtId="0" fontId="15" fillId="0" borderId="0" xfId="10" applyFont="1" applyAlignment="1">
      <alignment horizontal="left" vertical="center" wrapText="1" indent="1"/>
    </xf>
    <xf numFmtId="169" fontId="1" fillId="0" borderId="0" xfId="3" applyNumberFormat="1" applyAlignment="1">
      <alignment horizontal="left" vertical="center" wrapText="1"/>
    </xf>
    <xf numFmtId="17" fontId="7" fillId="9" borderId="4" xfId="5" applyNumberFormat="1" applyFont="1" applyFill="1" applyBorder="1" applyAlignment="1">
      <alignment horizontal="right" vertical="center" wrapText="1"/>
    </xf>
    <xf numFmtId="17" fontId="7" fillId="10" borderId="6" xfId="5" applyNumberFormat="1" applyFont="1" applyFill="1" applyBorder="1" applyAlignment="1">
      <alignment horizontal="right" vertical="center" wrapText="1"/>
    </xf>
    <xf numFmtId="0" fontId="8" fillId="0" borderId="7" xfId="5" applyFont="1" applyBorder="1" applyAlignment="1" applyProtection="1">
      <alignment horizontal="left" vertical="center" wrapText="1"/>
      <protection locked="0"/>
    </xf>
    <xf numFmtId="165" fontId="4" fillId="0" borderId="8" xfId="6" applyNumberFormat="1" applyFill="1" applyBorder="1" applyAlignment="1">
      <alignment horizontal="right" vertical="center" wrapText="1"/>
    </xf>
    <xf numFmtId="165" fontId="4" fillId="0" borderId="8" xfId="6" applyNumberFormat="1" applyFont="1" applyFill="1" applyBorder="1" applyAlignment="1">
      <alignment horizontal="right" vertical="center" wrapText="1"/>
    </xf>
    <xf numFmtId="0" fontId="7" fillId="9" borderId="3" xfId="5" applyFont="1" applyFill="1" applyBorder="1" applyAlignment="1">
      <alignment horizontal="left" vertical="center" wrapText="1"/>
    </xf>
    <xf numFmtId="3" fontId="7" fillId="9" borderId="5" xfId="5" applyNumberFormat="1" applyFont="1" applyFill="1" applyBorder="1" applyAlignment="1">
      <alignment horizontal="right" vertical="center" wrapText="1"/>
    </xf>
    <xf numFmtId="0" fontId="8" fillId="0" borderId="7" xfId="5" applyFont="1" applyBorder="1" applyAlignment="1" applyProtection="1">
      <alignment horizontal="left"/>
      <protection locked="0"/>
    </xf>
    <xf numFmtId="165" fontId="4" fillId="0" borderId="8" xfId="6" applyNumberFormat="1" applyBorder="1" applyAlignment="1">
      <alignment horizontal="right" vertical="center" wrapText="1"/>
    </xf>
    <xf numFmtId="0" fontId="7" fillId="9" borderId="7" xfId="5" applyFont="1" applyFill="1" applyBorder="1" applyAlignment="1">
      <alignment horizontal="left" vertical="center" wrapText="1"/>
    </xf>
    <xf numFmtId="3" fontId="7" fillId="9" borderId="12" xfId="5" applyNumberFormat="1" applyFont="1" applyFill="1" applyBorder="1" applyAlignment="1">
      <alignment horizontal="right" vertical="center" wrapText="1"/>
    </xf>
    <xf numFmtId="0" fontId="7" fillId="9" borderId="15" xfId="5" applyFont="1" applyFill="1" applyBorder="1" applyAlignment="1">
      <alignment horizontal="left" vertical="center" wrapText="1"/>
    </xf>
    <xf numFmtId="3" fontId="7" fillId="9" borderId="16" xfId="5" applyNumberFormat="1" applyFont="1" applyFill="1" applyBorder="1" applyAlignment="1">
      <alignment horizontal="right" vertical="center" wrapText="1"/>
    </xf>
    <xf numFmtId="0" fontId="7" fillId="9" borderId="18" xfId="5" applyFont="1" applyFill="1" applyBorder="1" applyAlignment="1">
      <alignment horizontal="left" vertical="center" wrapText="1"/>
    </xf>
    <xf numFmtId="3" fontId="7" fillId="9" borderId="19" xfId="5" applyNumberFormat="1" applyFont="1" applyFill="1" applyBorder="1" applyAlignment="1">
      <alignment horizontal="right" vertical="center" wrapText="1"/>
    </xf>
    <xf numFmtId="165" fontId="7" fillId="9" borderId="12" xfId="6" applyNumberFormat="1" applyFont="1" applyFill="1" applyBorder="1" applyAlignment="1">
      <alignment horizontal="right" vertical="center" wrapText="1"/>
    </xf>
    <xf numFmtId="165" fontId="7" fillId="9" borderId="16" xfId="6" applyNumberFormat="1" applyFont="1" applyFill="1" applyBorder="1" applyAlignment="1">
      <alignment horizontal="right" vertical="center" wrapText="1"/>
    </xf>
    <xf numFmtId="4" fontId="4" fillId="0" borderId="0" xfId="5" applyNumberFormat="1" applyAlignment="1">
      <alignment horizontal="right" vertical="center" wrapText="1"/>
    </xf>
    <xf numFmtId="165" fontId="4" fillId="0" borderId="0" xfId="6" applyNumberFormat="1" applyAlignment="1">
      <alignment horizontal="right" vertical="center" wrapText="1"/>
    </xf>
    <xf numFmtId="0" fontId="28" fillId="0" borderId="0" xfId="5" applyFont="1" applyAlignment="1">
      <alignment horizontal="left" vertical="center" wrapText="1"/>
    </xf>
    <xf numFmtId="0" fontId="29" fillId="0" borderId="0" xfId="5" applyFont="1" applyAlignment="1">
      <alignment horizontal="left" vertical="center" wrapText="1"/>
    </xf>
    <xf numFmtId="3" fontId="29" fillId="0" borderId="0" xfId="5" applyNumberFormat="1" applyFont="1" applyAlignment="1">
      <alignment horizontal="right" vertical="center" wrapText="1"/>
    </xf>
    <xf numFmtId="0" fontId="29" fillId="0" borderId="0" xfId="5" applyFont="1" applyAlignment="1">
      <alignment horizontal="right" vertical="center" wrapText="1"/>
    </xf>
    <xf numFmtId="17" fontId="7" fillId="9" borderId="4" xfId="5" applyNumberFormat="1" applyFont="1" applyFill="1" applyBorder="1" applyAlignment="1">
      <alignment horizontal="center" vertical="center" wrapText="1"/>
    </xf>
    <xf numFmtId="165" fontId="4" fillId="0" borderId="0" xfId="5" applyNumberFormat="1" applyAlignment="1">
      <alignment horizontal="right" vertical="center" wrapText="1"/>
    </xf>
    <xf numFmtId="0" fontId="4" fillId="0" borderId="7" xfId="7" applyBorder="1" applyProtection="1">
      <protection locked="0"/>
    </xf>
    <xf numFmtId="164" fontId="4" fillId="0" borderId="0" xfId="6" applyAlignment="1">
      <alignment horizontal="right" vertical="center" wrapText="1"/>
    </xf>
    <xf numFmtId="166" fontId="5" fillId="0" borderId="0" xfId="15" applyFont="1" applyAlignment="1">
      <alignment horizontal="right" vertical="center" wrapText="1"/>
    </xf>
    <xf numFmtId="165" fontId="4" fillId="0" borderId="0" xfId="6" applyNumberFormat="1" applyAlignment="1">
      <alignment horizontal="left" vertical="center" wrapText="1"/>
    </xf>
    <xf numFmtId="0" fontId="30" fillId="0" borderId="0" xfId="10" applyFont="1" applyAlignment="1">
      <alignment vertical="center" wrapText="1"/>
    </xf>
    <xf numFmtId="164" fontId="31" fillId="0" borderId="0" xfId="6" applyFont="1" applyAlignment="1">
      <alignment vertical="center" wrapText="1"/>
    </xf>
    <xf numFmtId="172" fontId="30" fillId="0" borderId="0" xfId="6" applyNumberFormat="1" applyFont="1" applyAlignment="1">
      <alignment vertical="center" wrapText="1"/>
    </xf>
    <xf numFmtId="10" fontId="4" fillId="0" borderId="0" xfId="5" applyNumberFormat="1" applyAlignment="1">
      <alignment horizontal="right" vertical="center" wrapText="1"/>
    </xf>
    <xf numFmtId="165" fontId="12" fillId="0" borderId="0" xfId="8" applyNumberFormat="1" applyFont="1"/>
    <xf numFmtId="165" fontId="11" fillId="0" borderId="0" xfId="8" applyNumberFormat="1" applyFont="1" applyAlignment="1">
      <alignment horizontal="center"/>
    </xf>
    <xf numFmtId="165" fontId="11" fillId="0" borderId="0" xfId="8" quotePrefix="1" applyNumberFormat="1" applyFont="1" applyAlignment="1">
      <alignment horizontal="center"/>
    </xf>
    <xf numFmtId="165" fontId="32" fillId="0" borderId="0" xfId="8" quotePrefix="1" applyNumberFormat="1" applyFont="1" applyAlignment="1">
      <alignment horizontal="center"/>
    </xf>
    <xf numFmtId="168" fontId="13" fillId="0" borderId="0" xfId="9" applyNumberFormat="1" applyFont="1"/>
    <xf numFmtId="164" fontId="13" fillId="0" borderId="0" xfId="8" applyNumberFormat="1" applyFont="1" applyAlignment="1">
      <alignment horizontal="right"/>
    </xf>
    <xf numFmtId="165" fontId="11" fillId="0" borderId="0" xfId="8" applyNumberFormat="1" applyFont="1"/>
    <xf numFmtId="165" fontId="33" fillId="0" borderId="0" xfId="8" applyNumberFormat="1" applyFont="1"/>
    <xf numFmtId="3" fontId="15" fillId="0" borderId="0" xfId="10" applyNumberFormat="1" applyFont="1" applyAlignment="1">
      <alignment horizontal="center" vertical="center" wrapText="1"/>
    </xf>
    <xf numFmtId="0" fontId="35" fillId="0" borderId="0" xfId="10" applyFont="1" applyAlignment="1">
      <alignment horizontal="center" vertical="center" wrapText="1"/>
    </xf>
    <xf numFmtId="165" fontId="15" fillId="0" borderId="0" xfId="10" applyNumberFormat="1" applyFont="1" applyAlignment="1">
      <alignment horizontal="center" vertical="center" wrapText="1"/>
    </xf>
    <xf numFmtId="173" fontId="15" fillId="0" borderId="0" xfId="14" applyNumberFormat="1" applyFont="1" applyAlignment="1">
      <alignment horizontal="center" vertical="center" wrapText="1"/>
    </xf>
    <xf numFmtId="41" fontId="15" fillId="0" borderId="0" xfId="14" applyFont="1" applyAlignment="1">
      <alignment horizontal="center" vertical="center" wrapText="1"/>
    </xf>
    <xf numFmtId="41" fontId="8" fillId="0" borderId="0" xfId="14" applyFont="1" applyAlignment="1">
      <alignment horizontal="right" vertical="center" wrapText="1"/>
    </xf>
    <xf numFmtId="0" fontId="36" fillId="0" borderId="0" xfId="10" applyFont="1" applyAlignment="1">
      <alignment vertical="center" wrapText="1"/>
    </xf>
    <xf numFmtId="165" fontId="8" fillId="0" borderId="0" xfId="6" applyNumberFormat="1" applyFont="1" applyAlignment="1">
      <alignment horizontal="center" vertical="center" wrapText="1"/>
    </xf>
    <xf numFmtId="0" fontId="36" fillId="0" borderId="0" xfId="10" applyFont="1" applyAlignment="1">
      <alignment horizontal="center" vertical="center" wrapText="1"/>
    </xf>
    <xf numFmtId="165" fontId="8" fillId="0" borderId="0" xfId="10" applyNumberFormat="1" applyFont="1" applyAlignment="1">
      <alignment horizontal="center" vertical="center" wrapText="1"/>
    </xf>
    <xf numFmtId="9" fontId="8" fillId="0" borderId="0" xfId="10" applyNumberFormat="1" applyFont="1" applyAlignment="1">
      <alignment horizontal="center" vertical="center" wrapText="1"/>
    </xf>
    <xf numFmtId="3" fontId="8" fillId="0" borderId="0" xfId="10" applyNumberFormat="1" applyFont="1" applyAlignment="1">
      <alignment horizontal="center" vertical="center" wrapText="1"/>
    </xf>
    <xf numFmtId="41" fontId="8" fillId="0" borderId="0" xfId="14" applyFont="1" applyAlignment="1">
      <alignment horizontal="center" vertical="center" wrapText="1"/>
    </xf>
    <xf numFmtId="3" fontId="36" fillId="0" borderId="0" xfId="10" applyNumberFormat="1" applyFont="1" applyAlignment="1">
      <alignment horizontal="center" vertical="center" wrapText="1"/>
    </xf>
    <xf numFmtId="3" fontId="8" fillId="8" borderId="0" xfId="10" applyNumberFormat="1" applyFont="1" applyFill="1" applyAlignment="1">
      <alignment vertical="center" wrapText="1"/>
    </xf>
    <xf numFmtId="165" fontId="36" fillId="0" borderId="0" xfId="10" applyNumberFormat="1" applyFont="1" applyAlignment="1">
      <alignment horizontal="center" vertical="center" wrapText="1"/>
    </xf>
    <xf numFmtId="10" fontId="8" fillId="0" borderId="0" xfId="10" applyNumberFormat="1" applyFont="1" applyAlignment="1">
      <alignment horizontal="center" vertical="center" wrapText="1"/>
    </xf>
    <xf numFmtId="0" fontId="37" fillId="0" borderId="22" xfId="10" applyFont="1" applyBorder="1" applyAlignment="1">
      <alignment horizontal="center" vertical="center" wrapText="1"/>
    </xf>
    <xf numFmtId="0" fontId="38" fillId="0" borderId="22" xfId="10" applyFont="1" applyBorder="1" applyAlignment="1">
      <alignment horizontal="center" vertical="center" wrapText="1"/>
    </xf>
    <xf numFmtId="0" fontId="37" fillId="0" borderId="23" xfId="10" applyFont="1" applyBorder="1" applyAlignment="1">
      <alignment horizontal="center" vertical="center" wrapText="1"/>
    </xf>
    <xf numFmtId="0" fontId="39" fillId="0" borderId="21" xfId="10" applyFont="1" applyBorder="1" applyAlignment="1">
      <alignment horizontal="center" vertical="center" wrapText="1"/>
    </xf>
    <xf numFmtId="0" fontId="39" fillId="0" borderId="22" xfId="10" applyFont="1" applyBorder="1" applyAlignment="1">
      <alignment horizontal="center" vertical="center" wrapText="1"/>
    </xf>
    <xf numFmtId="0" fontId="39" fillId="0" borderId="23" xfId="10" applyFont="1" applyBorder="1" applyAlignment="1">
      <alignment horizontal="center" vertical="center" wrapText="1"/>
    </xf>
    <xf numFmtId="0" fontId="15" fillId="11" borderId="0" xfId="10" applyFont="1" applyFill="1" applyAlignment="1">
      <alignment vertical="center" wrapText="1"/>
    </xf>
    <xf numFmtId="171" fontId="15" fillId="0" borderId="0" xfId="17" applyNumberFormat="1" applyFont="1" applyAlignment="1">
      <alignment vertical="center" wrapText="1"/>
    </xf>
    <xf numFmtId="17" fontId="7" fillId="2" borderId="3" xfId="5" applyNumberFormat="1" applyFont="1" applyFill="1" applyBorder="1" applyAlignment="1">
      <alignment horizontal="center" vertical="center"/>
    </xf>
    <xf numFmtId="0" fontId="41" fillId="0" borderId="0" xfId="10" applyFont="1" applyAlignment="1">
      <alignment vertical="center" wrapText="1"/>
    </xf>
    <xf numFmtId="17" fontId="7" fillId="2" borderId="18" xfId="5" applyNumberFormat="1" applyFont="1" applyFill="1" applyBorder="1" applyAlignment="1">
      <alignment horizontal="center" vertical="center" wrapText="1"/>
    </xf>
    <xf numFmtId="17" fontId="7" fillId="11" borderId="0" xfId="5" applyNumberFormat="1" applyFont="1" applyFill="1" applyAlignment="1">
      <alignment horizontal="center" vertical="center" wrapText="1"/>
    </xf>
    <xf numFmtId="17" fontId="40" fillId="11" borderId="0" xfId="5" applyNumberFormat="1" applyFont="1" applyFill="1" applyAlignment="1">
      <alignment horizontal="center" vertical="center" wrapText="1"/>
    </xf>
    <xf numFmtId="0" fontId="10" fillId="0" borderId="0" xfId="10" applyFont="1" applyAlignment="1">
      <alignment horizontal="right" vertical="center" wrapText="1"/>
    </xf>
    <xf numFmtId="0" fontId="15" fillId="0" borderId="24" xfId="10" applyFont="1" applyBorder="1" applyAlignment="1">
      <alignment vertical="center" wrapText="1"/>
    </xf>
    <xf numFmtId="165" fontId="15" fillId="0" borderId="25" xfId="6" applyNumberFormat="1" applyFont="1" applyFill="1" applyBorder="1" applyAlignment="1">
      <alignment vertical="center" wrapText="1"/>
    </xf>
    <xf numFmtId="171" fontId="15" fillId="0" borderId="0" xfId="17" applyNumberFormat="1" applyFont="1" applyFill="1" applyAlignment="1">
      <alignment vertical="center" wrapText="1"/>
    </xf>
    <xf numFmtId="172" fontId="15" fillId="0" borderId="26" xfId="6" applyNumberFormat="1" applyFont="1" applyFill="1" applyBorder="1" applyAlignment="1">
      <alignment vertical="center" wrapText="1"/>
    </xf>
    <xf numFmtId="0" fontId="15" fillId="0" borderId="25" xfId="6" applyNumberFormat="1" applyFont="1" applyFill="1" applyBorder="1" applyAlignment="1">
      <alignment vertical="center"/>
    </xf>
    <xf numFmtId="165" fontId="41" fillId="0" borderId="27" xfId="6" applyNumberFormat="1" applyFont="1" applyFill="1" applyBorder="1" applyAlignment="1">
      <alignment vertical="center" wrapText="1"/>
    </xf>
    <xf numFmtId="172" fontId="15" fillId="0" borderId="28" xfId="6" applyNumberFormat="1" applyFont="1" applyBorder="1" applyAlignment="1">
      <alignment vertical="center" wrapText="1"/>
    </xf>
    <xf numFmtId="165" fontId="15" fillId="0" borderId="0" xfId="6" applyNumberFormat="1" applyFont="1" applyAlignment="1">
      <alignment vertical="center" wrapText="1"/>
    </xf>
    <xf numFmtId="165" fontId="15" fillId="0" borderId="25" xfId="6" applyNumberFormat="1" applyFont="1" applyBorder="1" applyAlignment="1">
      <alignment vertical="center" wrapText="1"/>
    </xf>
    <xf numFmtId="165" fontId="15" fillId="0" borderId="29" xfId="6" applyNumberFormat="1" applyFont="1" applyBorder="1" applyAlignment="1">
      <alignment vertical="center" wrapText="1"/>
    </xf>
    <xf numFmtId="165" fontId="15" fillId="0" borderId="29" xfId="6" applyNumberFormat="1" applyFont="1" applyFill="1" applyBorder="1" applyAlignment="1">
      <alignment vertical="center" wrapText="1"/>
    </xf>
    <xf numFmtId="0" fontId="8" fillId="0" borderId="30" xfId="10" applyFont="1" applyBorder="1" applyAlignment="1">
      <alignment horizontal="left" vertical="center" wrapText="1" indent="1"/>
    </xf>
    <xf numFmtId="165" fontId="8" fillId="0" borderId="31" xfId="6" applyNumberFormat="1" applyFont="1" applyFill="1" applyBorder="1" applyAlignment="1">
      <alignment vertical="center" wrapText="1"/>
    </xf>
    <xf numFmtId="171" fontId="8" fillId="0" borderId="0" xfId="17" applyNumberFormat="1" applyFont="1" applyFill="1" applyAlignment="1">
      <alignment vertical="center" wrapText="1"/>
    </xf>
    <xf numFmtId="172" fontId="8" fillId="0" borderId="32" xfId="6" applyNumberFormat="1" applyFont="1" applyFill="1" applyBorder="1" applyAlignment="1">
      <alignment vertical="center" wrapText="1"/>
    </xf>
    <xf numFmtId="0" fontId="4" fillId="0" borderId="31" xfId="6" applyNumberFormat="1" applyFont="1" applyFill="1" applyBorder="1" applyAlignment="1">
      <alignment vertical="center"/>
    </xf>
    <xf numFmtId="172" fontId="8" fillId="0" borderId="27" xfId="6" applyNumberFormat="1" applyFont="1" applyBorder="1" applyAlignment="1">
      <alignment vertical="center" wrapText="1"/>
    </xf>
    <xf numFmtId="165" fontId="8" fillId="0" borderId="31" xfId="6" applyNumberFormat="1" applyFont="1" applyBorder="1" applyAlignment="1">
      <alignment vertical="center" wrapText="1"/>
    </xf>
    <xf numFmtId="165" fontId="8" fillId="0" borderId="33" xfId="6" applyNumberFormat="1" applyFont="1" applyBorder="1" applyAlignment="1">
      <alignment vertical="center" wrapText="1"/>
    </xf>
    <xf numFmtId="165" fontId="8" fillId="0" borderId="34" xfId="6" applyNumberFormat="1" applyFont="1" applyBorder="1" applyAlignment="1">
      <alignment vertical="center" wrapText="1"/>
    </xf>
    <xf numFmtId="165" fontId="8" fillId="0" borderId="34" xfId="6" applyNumberFormat="1" applyFont="1" applyFill="1" applyBorder="1" applyAlignment="1">
      <alignment vertical="center" wrapText="1"/>
    </xf>
    <xf numFmtId="165" fontId="8" fillId="0" borderId="33" xfId="6" quotePrefix="1" applyNumberFormat="1" applyFont="1" applyBorder="1" applyAlignment="1">
      <alignment vertical="center" wrapText="1"/>
    </xf>
    <xf numFmtId="165" fontId="4" fillId="0" borderId="34" xfId="6" applyNumberFormat="1" applyBorder="1" applyAlignment="1">
      <alignment vertical="center" wrapText="1"/>
    </xf>
    <xf numFmtId="165" fontId="8" fillId="0" borderId="0" xfId="6" applyNumberFormat="1" applyFont="1" applyAlignment="1">
      <alignment horizontal="right" vertical="center" wrapText="1"/>
    </xf>
    <xf numFmtId="0" fontId="8" fillId="0" borderId="30" xfId="10" applyFont="1" applyBorder="1" applyAlignment="1">
      <alignment horizontal="left" vertical="center" indent="1"/>
    </xf>
    <xf numFmtId="165" fontId="8" fillId="8" borderId="0" xfId="6" applyNumberFormat="1" applyFont="1" applyFill="1" applyAlignment="1">
      <alignment vertical="center" wrapText="1"/>
    </xf>
    <xf numFmtId="165" fontId="8" fillId="8" borderId="31" xfId="6" applyNumberFormat="1" applyFont="1" applyFill="1" applyBorder="1" applyAlignment="1">
      <alignment vertical="center" wrapText="1"/>
    </xf>
    <xf numFmtId="0" fontId="8" fillId="8" borderId="0" xfId="10" applyFont="1" applyFill="1" applyAlignment="1">
      <alignment vertical="center" wrapText="1"/>
    </xf>
    <xf numFmtId="37" fontId="8" fillId="8" borderId="0" xfId="10" applyNumberFormat="1" applyFont="1" applyFill="1" applyAlignment="1">
      <alignment vertical="center" wrapText="1"/>
    </xf>
    <xf numFmtId="171" fontId="4" fillId="0" borderId="0" xfId="17" applyNumberFormat="1" applyFont="1" applyFill="1" applyAlignment="1">
      <alignment vertical="center" wrapText="1"/>
    </xf>
    <xf numFmtId="165" fontId="8" fillId="0" borderId="30" xfId="6" applyNumberFormat="1" applyFont="1" applyFill="1" applyBorder="1" applyAlignment="1">
      <alignment vertical="center" wrapText="1"/>
    </xf>
    <xf numFmtId="0" fontId="8" fillId="0" borderId="35" xfId="10" applyFont="1" applyBorder="1" applyAlignment="1">
      <alignment horizontal="left" vertical="center" wrapText="1" indent="1"/>
    </xf>
    <xf numFmtId="165" fontId="8" fillId="0" borderId="36" xfId="6" applyNumberFormat="1" applyFont="1" applyFill="1" applyBorder="1" applyAlignment="1">
      <alignment vertical="center" wrapText="1"/>
    </xf>
    <xf numFmtId="172" fontId="8" fillId="0" borderId="37" xfId="6" applyNumberFormat="1" applyFont="1" applyFill="1" applyBorder="1" applyAlignment="1">
      <alignment vertical="center" wrapText="1"/>
    </xf>
    <xf numFmtId="172" fontId="8" fillId="0" borderId="38" xfId="6" applyNumberFormat="1" applyFont="1" applyBorder="1" applyAlignment="1">
      <alignment vertical="center" wrapText="1"/>
    </xf>
    <xf numFmtId="165" fontId="8" fillId="0" borderId="36" xfId="6" applyNumberFormat="1" applyFont="1" applyBorder="1" applyAlignment="1">
      <alignment vertical="center" wrapText="1"/>
    </xf>
    <xf numFmtId="165" fontId="8" fillId="0" borderId="39" xfId="6" applyNumberFormat="1" applyFont="1" applyBorder="1" applyAlignment="1">
      <alignment vertical="center" wrapText="1"/>
    </xf>
    <xf numFmtId="165" fontId="8" fillId="0" borderId="39" xfId="6" applyNumberFormat="1" applyFont="1" applyFill="1" applyBorder="1" applyAlignment="1">
      <alignment vertical="center" wrapText="1"/>
    </xf>
    <xf numFmtId="0" fontId="4" fillId="0" borderId="0" xfId="10" applyFont="1" applyAlignment="1">
      <alignment vertical="center"/>
    </xf>
    <xf numFmtId="172" fontId="8" fillId="0" borderId="0" xfId="10" applyNumberFormat="1" applyFont="1" applyAlignment="1">
      <alignment vertical="center" wrapText="1"/>
    </xf>
    <xf numFmtId="0" fontId="8" fillId="0" borderId="27" xfId="10" applyFont="1" applyBorder="1" applyAlignment="1">
      <alignment vertical="center" wrapText="1"/>
    </xf>
    <xf numFmtId="0" fontId="15" fillId="0" borderId="40" xfId="10" applyFont="1" applyBorder="1" applyAlignment="1">
      <alignment vertical="center" wrapText="1"/>
    </xf>
    <xf numFmtId="172" fontId="15" fillId="0" borderId="41" xfId="6" applyNumberFormat="1" applyFont="1" applyFill="1" applyBorder="1" applyAlignment="1">
      <alignment vertical="center" wrapText="1"/>
    </xf>
    <xf numFmtId="0" fontId="4" fillId="0" borderId="25" xfId="6" applyNumberFormat="1" applyFont="1" applyFill="1" applyBorder="1" applyAlignment="1">
      <alignment vertical="center"/>
    </xf>
    <xf numFmtId="172" fontId="15" fillId="0" borderId="42" xfId="6" applyNumberFormat="1" applyFont="1" applyBorder="1" applyAlignment="1">
      <alignment vertical="center" wrapText="1"/>
    </xf>
    <xf numFmtId="165" fontId="15" fillId="0" borderId="24" xfId="6" applyNumberFormat="1" applyFont="1" applyBorder="1" applyAlignment="1">
      <alignment vertical="center" wrapText="1"/>
    </xf>
    <xf numFmtId="165" fontId="15" fillId="0" borderId="24" xfId="6" applyNumberFormat="1" applyFont="1" applyFill="1" applyBorder="1" applyAlignment="1">
      <alignment vertical="center" wrapText="1"/>
    </xf>
    <xf numFmtId="165" fontId="15" fillId="0" borderId="43" xfId="6" applyNumberFormat="1" applyFont="1" applyBorder="1" applyAlignment="1">
      <alignment vertical="center" wrapText="1"/>
    </xf>
    <xf numFmtId="0" fontId="8" fillId="0" borderId="44" xfId="10" applyFont="1" applyBorder="1" applyAlignment="1">
      <alignment horizontal="left" vertical="center" wrapText="1" indent="1"/>
    </xf>
    <xf numFmtId="172" fontId="8" fillId="0" borderId="45" xfId="6" applyNumberFormat="1" applyFont="1" applyFill="1" applyBorder="1" applyAlignment="1">
      <alignment vertical="center" wrapText="1"/>
    </xf>
    <xf numFmtId="172" fontId="8" fillId="0" borderId="46" xfId="6" applyNumberFormat="1" applyFont="1" applyBorder="1" applyAlignment="1">
      <alignment vertical="center" wrapText="1"/>
    </xf>
    <xf numFmtId="165" fontId="8" fillId="0" borderId="30" xfId="6" applyNumberFormat="1" applyFont="1" applyBorder="1" applyAlignment="1">
      <alignment vertical="center" wrapText="1"/>
    </xf>
    <xf numFmtId="165" fontId="8" fillId="0" borderId="47" xfId="6" applyNumberFormat="1" applyFont="1" applyBorder="1" applyAlignment="1">
      <alignment vertical="center" wrapText="1"/>
    </xf>
    <xf numFmtId="41" fontId="8" fillId="0" borderId="0" xfId="14" applyFont="1" applyAlignment="1">
      <alignment vertical="center" wrapText="1"/>
    </xf>
    <xf numFmtId="172" fontId="8" fillId="0" borderId="45" xfId="6" applyNumberFormat="1" applyFont="1" applyBorder="1" applyAlignment="1">
      <alignment horizontal="right" vertical="center" wrapText="1"/>
    </xf>
    <xf numFmtId="0" fontId="8" fillId="0" borderId="48" xfId="10" applyFont="1" applyBorder="1" applyAlignment="1">
      <alignment horizontal="left" vertical="center" wrapText="1" indent="1"/>
    </xf>
    <xf numFmtId="172" fontId="8" fillId="0" borderId="49" xfId="6" applyNumberFormat="1" applyFont="1" applyFill="1" applyBorder="1" applyAlignment="1">
      <alignment horizontal="right" vertical="center" wrapText="1"/>
    </xf>
    <xf numFmtId="172" fontId="8" fillId="0" borderId="50" xfId="6" applyNumberFormat="1" applyFont="1" applyBorder="1" applyAlignment="1">
      <alignment vertical="center" wrapText="1"/>
    </xf>
    <xf numFmtId="165" fontId="8" fillId="0" borderId="35" xfId="6" applyNumberFormat="1" applyFont="1" applyBorder="1" applyAlignment="1">
      <alignment vertical="center" wrapText="1"/>
    </xf>
    <xf numFmtId="165" fontId="8" fillId="0" borderId="35" xfId="6" applyNumberFormat="1" applyFont="1" applyFill="1" applyBorder="1" applyAlignment="1">
      <alignment vertical="center" wrapText="1"/>
    </xf>
    <xf numFmtId="165" fontId="8" fillId="0" borderId="51" xfId="6" applyNumberFormat="1" applyFont="1" applyBorder="1" applyAlignment="1">
      <alignment vertical="center" wrapText="1"/>
    </xf>
    <xf numFmtId="0" fontId="14" fillId="0" borderId="0" xfId="10" applyAlignment="1">
      <alignment vertical="center"/>
    </xf>
    <xf numFmtId="37" fontId="15" fillId="0" borderId="25" xfId="10" applyNumberFormat="1" applyFont="1" applyBorder="1" applyAlignment="1">
      <alignment vertical="center" wrapText="1"/>
    </xf>
    <xf numFmtId="165" fontId="15" fillId="0" borderId="0" xfId="6" applyNumberFormat="1" applyFont="1" applyFill="1" applyAlignment="1">
      <alignment vertical="center" wrapText="1"/>
    </xf>
    <xf numFmtId="0" fontId="4" fillId="0" borderId="25" xfId="10" applyFont="1" applyBorder="1" applyAlignment="1">
      <alignment vertical="center"/>
    </xf>
    <xf numFmtId="175" fontId="15" fillId="0" borderId="0" xfId="3" applyNumberFormat="1" applyFont="1" applyAlignment="1">
      <alignment vertical="center" wrapText="1"/>
    </xf>
    <xf numFmtId="37" fontId="15" fillId="0" borderId="29" xfId="10" applyNumberFormat="1" applyFont="1" applyBorder="1" applyAlignment="1">
      <alignment vertical="center" wrapText="1"/>
    </xf>
    <xf numFmtId="0" fontId="16" fillId="0" borderId="48" xfId="10" applyFont="1" applyBorder="1" applyAlignment="1">
      <alignment vertical="center" wrapText="1"/>
    </xf>
    <xf numFmtId="9" fontId="16" fillId="0" borderId="36" xfId="3" applyFont="1" applyFill="1" applyBorder="1" applyAlignment="1">
      <alignment vertical="center" wrapText="1"/>
    </xf>
    <xf numFmtId="175" fontId="10" fillId="0" borderId="0" xfId="3" applyNumberFormat="1" applyFont="1" applyAlignment="1">
      <alignment vertical="center" wrapText="1"/>
    </xf>
    <xf numFmtId="9" fontId="16" fillId="0" borderId="36" xfId="3" applyFont="1" applyBorder="1" applyAlignment="1">
      <alignment vertical="center" wrapText="1"/>
    </xf>
    <xf numFmtId="9" fontId="16" fillId="0" borderId="39" xfId="3" applyFont="1" applyBorder="1" applyAlignment="1">
      <alignment vertical="center" wrapText="1"/>
    </xf>
    <xf numFmtId="9" fontId="16" fillId="0" borderId="39" xfId="3" applyFont="1" applyFill="1" applyBorder="1" applyAlignment="1">
      <alignment vertical="center" wrapText="1"/>
    </xf>
    <xf numFmtId="165" fontId="15" fillId="0" borderId="54" xfId="6" applyNumberFormat="1" applyFont="1" applyFill="1" applyBorder="1" applyAlignment="1">
      <alignment vertical="center" wrapText="1"/>
    </xf>
    <xf numFmtId="172" fontId="15" fillId="0" borderId="42" xfId="6" applyNumberFormat="1" applyFont="1" applyFill="1" applyBorder="1" applyAlignment="1">
      <alignment vertical="center" wrapText="1"/>
    </xf>
    <xf numFmtId="165" fontId="15" fillId="0" borderId="54" xfId="6" applyNumberFormat="1" applyFont="1" applyBorder="1" applyAlignment="1">
      <alignment vertical="center" wrapText="1"/>
    </xf>
    <xf numFmtId="165" fontId="15" fillId="0" borderId="55" xfId="6" applyNumberFormat="1" applyFont="1" applyBorder="1" applyAlignment="1">
      <alignment vertical="center" wrapText="1"/>
    </xf>
    <xf numFmtId="165" fontId="15" fillId="0" borderId="55" xfId="6" applyNumberFormat="1" applyFont="1" applyFill="1" applyBorder="1" applyAlignment="1">
      <alignment vertical="center" wrapText="1"/>
    </xf>
    <xf numFmtId="165" fontId="15" fillId="0" borderId="56" xfId="6" applyNumberFormat="1" applyFont="1" applyBorder="1" applyAlignment="1">
      <alignment vertical="center" wrapText="1"/>
    </xf>
    <xf numFmtId="165" fontId="14" fillId="0" borderId="0" xfId="10" applyNumberFormat="1" applyAlignment="1">
      <alignment vertical="center"/>
    </xf>
    <xf numFmtId="172" fontId="8" fillId="0" borderId="46" xfId="6" applyNumberFormat="1" applyFont="1" applyFill="1" applyBorder="1" applyAlignment="1">
      <alignment vertical="center" wrapText="1"/>
    </xf>
    <xf numFmtId="0" fontId="4" fillId="0" borderId="34" xfId="6" applyNumberFormat="1" applyFont="1" applyFill="1" applyBorder="1" applyAlignment="1">
      <alignment vertical="center"/>
    </xf>
    <xf numFmtId="165" fontId="8" fillId="8" borderId="34" xfId="6" applyNumberFormat="1" applyFont="1" applyFill="1" applyBorder="1" applyAlignment="1">
      <alignment vertical="center" wrapText="1"/>
    </xf>
    <xf numFmtId="165" fontId="8" fillId="0" borderId="33" xfId="6" applyNumberFormat="1" applyFont="1" applyFill="1" applyBorder="1" applyAlignment="1">
      <alignment vertical="center" wrapText="1"/>
    </xf>
    <xf numFmtId="172" fontId="8" fillId="0" borderId="34" xfId="6" applyNumberFormat="1" applyFont="1" applyFill="1" applyBorder="1" applyAlignment="1">
      <alignment horizontal="right" vertical="center" wrapText="1"/>
    </xf>
    <xf numFmtId="172" fontId="8" fillId="0" borderId="34" xfId="6" applyNumberFormat="1" applyFont="1" applyBorder="1" applyAlignment="1">
      <alignment horizontal="right" vertical="center" wrapText="1"/>
    </xf>
    <xf numFmtId="165" fontId="8" fillId="0" borderId="57" xfId="6" applyNumberFormat="1" applyFont="1" applyFill="1" applyBorder="1" applyAlignment="1">
      <alignment vertical="center" wrapText="1"/>
    </xf>
    <xf numFmtId="172" fontId="8" fillId="0" borderId="58" xfId="6" applyNumberFormat="1" applyFont="1" applyFill="1" applyBorder="1" applyAlignment="1">
      <alignment vertical="center" wrapText="1"/>
    </xf>
    <xf numFmtId="165" fontId="8" fillId="0" borderId="59" xfId="6" applyNumberFormat="1" applyFont="1" applyFill="1" applyBorder="1" applyAlignment="1">
      <alignment vertical="center" wrapText="1"/>
    </xf>
    <xf numFmtId="165" fontId="8" fillId="0" borderId="48" xfId="6" applyNumberFormat="1" applyFont="1" applyBorder="1" applyAlignment="1">
      <alignment vertical="center" wrapText="1"/>
    </xf>
    <xf numFmtId="165" fontId="8" fillId="0" borderId="60" xfId="6" applyNumberFormat="1" applyFont="1" applyBorder="1" applyAlignment="1">
      <alignment vertical="center" wrapText="1"/>
    </xf>
    <xf numFmtId="165" fontId="8" fillId="0" borderId="60" xfId="6" applyNumberFormat="1" applyFont="1" applyFill="1" applyBorder="1" applyAlignment="1">
      <alignment vertical="center" wrapText="1"/>
    </xf>
    <xf numFmtId="3" fontId="8" fillId="0" borderId="36" xfId="10" applyNumberFormat="1" applyFont="1" applyBorder="1" applyAlignment="1">
      <alignment vertical="center" wrapText="1"/>
    </xf>
    <xf numFmtId="172" fontId="8" fillId="0" borderId="38" xfId="10" applyNumberFormat="1" applyFont="1" applyBorder="1" applyAlignment="1">
      <alignment vertical="center" wrapText="1"/>
    </xf>
    <xf numFmtId="175" fontId="8" fillId="0" borderId="0" xfId="10" applyNumberFormat="1" applyFont="1" applyAlignment="1">
      <alignment vertical="center" wrapText="1"/>
    </xf>
    <xf numFmtId="3" fontId="8" fillId="0" borderId="39" xfId="10" applyNumberFormat="1" applyFont="1" applyBorder="1" applyAlignment="1">
      <alignment vertical="center" wrapText="1"/>
    </xf>
    <xf numFmtId="172" fontId="15" fillId="0" borderId="28" xfId="6" applyNumberFormat="1" applyFont="1" applyFill="1" applyBorder="1" applyAlignment="1">
      <alignment vertical="center" wrapText="1"/>
    </xf>
    <xf numFmtId="0" fontId="4" fillId="0" borderId="44" xfId="10" applyFont="1" applyBorder="1" applyAlignment="1">
      <alignment horizontal="left" vertical="center" wrapText="1" indent="1"/>
    </xf>
    <xf numFmtId="165" fontId="4" fillId="0" borderId="31" xfId="6" applyNumberFormat="1" applyFill="1" applyBorder="1" applyAlignment="1">
      <alignment vertical="center" wrapText="1"/>
    </xf>
    <xf numFmtId="172" fontId="8" fillId="0" borderId="27" xfId="6" applyNumberFormat="1" applyFont="1" applyFill="1" applyBorder="1" applyAlignment="1">
      <alignment vertical="center" wrapText="1"/>
    </xf>
    <xf numFmtId="172" fontId="8" fillId="0" borderId="61" xfId="6" applyNumberFormat="1" applyFont="1" applyFill="1" applyBorder="1" applyAlignment="1">
      <alignment horizontal="right" vertical="center" wrapText="1"/>
    </xf>
    <xf numFmtId="0" fontId="4" fillId="0" borderId="36" xfId="6" applyNumberFormat="1" applyFont="1" applyFill="1" applyBorder="1" applyAlignment="1">
      <alignment vertical="center"/>
    </xf>
    <xf numFmtId="41" fontId="15" fillId="0" borderId="25" xfId="14" applyFont="1" applyBorder="1" applyAlignment="1">
      <alignment vertical="center" wrapText="1"/>
    </xf>
    <xf numFmtId="170" fontId="15" fillId="0" borderId="62" xfId="10" applyNumberFormat="1" applyFont="1" applyBorder="1" applyAlignment="1">
      <alignment vertical="center" wrapText="1"/>
    </xf>
    <xf numFmtId="169" fontId="16" fillId="0" borderId="36" xfId="3" applyNumberFormat="1" applyFont="1" applyFill="1" applyBorder="1" applyAlignment="1">
      <alignment vertical="center" wrapText="1"/>
    </xf>
    <xf numFmtId="175" fontId="10" fillId="0" borderId="0" xfId="10" applyNumberFormat="1" applyFont="1" applyAlignment="1">
      <alignment vertical="center" wrapText="1"/>
    </xf>
    <xf numFmtId="0" fontId="8" fillId="0" borderId="33" xfId="10" applyFont="1" applyBorder="1" applyAlignment="1">
      <alignment horizontal="left" vertical="center" wrapText="1" indent="1"/>
    </xf>
    <xf numFmtId="3" fontId="8" fillId="0" borderId="33" xfId="10" applyNumberFormat="1" applyFont="1" applyBorder="1" applyAlignment="1">
      <alignment vertical="center" wrapText="1"/>
    </xf>
    <xf numFmtId="3" fontId="8" fillId="0" borderId="31" xfId="10" applyNumberFormat="1" applyFont="1" applyBorder="1" applyAlignment="1">
      <alignment vertical="center" wrapText="1"/>
    </xf>
    <xf numFmtId="0" fontId="15" fillId="0" borderId="40" xfId="10" applyFont="1" applyBorder="1" applyAlignment="1">
      <alignment horizontal="left" vertical="center" wrapText="1" indent="1"/>
    </xf>
    <xf numFmtId="3" fontId="15" fillId="0" borderId="62" xfId="10" applyNumberFormat="1" applyFont="1" applyBorder="1" applyAlignment="1">
      <alignment vertical="center" wrapText="1"/>
    </xf>
    <xf numFmtId="0" fontId="16" fillId="0" borderId="48" xfId="10" applyFont="1" applyBorder="1" applyAlignment="1">
      <alignment horizontal="left" vertical="center" wrapText="1" indent="1"/>
    </xf>
    <xf numFmtId="172" fontId="15" fillId="0" borderId="26" xfId="6" applyNumberFormat="1" applyFont="1" applyBorder="1" applyAlignment="1">
      <alignment vertical="center" wrapText="1"/>
    </xf>
    <xf numFmtId="0" fontId="4" fillId="8" borderId="30" xfId="11" applyFill="1" applyBorder="1" applyAlignment="1">
      <alignment horizontal="left" vertical="center" indent="1"/>
    </xf>
    <xf numFmtId="172" fontId="8" fillId="0" borderId="32" xfId="6" applyNumberFormat="1" applyFont="1" applyBorder="1" applyAlignment="1">
      <alignment vertical="center" wrapText="1"/>
    </xf>
    <xf numFmtId="165" fontId="8" fillId="8" borderId="33" xfId="6" applyNumberFormat="1" applyFont="1" applyFill="1" applyBorder="1" applyAlignment="1">
      <alignment vertical="center" wrapText="1"/>
    </xf>
    <xf numFmtId="165" fontId="4" fillId="0" borderId="33" xfId="6" applyNumberFormat="1" applyFill="1" applyBorder="1" applyAlignment="1">
      <alignment vertical="center" wrapText="1"/>
    </xf>
    <xf numFmtId="0" fontId="4" fillId="6" borderId="30" xfId="11" applyFill="1" applyBorder="1" applyAlignment="1">
      <alignment horizontal="left" vertical="center" indent="1"/>
    </xf>
    <xf numFmtId="172" fontId="8" fillId="0" borderId="32" xfId="6" applyNumberFormat="1" applyFont="1" applyFill="1" applyBorder="1" applyAlignment="1">
      <alignment horizontal="right" vertical="center" wrapText="1"/>
    </xf>
    <xf numFmtId="172" fontId="8" fillId="0" borderId="32" xfId="6" applyNumberFormat="1" applyFont="1" applyBorder="1" applyAlignment="1">
      <alignment horizontal="right" vertical="center" wrapText="1"/>
    </xf>
    <xf numFmtId="0" fontId="4" fillId="0" borderId="30" xfId="11" applyBorder="1" applyAlignment="1">
      <alignment horizontal="left" vertical="center" indent="1"/>
    </xf>
    <xf numFmtId="0" fontId="4" fillId="0" borderId="35" xfId="11" applyBorder="1" applyAlignment="1">
      <alignment horizontal="left" vertical="center" indent="1"/>
    </xf>
    <xf numFmtId="165" fontId="8" fillId="0" borderId="61" xfId="6" applyNumberFormat="1" applyFont="1" applyFill="1" applyBorder="1" applyAlignment="1">
      <alignment vertical="center" wrapText="1"/>
    </xf>
    <xf numFmtId="171" fontId="8" fillId="0" borderId="63" xfId="17" applyNumberFormat="1" applyFont="1" applyFill="1" applyBorder="1" applyAlignment="1">
      <alignment vertical="center" wrapText="1"/>
    </xf>
    <xf numFmtId="0" fontId="4" fillId="0" borderId="61" xfId="6" applyNumberFormat="1" applyFont="1" applyFill="1" applyBorder="1" applyAlignment="1">
      <alignment vertical="center"/>
    </xf>
    <xf numFmtId="172" fontId="8" fillId="0" borderId="61" xfId="6" applyNumberFormat="1" applyFont="1" applyBorder="1" applyAlignment="1">
      <alignment horizontal="right" vertical="center" wrapText="1"/>
    </xf>
    <xf numFmtId="165" fontId="8" fillId="0" borderId="61" xfId="6" applyNumberFormat="1" applyFont="1" applyBorder="1" applyAlignment="1">
      <alignment vertical="center" wrapText="1"/>
    </xf>
    <xf numFmtId="165" fontId="8" fillId="0" borderId="63" xfId="6" applyNumberFormat="1" applyFont="1" applyBorder="1" applyAlignment="1">
      <alignment vertical="center" wrapText="1"/>
    </xf>
    <xf numFmtId="0" fontId="15" fillId="0" borderId="64" xfId="10" applyFont="1" applyBorder="1" applyAlignment="1">
      <alignment vertical="center" wrapText="1"/>
    </xf>
    <xf numFmtId="165" fontId="15" fillId="0" borderId="8" xfId="6" applyNumberFormat="1" applyFont="1" applyFill="1" applyBorder="1" applyAlignment="1">
      <alignment vertical="center" wrapText="1"/>
    </xf>
    <xf numFmtId="172" fontId="15" fillId="0" borderId="65" xfId="6" applyNumberFormat="1" applyFont="1" applyFill="1" applyBorder="1" applyAlignment="1">
      <alignment vertical="center" wrapText="1"/>
    </xf>
    <xf numFmtId="0" fontId="4" fillId="0" borderId="8" xfId="6" applyNumberFormat="1" applyFont="1" applyFill="1" applyBorder="1" applyAlignment="1">
      <alignment vertical="center"/>
    </xf>
    <xf numFmtId="165" fontId="15" fillId="0" borderId="8" xfId="6" applyNumberFormat="1" applyFont="1" applyBorder="1" applyAlignment="1">
      <alignment vertical="center" wrapText="1"/>
    </xf>
    <xf numFmtId="165" fontId="15" fillId="0" borderId="7" xfId="6" applyNumberFormat="1" applyFont="1" applyFill="1" applyBorder="1" applyAlignment="1">
      <alignment vertical="center" wrapText="1"/>
    </xf>
    <xf numFmtId="0" fontId="13" fillId="0" borderId="0" xfId="10" applyFont="1" applyAlignment="1">
      <alignment vertical="center"/>
    </xf>
    <xf numFmtId="0" fontId="42" fillId="0" borderId="0" xfId="10" applyFont="1" applyAlignment="1">
      <alignment vertical="center"/>
    </xf>
    <xf numFmtId="0" fontId="8" fillId="0" borderId="40" xfId="10" applyFont="1" applyBorder="1" applyAlignment="1">
      <alignment vertical="center" wrapText="1"/>
    </xf>
    <xf numFmtId="165" fontId="8" fillId="0" borderId="25" xfId="6" applyNumberFormat="1" applyFont="1" applyFill="1" applyBorder="1" applyAlignment="1">
      <alignment vertical="center" wrapText="1"/>
    </xf>
    <xf numFmtId="172" fontId="8" fillId="0" borderId="26" xfId="6" applyNumberFormat="1" applyFont="1" applyFill="1" applyBorder="1" applyAlignment="1">
      <alignment horizontal="right" vertical="center" wrapText="1"/>
    </xf>
    <xf numFmtId="0" fontId="4" fillId="0" borderId="26" xfId="6" applyNumberFormat="1" applyFont="1" applyFill="1" applyBorder="1" applyAlignment="1">
      <alignment horizontal="right" vertical="center"/>
    </xf>
    <xf numFmtId="165" fontId="42" fillId="0" borderId="27" xfId="6" applyNumberFormat="1" applyFont="1" applyFill="1" applyBorder="1" applyAlignment="1">
      <alignment vertical="center"/>
    </xf>
    <xf numFmtId="172" fontId="8" fillId="0" borderId="26" xfId="6" applyNumberFormat="1" applyFont="1" applyBorder="1" applyAlignment="1">
      <alignment horizontal="right" vertical="center" wrapText="1"/>
    </xf>
    <xf numFmtId="165" fontId="43" fillId="0" borderId="0" xfId="6" applyNumberFormat="1" applyFont="1" applyAlignment="1">
      <alignment horizontal="right" vertical="center" wrapText="1"/>
    </xf>
    <xf numFmtId="165" fontId="8" fillId="0" borderId="25" xfId="6" applyNumberFormat="1" applyFont="1" applyBorder="1" applyAlignment="1">
      <alignment vertical="center" wrapText="1"/>
    </xf>
    <xf numFmtId="165" fontId="14" fillId="0" borderId="0" xfId="6" applyNumberFormat="1" applyFont="1" applyAlignment="1">
      <alignment vertical="center"/>
    </xf>
    <xf numFmtId="165" fontId="8" fillId="0" borderId="29" xfId="6" applyNumberFormat="1" applyFont="1" applyBorder="1" applyAlignment="1">
      <alignment vertical="center" wrapText="1"/>
    </xf>
    <xf numFmtId="165" fontId="8" fillId="0" borderId="29" xfId="6" applyNumberFormat="1" applyFont="1" applyFill="1" applyBorder="1" applyAlignment="1">
      <alignment vertical="center" wrapText="1"/>
    </xf>
    <xf numFmtId="0" fontId="4" fillId="0" borderId="48" xfId="16" applyBorder="1" applyAlignment="1" applyProtection="1">
      <alignment horizontal="left"/>
      <protection locked="0"/>
    </xf>
    <xf numFmtId="165" fontId="8" fillId="0" borderId="36" xfId="6" applyNumberFormat="1" applyFont="1" applyFill="1" applyBorder="1" applyAlignment="1" applyProtection="1">
      <alignment vertical="center" wrapText="1"/>
      <protection locked="0" hidden="1"/>
    </xf>
    <xf numFmtId="171" fontId="8" fillId="0" borderId="0" xfId="17" applyNumberFormat="1" applyFont="1" applyFill="1" applyAlignment="1" applyProtection="1">
      <alignment vertical="center" wrapText="1"/>
      <protection locked="0"/>
    </xf>
    <xf numFmtId="172" fontId="8" fillId="0" borderId="37" xfId="6" applyNumberFormat="1" applyFont="1" applyFill="1" applyBorder="1" applyAlignment="1" applyProtection="1">
      <alignment vertical="center" wrapText="1"/>
      <protection locked="0"/>
    </xf>
    <xf numFmtId="0" fontId="4" fillId="0" borderId="36" xfId="6" applyNumberFormat="1" applyFont="1" applyFill="1" applyBorder="1" applyAlignment="1" applyProtection="1">
      <alignment vertical="center"/>
      <protection locked="0" hidden="1"/>
    </xf>
    <xf numFmtId="172" fontId="8" fillId="0" borderId="37" xfId="6" applyNumberFormat="1" applyFont="1" applyBorder="1" applyAlignment="1" applyProtection="1">
      <alignment vertical="center" wrapText="1"/>
      <protection locked="0"/>
    </xf>
    <xf numFmtId="165" fontId="8" fillId="0" borderId="0" xfId="6" applyNumberFormat="1" applyFont="1" applyAlignment="1" applyProtection="1">
      <alignment vertical="center" wrapText="1"/>
      <protection locked="0"/>
    </xf>
    <xf numFmtId="165" fontId="8" fillId="0" borderId="36" xfId="6" applyNumberFormat="1" applyFont="1" applyBorder="1" applyAlignment="1" applyProtection="1">
      <alignment vertical="center" wrapText="1"/>
      <protection locked="0"/>
    </xf>
    <xf numFmtId="165" fontId="8" fillId="8" borderId="0" xfId="6" applyNumberFormat="1" applyFont="1" applyFill="1" applyAlignment="1" applyProtection="1">
      <alignment vertical="center" wrapText="1"/>
      <protection locked="0"/>
    </xf>
    <xf numFmtId="165" fontId="8" fillId="8" borderId="36" xfId="6" applyNumberFormat="1" applyFont="1" applyFill="1" applyBorder="1" applyAlignment="1" applyProtection="1">
      <alignment vertical="center" wrapText="1"/>
      <protection locked="0"/>
    </xf>
    <xf numFmtId="165" fontId="8" fillId="0" borderId="36" xfId="6" applyNumberFormat="1" applyFont="1" applyBorder="1" applyAlignment="1" applyProtection="1">
      <alignment vertical="center" wrapText="1"/>
      <protection locked="0" hidden="1"/>
    </xf>
    <xf numFmtId="165" fontId="8" fillId="0" borderId="39" xfId="6" applyNumberFormat="1" applyFont="1" applyBorder="1" applyAlignment="1" applyProtection="1">
      <alignment vertical="center" wrapText="1"/>
      <protection locked="0"/>
    </xf>
    <xf numFmtId="165" fontId="8" fillId="0" borderId="39" xfId="6" applyNumberFormat="1" applyFont="1" applyFill="1" applyBorder="1" applyAlignment="1" applyProtection="1">
      <alignment vertical="center" wrapText="1"/>
      <protection locked="0"/>
    </xf>
    <xf numFmtId="165" fontId="4" fillId="0" borderId="39" xfId="6" applyNumberFormat="1" applyFill="1" applyBorder="1" applyAlignment="1" applyProtection="1">
      <alignment vertical="center" wrapText="1"/>
      <protection locked="0"/>
    </xf>
    <xf numFmtId="37" fontId="10" fillId="0" borderId="0" xfId="10" applyNumberFormat="1" applyFont="1" applyAlignment="1" applyProtection="1">
      <alignment vertical="center" wrapText="1"/>
      <protection locked="0"/>
    </xf>
    <xf numFmtId="0" fontId="8" fillId="8" borderId="0" xfId="10" applyFont="1" applyFill="1" applyAlignment="1" applyProtection="1">
      <alignment vertical="center" wrapText="1"/>
      <protection locked="0"/>
    </xf>
    <xf numFmtId="0" fontId="5" fillId="0" borderId="25" xfId="6" applyNumberFormat="1" applyFont="1" applyFill="1" applyBorder="1" applyAlignment="1">
      <alignment vertical="center"/>
    </xf>
    <xf numFmtId="37" fontId="44" fillId="0" borderId="0" xfId="10" applyNumberFormat="1" applyFont="1" applyAlignment="1">
      <alignment vertical="center" wrapText="1"/>
    </xf>
    <xf numFmtId="0" fontId="10" fillId="0" borderId="44" xfId="11" applyFont="1" applyBorder="1" applyAlignment="1">
      <alignment horizontal="left" vertical="center" indent="1"/>
    </xf>
    <xf numFmtId="165" fontId="4" fillId="0" borderId="31" xfId="6" applyNumberFormat="1" applyBorder="1" applyAlignment="1">
      <alignment vertical="center" wrapText="1"/>
    </xf>
    <xf numFmtId="0" fontId="15" fillId="0" borderId="44" xfId="10" applyFont="1" applyBorder="1" applyAlignment="1">
      <alignment vertical="center" wrapText="1"/>
    </xf>
    <xf numFmtId="165" fontId="15" fillId="0" borderId="31" xfId="6" applyNumberFormat="1" applyFont="1" applyFill="1" applyBorder="1" applyAlignment="1">
      <alignment vertical="center" wrapText="1"/>
    </xf>
    <xf numFmtId="172" fontId="15" fillId="0" borderId="32" xfId="6" applyNumberFormat="1" applyFont="1" applyFill="1" applyBorder="1" applyAlignment="1">
      <alignment vertical="center" wrapText="1"/>
    </xf>
    <xf numFmtId="172" fontId="15" fillId="0" borderId="32" xfId="6" applyNumberFormat="1" applyFont="1" applyBorder="1" applyAlignment="1">
      <alignment vertical="center" wrapText="1"/>
    </xf>
    <xf numFmtId="165" fontId="15" fillId="0" borderId="31" xfId="6" applyNumberFormat="1" applyFont="1" applyBorder="1" applyAlignment="1">
      <alignment vertical="center" wrapText="1"/>
    </xf>
    <xf numFmtId="165" fontId="15" fillId="0" borderId="33" xfId="6" applyNumberFormat="1" applyFont="1" applyBorder="1" applyAlignment="1">
      <alignment vertical="center" wrapText="1"/>
    </xf>
    <xf numFmtId="165" fontId="15" fillId="0" borderId="33" xfId="6" applyNumberFormat="1" applyFont="1" applyFill="1" applyBorder="1" applyAlignment="1">
      <alignment vertical="center" wrapText="1"/>
    </xf>
    <xf numFmtId="169" fontId="19" fillId="0" borderId="0" xfId="3" applyNumberFormat="1" applyFont="1" applyFill="1" applyAlignment="1">
      <alignment vertical="center" wrapText="1"/>
    </xf>
    <xf numFmtId="169" fontId="19" fillId="0" borderId="0" xfId="3" applyNumberFormat="1" applyFont="1" applyAlignment="1">
      <alignment vertical="center" wrapText="1"/>
    </xf>
    <xf numFmtId="169" fontId="19" fillId="0" borderId="27" xfId="3" applyNumberFormat="1" applyFont="1" applyBorder="1" applyAlignment="1">
      <alignment vertical="center" wrapText="1"/>
    </xf>
    <xf numFmtId="0" fontId="40" fillId="0" borderId="0" xfId="10" applyFont="1" applyAlignment="1">
      <alignment vertical="center" wrapText="1"/>
    </xf>
    <xf numFmtId="0" fontId="4" fillId="6" borderId="44" xfId="11" applyFill="1" applyBorder="1" applyAlignment="1">
      <alignment horizontal="left" vertical="center" indent="1"/>
    </xf>
    <xf numFmtId="0" fontId="8" fillId="0" borderId="32" xfId="6" applyNumberFormat="1" applyFont="1" applyFill="1" applyBorder="1" applyAlignment="1">
      <alignment vertical="center"/>
    </xf>
    <xf numFmtId="0" fontId="5" fillId="6" borderId="44" xfId="11" applyFont="1" applyFill="1" applyBorder="1" applyAlignment="1">
      <alignment horizontal="left" vertical="center" indent="1"/>
    </xf>
    <xf numFmtId="165" fontId="22" fillId="0" borderId="31" xfId="6" applyNumberFormat="1" applyFont="1" applyFill="1" applyBorder="1" applyAlignment="1">
      <alignment vertical="center" wrapText="1"/>
    </xf>
    <xf numFmtId="171" fontId="22" fillId="0" borderId="0" xfId="17" applyNumberFormat="1" applyFont="1" applyFill="1" applyAlignment="1">
      <alignment vertical="center" wrapText="1"/>
    </xf>
    <xf numFmtId="165" fontId="45" fillId="0" borderId="0" xfId="6" applyNumberFormat="1" applyFont="1" applyAlignment="1">
      <alignment horizontal="right" vertical="center" wrapText="1"/>
    </xf>
    <xf numFmtId="165" fontId="22" fillId="0" borderId="31" xfId="6" applyNumberFormat="1" applyFont="1" applyBorder="1" applyAlignment="1">
      <alignment vertical="center" wrapText="1"/>
    </xf>
    <xf numFmtId="165" fontId="22" fillId="0" borderId="33" xfId="6" applyNumberFormat="1" applyFont="1" applyBorder="1" applyAlignment="1">
      <alignment vertical="center" wrapText="1"/>
    </xf>
    <xf numFmtId="165" fontId="22" fillId="0" borderId="33" xfId="6" applyNumberFormat="1" applyFont="1" applyFill="1" applyBorder="1" applyAlignment="1">
      <alignment vertical="center" wrapText="1"/>
    </xf>
    <xf numFmtId="165" fontId="16" fillId="0" borderId="39" xfId="3" applyNumberFormat="1" applyFont="1" applyBorder="1" applyAlignment="1">
      <alignment vertical="center" wrapText="1"/>
    </xf>
    <xf numFmtId="37" fontId="10" fillId="12" borderId="0" xfId="10" applyNumberFormat="1" applyFont="1" applyFill="1" applyAlignment="1">
      <alignment vertical="center" wrapText="1"/>
    </xf>
    <xf numFmtId="165" fontId="10" fillId="0" borderId="0" xfId="10" applyNumberFormat="1" applyFont="1" applyAlignment="1">
      <alignment vertical="center" wrapText="1"/>
    </xf>
    <xf numFmtId="39" fontId="10" fillId="0" borderId="0" xfId="10" applyNumberFormat="1" applyFont="1" applyAlignment="1">
      <alignment vertical="center" wrapText="1"/>
    </xf>
    <xf numFmtId="165" fontId="15" fillId="4" borderId="0" xfId="10" applyNumberFormat="1" applyFont="1" applyFill="1" applyAlignment="1">
      <alignment vertical="center" wrapText="1"/>
    </xf>
    <xf numFmtId="165" fontId="46" fillId="13" borderId="67" xfId="18" applyNumberFormat="1" applyFont="1" applyFill="1" applyBorder="1" applyAlignment="1">
      <alignment horizontal="right" vertical="center"/>
    </xf>
    <xf numFmtId="165" fontId="41" fillId="0" borderId="27" xfId="6" applyNumberFormat="1" applyFont="1" applyBorder="1" applyAlignment="1">
      <alignment vertical="center" wrapText="1"/>
    </xf>
    <xf numFmtId="165" fontId="46" fillId="13" borderId="67" xfId="19" applyNumberFormat="1" applyFont="1" applyFill="1" applyBorder="1" applyAlignment="1">
      <alignment horizontal="right" vertical="center"/>
    </xf>
    <xf numFmtId="165" fontId="46" fillId="0" borderId="67" xfId="19" applyNumberFormat="1" applyFont="1" applyBorder="1" applyAlignment="1">
      <alignment horizontal="right" vertical="center"/>
    </xf>
    <xf numFmtId="165" fontId="46" fillId="0" borderId="67" xfId="19" applyNumberFormat="1" applyFont="1" applyFill="1" applyBorder="1" applyAlignment="1">
      <alignment horizontal="right" vertical="center"/>
    </xf>
    <xf numFmtId="0" fontId="18" fillId="0" borderId="0" xfId="16" applyFont="1"/>
    <xf numFmtId="0" fontId="16" fillId="0" borderId="0" xfId="16" applyFont="1"/>
    <xf numFmtId="0" fontId="47" fillId="0" borderId="0" xfId="5" applyFont="1" applyAlignment="1">
      <alignment horizontal="right" vertical="center" wrapText="1"/>
    </xf>
    <xf numFmtId="17" fontId="7" fillId="10" borderId="6" xfId="5" applyNumberFormat="1" applyFont="1" applyFill="1" applyBorder="1" applyAlignment="1">
      <alignment horizontal="center" vertical="center" wrapText="1"/>
    </xf>
    <xf numFmtId="0" fontId="4" fillId="0" borderId="7" xfId="5" applyBorder="1" applyAlignment="1" applyProtection="1">
      <alignment horizontal="left" vertical="center" wrapText="1"/>
      <protection locked="0"/>
    </xf>
    <xf numFmtId="165" fontId="4" fillId="0" borderId="12" xfId="6" applyNumberFormat="1" applyFont="1" applyFill="1" applyBorder="1" applyAlignment="1">
      <alignment horizontal="right" vertical="center" wrapText="1"/>
    </xf>
    <xf numFmtId="164" fontId="4" fillId="0" borderId="0" xfId="6" applyFont="1" applyAlignment="1">
      <alignment horizontal="left" vertical="center" wrapText="1"/>
    </xf>
    <xf numFmtId="0" fontId="8" fillId="0" borderId="7" xfId="5" applyFont="1" applyBorder="1" applyAlignment="1" applyProtection="1">
      <alignment horizontal="left" vertical="center"/>
      <protection locked="0"/>
    </xf>
    <xf numFmtId="164" fontId="4" fillId="0" borderId="12" xfId="6" applyFont="1" applyFill="1" applyBorder="1" applyAlignment="1">
      <alignment horizontal="right" vertical="center" wrapText="1"/>
    </xf>
    <xf numFmtId="0" fontId="8" fillId="0" borderId="0" xfId="5" applyFont="1" applyAlignment="1" applyProtection="1">
      <alignment horizontal="left" vertical="center"/>
      <protection locked="0"/>
    </xf>
    <xf numFmtId="171" fontId="4" fillId="0" borderId="11" xfId="20" applyNumberFormat="1" applyFont="1" applyBorder="1" applyAlignment="1">
      <alignment horizontal="right" vertical="center" wrapText="1"/>
    </xf>
    <xf numFmtId="171" fontId="5" fillId="0" borderId="0" xfId="21" applyNumberFormat="1" applyFont="1" applyAlignment="1">
      <alignment horizontal="right" vertical="center" wrapText="1"/>
    </xf>
    <xf numFmtId="164" fontId="4" fillId="0" borderId="66" xfId="6" applyFont="1" applyFill="1" applyBorder="1" applyAlignment="1">
      <alignment horizontal="right" vertical="center" wrapText="1"/>
    </xf>
    <xf numFmtId="172" fontId="8" fillId="0" borderId="0" xfId="6" applyNumberFormat="1" applyFont="1" applyAlignment="1">
      <alignment vertical="center" wrapText="1"/>
    </xf>
    <xf numFmtId="165" fontId="29" fillId="0" borderId="0" xfId="5" applyNumberFormat="1" applyFont="1" applyAlignment="1">
      <alignment horizontal="right" vertical="center" wrapText="1"/>
    </xf>
    <xf numFmtId="0" fontId="4" fillId="0" borderId="7" xfId="7" applyBorder="1" applyAlignment="1" applyProtection="1">
      <alignment vertical="center"/>
      <protection locked="0"/>
    </xf>
    <xf numFmtId="165" fontId="48" fillId="0" borderId="12" xfId="6" applyNumberFormat="1" applyFont="1" applyFill="1" applyBorder="1" applyAlignment="1" applyProtection="1">
      <alignment horizontal="right" vertical="center"/>
    </xf>
    <xf numFmtId="166" fontId="5" fillId="0" borderId="0" xfId="22" applyFont="1" applyAlignment="1">
      <alignment horizontal="right" vertical="center" wrapText="1"/>
    </xf>
    <xf numFmtId="164" fontId="30" fillId="0" borderId="0" xfId="6" applyFont="1" applyAlignment="1">
      <alignment vertical="center" wrapText="1"/>
    </xf>
    <xf numFmtId="3" fontId="10" fillId="0" borderId="0" xfId="10" applyNumberFormat="1" applyFont="1" applyAlignment="1">
      <alignment vertical="center" wrapText="1"/>
    </xf>
    <xf numFmtId="165" fontId="8" fillId="8" borderId="38" xfId="6" applyNumberFormat="1" applyFont="1" applyFill="1" applyBorder="1" applyAlignment="1">
      <alignment horizontal="right" vertical="center" wrapText="1"/>
    </xf>
    <xf numFmtId="0" fontId="8" fillId="0" borderId="69" xfId="10" applyFont="1" applyBorder="1" applyAlignment="1">
      <alignment vertical="center" wrapText="1"/>
    </xf>
    <xf numFmtId="0" fontId="15" fillId="0" borderId="70" xfId="10" applyFont="1" applyBorder="1" applyAlignment="1">
      <alignment vertical="center" wrapText="1"/>
    </xf>
    <xf numFmtId="165" fontId="15" fillId="0" borderId="8" xfId="6" applyNumberFormat="1" applyFont="1" applyFill="1" applyBorder="1" applyAlignment="1">
      <alignment horizontal="right" vertical="center" wrapText="1"/>
    </xf>
    <xf numFmtId="172" fontId="15" fillId="0" borderId="71" xfId="10" applyNumberFormat="1" applyFont="1" applyBorder="1" applyAlignment="1">
      <alignment horizontal="right" vertical="center" wrapText="1"/>
    </xf>
    <xf numFmtId="165" fontId="15" fillId="0" borderId="71" xfId="6" applyNumberFormat="1" applyFont="1" applyBorder="1" applyAlignment="1">
      <alignment horizontal="right" vertical="center" wrapText="1"/>
    </xf>
    <xf numFmtId="165" fontId="15" fillId="0" borderId="71" xfId="6" applyNumberFormat="1" applyFont="1" applyFill="1" applyBorder="1" applyAlignment="1">
      <alignment horizontal="left" vertical="center"/>
    </xf>
    <xf numFmtId="172" fontId="15" fillId="0" borderId="71" xfId="6" applyNumberFormat="1" applyFont="1" applyBorder="1" applyAlignment="1">
      <alignment horizontal="right" vertical="center" wrapText="1"/>
    </xf>
    <xf numFmtId="165" fontId="15" fillId="0" borderId="72" xfId="6" applyNumberFormat="1" applyFont="1" applyBorder="1" applyAlignment="1">
      <alignment horizontal="right" vertical="center" wrapText="1"/>
    </xf>
    <xf numFmtId="165" fontId="15" fillId="0" borderId="8" xfId="6" applyNumberFormat="1" applyFont="1" applyBorder="1" applyAlignment="1">
      <alignment horizontal="right" vertical="center" wrapText="1"/>
    </xf>
    <xf numFmtId="165" fontId="15" fillId="0" borderId="0" xfId="6" applyNumberFormat="1" applyFont="1" applyAlignment="1">
      <alignment horizontal="right" vertical="center" wrapText="1"/>
    </xf>
    <xf numFmtId="165" fontId="36" fillId="0" borderId="0" xfId="10" applyNumberFormat="1" applyFont="1" applyAlignment="1">
      <alignment vertical="center" wrapText="1"/>
    </xf>
    <xf numFmtId="165" fontId="15" fillId="0" borderId="0" xfId="6" applyNumberFormat="1" applyFont="1" applyBorder="1" applyAlignment="1">
      <alignment horizontal="right" vertical="center" wrapText="1"/>
    </xf>
    <xf numFmtId="0" fontId="49" fillId="0" borderId="0" xfId="7" applyFont="1" applyAlignment="1" applyProtection="1">
      <alignment vertical="center"/>
      <protection locked="0"/>
    </xf>
    <xf numFmtId="0" fontId="50" fillId="0" borderId="39" xfId="13" applyFont="1" applyBorder="1" applyAlignment="1">
      <alignment vertical="center" wrapText="1"/>
    </xf>
    <xf numFmtId="170" fontId="27" fillId="0" borderId="73" xfId="13" applyNumberFormat="1" applyFont="1" applyBorder="1" applyAlignment="1">
      <alignment horizontal="right" vertical="center" wrapText="1"/>
    </xf>
    <xf numFmtId="170" fontId="27" fillId="0" borderId="0" xfId="13" applyNumberFormat="1" applyFont="1" applyAlignment="1">
      <alignment horizontal="right" vertical="center" wrapText="1"/>
    </xf>
    <xf numFmtId="170" fontId="27" fillId="0" borderId="74" xfId="13" applyNumberFormat="1" applyFont="1" applyBorder="1" applyAlignment="1">
      <alignment vertical="center" wrapText="1"/>
    </xf>
    <xf numFmtId="170" fontId="27" fillId="0" borderId="33" xfId="13" applyNumberFormat="1" applyFont="1" applyBorder="1" applyAlignment="1">
      <alignment vertical="center" wrapText="1"/>
    </xf>
    <xf numFmtId="170" fontId="27" fillId="0" borderId="27" xfId="10" applyNumberFormat="1" applyFont="1" applyBorder="1" applyAlignment="1">
      <alignment vertical="center" wrapText="1"/>
    </xf>
    <xf numFmtId="172" fontId="27" fillId="0" borderId="36" xfId="13" applyNumberFormat="1" applyFont="1" applyBorder="1" applyAlignment="1">
      <alignment horizontal="right" vertical="center" wrapText="1"/>
    </xf>
    <xf numFmtId="172" fontId="27" fillId="0" borderId="39" xfId="13" applyNumberFormat="1" applyFont="1" applyBorder="1" applyAlignment="1">
      <alignment horizontal="right" vertical="center" wrapText="1"/>
    </xf>
    <xf numFmtId="172" fontId="27" fillId="0" borderId="0" xfId="13" applyNumberFormat="1" applyFont="1" applyAlignment="1">
      <alignment horizontal="right" vertical="center" wrapText="1"/>
    </xf>
    <xf numFmtId="0" fontId="38" fillId="0" borderId="0" xfId="7" applyFont="1" applyAlignment="1" applyProtection="1">
      <alignment vertical="center"/>
      <protection locked="0"/>
    </xf>
    <xf numFmtId="0" fontId="8" fillId="0" borderId="29" xfId="10" applyFont="1" applyBorder="1" applyAlignment="1">
      <alignment horizontal="left" vertical="center" wrapText="1" indent="1"/>
    </xf>
    <xf numFmtId="165" fontId="4" fillId="0" borderId="75" xfId="6" applyNumberFormat="1" applyFont="1" applyFill="1" applyBorder="1" applyAlignment="1">
      <alignment vertical="center" wrapText="1"/>
    </xf>
    <xf numFmtId="165" fontId="4" fillId="0" borderId="0" xfId="6" applyNumberFormat="1" applyFill="1" applyAlignment="1">
      <alignment vertical="center" wrapText="1"/>
    </xf>
    <xf numFmtId="165" fontId="4" fillId="0" borderId="75" xfId="6" applyNumberFormat="1" applyFill="1" applyBorder="1" applyAlignment="1">
      <alignment vertical="center" wrapText="1"/>
    </xf>
    <xf numFmtId="165" fontId="8" fillId="0" borderId="25" xfId="6" applyNumberFormat="1" applyFont="1" applyFill="1" applyBorder="1" applyAlignment="1">
      <alignment horizontal="right" vertical="center" wrapText="1"/>
    </xf>
    <xf numFmtId="165" fontId="8" fillId="0" borderId="76" xfId="6" applyNumberFormat="1" applyFont="1" applyFill="1" applyBorder="1" applyAlignment="1">
      <alignment vertical="center" wrapText="1"/>
    </xf>
    <xf numFmtId="0" fontId="8" fillId="0" borderId="76" xfId="6" applyNumberFormat="1" applyFont="1" applyFill="1" applyBorder="1" applyAlignment="1">
      <alignment vertical="center"/>
    </xf>
    <xf numFmtId="165" fontId="8" fillId="0" borderId="31" xfId="6" applyNumberFormat="1" applyFont="1" applyFill="1" applyBorder="1" applyAlignment="1">
      <alignment horizontal="right" vertical="center" wrapText="1"/>
    </xf>
    <xf numFmtId="0" fontId="8" fillId="0" borderId="39" xfId="10" applyFont="1" applyBorder="1" applyAlignment="1">
      <alignment horizontal="left" vertical="center" wrapText="1" indent="1"/>
    </xf>
    <xf numFmtId="165" fontId="4" fillId="0" borderId="77" xfId="6" applyNumberFormat="1" applyFont="1" applyFill="1" applyBorder="1" applyAlignment="1">
      <alignment vertical="center" wrapText="1"/>
    </xf>
    <xf numFmtId="3" fontId="4" fillId="0" borderId="0" xfId="10" applyNumberFormat="1" applyFont="1" applyAlignment="1">
      <alignment vertical="center" wrapText="1"/>
    </xf>
    <xf numFmtId="165" fontId="4" fillId="0" borderId="77" xfId="6" applyNumberFormat="1" applyFill="1" applyBorder="1" applyAlignment="1">
      <alignment vertical="center" wrapText="1"/>
    </xf>
    <xf numFmtId="165" fontId="8" fillId="0" borderId="36" xfId="6" applyNumberFormat="1" applyFont="1" applyFill="1" applyBorder="1" applyAlignment="1">
      <alignment horizontal="right" vertical="center" wrapText="1"/>
    </xf>
    <xf numFmtId="0" fontId="15" fillId="0" borderId="29" xfId="10" applyFont="1" applyBorder="1" applyAlignment="1">
      <alignment vertical="center" wrapText="1"/>
    </xf>
    <xf numFmtId="165" fontId="5" fillId="0" borderId="75" xfId="6" applyNumberFormat="1" applyFont="1" applyFill="1" applyBorder="1" applyAlignment="1">
      <alignment vertical="center" wrapText="1"/>
    </xf>
    <xf numFmtId="172" fontId="15" fillId="0" borderId="54" xfId="10" applyNumberFormat="1" applyFont="1" applyBorder="1" applyAlignment="1">
      <alignment horizontal="right" vertical="center" wrapText="1"/>
    </xf>
    <xf numFmtId="165" fontId="15" fillId="0" borderId="25" xfId="6" applyNumberFormat="1" applyFont="1" applyFill="1" applyBorder="1" applyAlignment="1">
      <alignment horizontal="right" vertical="center" wrapText="1"/>
    </xf>
    <xf numFmtId="165" fontId="8" fillId="0" borderId="31" xfId="6" applyNumberFormat="1" applyFont="1" applyBorder="1" applyAlignment="1">
      <alignment horizontal="right" vertical="center" wrapText="1"/>
    </xf>
    <xf numFmtId="171" fontId="8" fillId="0" borderId="0" xfId="23" applyNumberFormat="1" applyFont="1" applyAlignment="1">
      <alignment vertical="center" wrapText="1"/>
    </xf>
    <xf numFmtId="0" fontId="8" fillId="0" borderId="78" xfId="10" applyFont="1" applyBorder="1" applyAlignment="1">
      <alignment horizontal="left" vertical="center" wrapText="1" indent="1"/>
    </xf>
    <xf numFmtId="165" fontId="8" fillId="0" borderId="79" xfId="6" applyNumberFormat="1" applyFont="1" applyFill="1" applyBorder="1" applyAlignment="1">
      <alignment vertical="center" wrapText="1"/>
    </xf>
    <xf numFmtId="165" fontId="8" fillId="0" borderId="36" xfId="6" applyNumberFormat="1" applyFont="1" applyBorder="1" applyAlignment="1">
      <alignment horizontal="right" vertical="center" wrapText="1"/>
    </xf>
    <xf numFmtId="165" fontId="15" fillId="0" borderId="25" xfId="6" applyNumberFormat="1" applyFont="1" applyFill="1" applyBorder="1" applyAlignment="1">
      <alignment horizontal="left" vertical="center"/>
    </xf>
    <xf numFmtId="165" fontId="15" fillId="0" borderId="25" xfId="6" applyNumberFormat="1" applyFont="1" applyBorder="1" applyAlignment="1">
      <alignment horizontal="right" vertical="center" wrapText="1"/>
    </xf>
    <xf numFmtId="0" fontId="16" fillId="0" borderId="78" xfId="10" applyFont="1" applyBorder="1" applyAlignment="1">
      <alignment vertical="center" wrapText="1"/>
    </xf>
    <xf numFmtId="169" fontId="16" fillId="0" borderId="80" xfId="3" applyNumberFormat="1" applyFont="1" applyFill="1" applyBorder="1" applyAlignment="1">
      <alignment vertical="center" wrapText="1"/>
    </xf>
    <xf numFmtId="169" fontId="16" fillId="0" borderId="0" xfId="3" applyNumberFormat="1" applyFont="1" applyAlignment="1">
      <alignment vertical="center" wrapText="1"/>
    </xf>
    <xf numFmtId="169" fontId="16" fillId="0" borderId="36" xfId="3" applyNumberFormat="1" applyFont="1" applyBorder="1" applyAlignment="1">
      <alignment vertical="center" wrapText="1"/>
    </xf>
    <xf numFmtId="37" fontId="15" fillId="0" borderId="54" xfId="10" applyNumberFormat="1" applyFont="1" applyBorder="1" applyAlignment="1">
      <alignment vertical="center" wrapText="1"/>
    </xf>
    <xf numFmtId="175" fontId="8" fillId="0" borderId="34" xfId="10" applyNumberFormat="1" applyFont="1" applyBorder="1" applyAlignment="1">
      <alignment vertical="center" wrapText="1"/>
    </xf>
    <xf numFmtId="165" fontId="8" fillId="0" borderId="77" xfId="6" applyNumberFormat="1" applyFont="1" applyFill="1" applyBorder="1" applyAlignment="1">
      <alignment vertical="center" wrapText="1"/>
    </xf>
    <xf numFmtId="3" fontId="8" fillId="0" borderId="73" xfId="10" applyNumberFormat="1" applyFont="1" applyBorder="1" applyAlignment="1">
      <alignment vertical="center" wrapText="1"/>
    </xf>
    <xf numFmtId="175" fontId="8" fillId="0" borderId="38" xfId="10" applyNumberFormat="1" applyFont="1" applyBorder="1" applyAlignment="1">
      <alignment vertical="center" wrapText="1"/>
    </xf>
    <xf numFmtId="176" fontId="15" fillId="0" borderId="0" xfId="10" applyNumberFormat="1" applyFont="1" applyAlignment="1">
      <alignment vertical="center" wrapText="1"/>
    </xf>
    <xf numFmtId="165" fontId="5" fillId="0" borderId="75" xfId="6" applyNumberFormat="1" applyFont="1" applyFill="1" applyBorder="1" applyAlignment="1">
      <alignment vertical="center"/>
    </xf>
    <xf numFmtId="0" fontId="8" fillId="0" borderId="31" xfId="10" applyFont="1" applyBorder="1" applyAlignment="1">
      <alignment vertical="center" wrapText="1"/>
    </xf>
    <xf numFmtId="175" fontId="15" fillId="0" borderId="54" xfId="10" applyNumberFormat="1" applyFont="1" applyBorder="1" applyAlignment="1">
      <alignment vertical="center" wrapText="1"/>
    </xf>
    <xf numFmtId="0" fontId="4" fillId="0" borderId="33" xfId="10" applyFont="1" applyBorder="1" applyAlignment="1">
      <alignment horizontal="left" vertical="center" wrapText="1" indent="1"/>
    </xf>
    <xf numFmtId="165" fontId="8" fillId="0" borderId="34" xfId="6" applyNumberFormat="1" applyFont="1" applyFill="1" applyBorder="1" applyAlignment="1">
      <alignment horizontal="right" vertical="center" wrapText="1"/>
    </xf>
    <xf numFmtId="175" fontId="8" fillId="0" borderId="34" xfId="10" applyNumberFormat="1" applyFont="1" applyBorder="1" applyAlignment="1">
      <alignment horizontal="right" vertical="center" wrapText="1"/>
    </xf>
    <xf numFmtId="164" fontId="8" fillId="0" borderId="0" xfId="6" applyFont="1" applyAlignment="1">
      <alignment horizontal="right" vertical="center" wrapText="1"/>
    </xf>
    <xf numFmtId="165" fontId="4" fillId="0" borderId="0" xfId="6" applyNumberFormat="1" applyFill="1" applyProtection="1">
      <protection locked="0"/>
    </xf>
    <xf numFmtId="165" fontId="4" fillId="0" borderId="0" xfId="6" applyNumberFormat="1" applyProtection="1">
      <protection locked="0"/>
    </xf>
    <xf numFmtId="37" fontId="8" fillId="0" borderId="73" xfId="10" applyNumberFormat="1" applyFont="1" applyBorder="1" applyAlignment="1">
      <alignment vertical="center" wrapText="1"/>
    </xf>
    <xf numFmtId="0" fontId="15" fillId="0" borderId="31" xfId="10" applyFont="1" applyBorder="1" applyAlignment="1">
      <alignment vertical="center" wrapText="1"/>
    </xf>
    <xf numFmtId="0" fontId="51" fillId="0" borderId="31" xfId="7" applyFont="1" applyBorder="1" applyAlignment="1" applyProtection="1">
      <alignment vertical="center"/>
      <protection locked="0"/>
    </xf>
    <xf numFmtId="0" fontId="51" fillId="0" borderId="0" xfId="7" applyFont="1" applyAlignment="1" applyProtection="1">
      <alignment vertical="center"/>
      <protection locked="0"/>
    </xf>
    <xf numFmtId="0" fontId="50" fillId="0" borderId="33" xfId="13" applyFont="1" applyBorder="1" applyAlignment="1">
      <alignment vertical="center" wrapText="1"/>
    </xf>
    <xf numFmtId="170" fontId="27" fillId="0" borderId="34" xfId="13" applyNumberFormat="1" applyFont="1" applyBorder="1" applyAlignment="1">
      <alignment vertical="center" wrapText="1"/>
    </xf>
    <xf numFmtId="170" fontId="27" fillId="0" borderId="34" xfId="10" applyNumberFormat="1" applyFont="1" applyBorder="1" applyAlignment="1">
      <alignment vertical="center" wrapText="1"/>
    </xf>
    <xf numFmtId="172" fontId="27" fillId="0" borderId="31" xfId="13" applyNumberFormat="1" applyFont="1" applyBorder="1" applyAlignment="1">
      <alignment horizontal="right" vertical="center" wrapText="1"/>
    </xf>
    <xf numFmtId="0" fontId="10" fillId="0" borderId="31" xfId="10" applyFont="1" applyBorder="1" applyAlignment="1">
      <alignment vertical="center" wrapText="1"/>
    </xf>
    <xf numFmtId="169" fontId="16" fillId="0" borderId="74" xfId="3" applyNumberFormat="1" applyFont="1" applyFill="1" applyBorder="1" applyAlignment="1">
      <alignment vertical="center" wrapText="1"/>
    </xf>
    <xf numFmtId="3" fontId="8" fillId="0" borderId="81" xfId="10" applyNumberFormat="1" applyFont="1" applyBorder="1" applyAlignment="1">
      <alignment vertical="center" wrapText="1"/>
    </xf>
    <xf numFmtId="3" fontId="8" fillId="0" borderId="82" xfId="10" applyNumberFormat="1" applyFont="1" applyBorder="1" applyAlignment="1">
      <alignment vertical="center" wrapText="1"/>
    </xf>
    <xf numFmtId="170" fontId="27" fillId="0" borderId="31" xfId="10" applyNumberFormat="1" applyFont="1" applyBorder="1" applyAlignment="1">
      <alignment vertical="center" wrapText="1"/>
    </xf>
    <xf numFmtId="170" fontId="27" fillId="0" borderId="76" xfId="10" applyNumberFormat="1" applyFont="1" applyBorder="1" applyAlignment="1">
      <alignment vertical="center" wrapText="1"/>
    </xf>
    <xf numFmtId="172" fontId="27" fillId="0" borderId="76" xfId="13" applyNumberFormat="1" applyFont="1" applyBorder="1" applyAlignment="1">
      <alignment horizontal="right" vertical="center" wrapText="1"/>
    </xf>
    <xf numFmtId="169" fontId="16" fillId="0" borderId="77" xfId="3" applyNumberFormat="1" applyFont="1" applyBorder="1" applyAlignment="1">
      <alignment vertical="center" wrapText="1"/>
    </xf>
    <xf numFmtId="3" fontId="9" fillId="0" borderId="0" xfId="10" applyNumberFormat="1" applyFont="1" applyAlignment="1">
      <alignment vertical="center" wrapText="1"/>
    </xf>
    <xf numFmtId="0" fontId="14" fillId="0" borderId="0" xfId="10"/>
    <xf numFmtId="0" fontId="14" fillId="0" borderId="0" xfId="10" applyAlignment="1">
      <alignment horizontal="left"/>
    </xf>
    <xf numFmtId="17" fontId="7" fillId="0" borderId="83" xfId="5" applyNumberFormat="1" applyFont="1" applyBorder="1" applyAlignment="1">
      <alignment horizontal="center" wrapText="1"/>
    </xf>
    <xf numFmtId="17" fontId="7" fillId="0" borderId="0" xfId="5" applyNumberFormat="1" applyFont="1" applyAlignment="1">
      <alignment horizontal="center" wrapText="1"/>
    </xf>
    <xf numFmtId="172" fontId="15" fillId="0" borderId="54" xfId="6" applyNumberFormat="1" applyFont="1" applyFill="1" applyBorder="1" applyAlignment="1">
      <alignment horizontal="right" vertical="center" wrapText="1"/>
    </xf>
    <xf numFmtId="170" fontId="27" fillId="0" borderId="31" xfId="13" applyNumberFormat="1" applyFont="1" applyBorder="1" applyAlignment="1">
      <alignment vertical="center" wrapText="1"/>
    </xf>
    <xf numFmtId="0" fontId="52" fillId="0" borderId="78" xfId="10" applyFont="1" applyBorder="1" applyAlignment="1">
      <alignment vertical="center" wrapText="1"/>
    </xf>
    <xf numFmtId="169" fontId="52" fillId="0" borderId="74" xfId="3" applyNumberFormat="1" applyFont="1" applyFill="1" applyBorder="1" applyAlignment="1">
      <alignment vertical="center" wrapText="1"/>
    </xf>
    <xf numFmtId="169" fontId="52" fillId="0" borderId="36" xfId="3" applyNumberFormat="1" applyFont="1" applyFill="1" applyBorder="1" applyAlignment="1">
      <alignment vertical="center" wrapText="1"/>
    </xf>
    <xf numFmtId="169" fontId="15" fillId="0" borderId="36" xfId="10" applyNumberFormat="1" applyFont="1" applyBorder="1" applyAlignment="1">
      <alignment vertical="center" wrapText="1"/>
    </xf>
    <xf numFmtId="169" fontId="15" fillId="0" borderId="0" xfId="10" applyNumberFormat="1" applyFont="1" applyAlignment="1">
      <alignment vertical="center" wrapText="1"/>
    </xf>
    <xf numFmtId="176" fontId="15" fillId="0" borderId="54" xfId="10" applyNumberFormat="1" applyFont="1" applyBorder="1" applyAlignment="1">
      <alignment horizontal="right" vertical="center" wrapText="1"/>
    </xf>
    <xf numFmtId="176" fontId="15" fillId="0" borderId="25" xfId="10" applyNumberFormat="1" applyFont="1" applyBorder="1" applyAlignment="1">
      <alignment horizontal="right" vertical="center" wrapText="1"/>
    </xf>
    <xf numFmtId="0" fontId="4" fillId="6" borderId="33" xfId="11" applyFill="1" applyBorder="1" applyAlignment="1">
      <alignment horizontal="left" vertical="center" indent="1"/>
    </xf>
    <xf numFmtId="165" fontId="8" fillId="0" borderId="0" xfId="6" applyNumberFormat="1" applyFont="1" applyFill="1" applyAlignment="1">
      <alignment horizontal="right" vertical="center" wrapText="1"/>
    </xf>
    <xf numFmtId="37" fontId="8" fillId="0" borderId="34" xfId="10" applyNumberFormat="1" applyFont="1" applyBorder="1" applyAlignment="1">
      <alignment vertical="center" wrapText="1"/>
    </xf>
    <xf numFmtId="37" fontId="8" fillId="0" borderId="31" xfId="10" applyNumberFormat="1" applyFont="1" applyBorder="1" applyAlignment="1">
      <alignment vertical="center" wrapText="1"/>
    </xf>
    <xf numFmtId="177" fontId="8" fillId="0" borderId="76" xfId="10" applyNumberFormat="1" applyFont="1" applyBorder="1" applyAlignment="1">
      <alignment horizontal="right" vertical="center" wrapText="1"/>
    </xf>
    <xf numFmtId="37" fontId="8" fillId="0" borderId="76" xfId="10" applyNumberFormat="1" applyFont="1" applyBorder="1" applyAlignment="1">
      <alignment vertical="center" wrapText="1"/>
    </xf>
    <xf numFmtId="0" fontId="4" fillId="6" borderId="78" xfId="11" applyFill="1" applyBorder="1" applyAlignment="1">
      <alignment horizontal="left" vertical="center" indent="1"/>
    </xf>
    <xf numFmtId="37" fontId="8" fillId="0" borderId="74" xfId="10" applyNumberFormat="1" applyFont="1" applyBorder="1" applyAlignment="1">
      <alignment vertical="center" wrapText="1"/>
    </xf>
    <xf numFmtId="37" fontId="8" fillId="0" borderId="79" xfId="10" applyNumberFormat="1" applyFont="1" applyBorder="1" applyAlignment="1">
      <alignment vertical="center" wrapText="1"/>
    </xf>
    <xf numFmtId="0" fontId="8" fillId="0" borderId="80" xfId="10" applyFont="1" applyBorder="1" applyAlignment="1">
      <alignment vertical="center" wrapText="1"/>
    </xf>
    <xf numFmtId="0" fontId="15" fillId="0" borderId="7" xfId="10" applyFont="1" applyBorder="1" applyAlignment="1">
      <alignment vertical="center" wrapText="1"/>
    </xf>
    <xf numFmtId="176" fontId="15" fillId="0" borderId="71" xfId="10" applyNumberFormat="1" applyFont="1" applyBorder="1" applyAlignment="1">
      <alignment vertical="center" wrapText="1"/>
    </xf>
    <xf numFmtId="176" fontId="15" fillId="0" borderId="71" xfId="10" applyNumberFormat="1" applyFont="1" applyBorder="1" applyAlignment="1">
      <alignment vertical="center"/>
    </xf>
    <xf numFmtId="178" fontId="15" fillId="0" borderId="8" xfId="10" applyNumberFormat="1" applyFont="1" applyBorder="1" applyAlignment="1">
      <alignment horizontal="right" vertical="center" wrapText="1"/>
    </xf>
    <xf numFmtId="0" fontId="8" fillId="0" borderId="29" xfId="10" applyFont="1" applyBorder="1" applyAlignment="1">
      <alignment vertical="center" wrapText="1"/>
    </xf>
    <xf numFmtId="37" fontId="8" fillId="0" borderId="54" xfId="10" applyNumberFormat="1" applyFont="1" applyBorder="1" applyAlignment="1">
      <alignment vertical="center" wrapText="1"/>
    </xf>
    <xf numFmtId="164" fontId="8" fillId="0" borderId="0" xfId="6" applyFont="1" applyFill="1" applyAlignment="1">
      <alignment horizontal="right" vertical="center" wrapText="1"/>
    </xf>
    <xf numFmtId="37" fontId="8" fillId="0" borderId="75" xfId="10" applyNumberFormat="1" applyFont="1" applyBorder="1" applyAlignment="1">
      <alignment vertical="center" wrapText="1"/>
    </xf>
    <xf numFmtId="165" fontId="8" fillId="0" borderId="25" xfId="6" applyNumberFormat="1" applyFont="1" applyBorder="1" applyAlignment="1">
      <alignment horizontal="right" vertical="center" wrapText="1"/>
    </xf>
    <xf numFmtId="0" fontId="4" fillId="0" borderId="78" xfId="7" applyBorder="1" applyAlignment="1" applyProtection="1">
      <alignment horizontal="left"/>
      <protection locked="0"/>
    </xf>
    <xf numFmtId="165" fontId="8" fillId="0" borderId="80" xfId="10" applyNumberFormat="1" applyFont="1" applyBorder="1" applyAlignment="1">
      <alignment horizontal="right" vertical="center" wrapText="1"/>
    </xf>
    <xf numFmtId="0" fontId="8" fillId="0" borderId="81" xfId="10" applyFont="1" applyBorder="1" applyAlignment="1">
      <alignment vertical="center" wrapText="1"/>
    </xf>
    <xf numFmtId="176" fontId="15" fillId="0" borderId="54" xfId="10" applyNumberFormat="1" applyFont="1" applyBorder="1" applyAlignment="1">
      <alignment vertical="center" wrapText="1"/>
    </xf>
    <xf numFmtId="176" fontId="15" fillId="0" borderId="54" xfId="10" applyNumberFormat="1" applyFont="1" applyBorder="1" applyAlignment="1">
      <alignment vertical="center"/>
    </xf>
    <xf numFmtId="178" fontId="15" fillId="0" borderId="25" xfId="10" applyNumberFormat="1" applyFont="1" applyBorder="1" applyAlignment="1">
      <alignment horizontal="right" vertical="center" wrapText="1"/>
    </xf>
    <xf numFmtId="172" fontId="27" fillId="0" borderId="34" xfId="13" applyNumberFormat="1" applyFont="1" applyBorder="1" applyAlignment="1">
      <alignment horizontal="right" vertical="center" wrapText="1"/>
    </xf>
    <xf numFmtId="169" fontId="16" fillId="0" borderId="84" xfId="3" applyNumberFormat="1" applyFont="1" applyFill="1" applyBorder="1" applyAlignment="1">
      <alignment vertical="center" wrapText="1"/>
    </xf>
    <xf numFmtId="176" fontId="8" fillId="0" borderId="0" xfId="10" applyNumberFormat="1" applyFont="1" applyAlignment="1">
      <alignment vertical="center" wrapText="1"/>
    </xf>
    <xf numFmtId="165" fontId="54" fillId="0" borderId="85" xfId="6" applyNumberFormat="1" applyFont="1" applyFill="1" applyBorder="1" applyAlignment="1" applyProtection="1">
      <alignment horizontal="right" vertical="center"/>
    </xf>
    <xf numFmtId="37" fontId="19" fillId="0" borderId="0" xfId="10" applyNumberFormat="1" applyFont="1" applyAlignment="1">
      <alignment vertical="center" wrapText="1"/>
    </xf>
    <xf numFmtId="165" fontId="19" fillId="0" borderId="0" xfId="10" applyNumberFormat="1" applyFont="1" applyAlignment="1">
      <alignment vertical="center" wrapText="1"/>
    </xf>
    <xf numFmtId="0" fontId="31" fillId="0" borderId="0" xfId="10" applyFont="1" applyAlignment="1">
      <alignment vertical="center" wrapText="1"/>
    </xf>
    <xf numFmtId="0" fontId="52" fillId="0" borderId="0" xfId="10" applyFont="1" applyAlignment="1">
      <alignment vertical="center" wrapText="1"/>
    </xf>
    <xf numFmtId="165" fontId="55" fillId="0" borderId="67" xfId="6" applyNumberFormat="1" applyFont="1" applyFill="1" applyBorder="1" applyAlignment="1" applyProtection="1">
      <alignment horizontal="right" vertical="center"/>
    </xf>
    <xf numFmtId="165" fontId="46" fillId="0" borderId="67" xfId="6" applyNumberFormat="1" applyFont="1" applyFill="1" applyBorder="1" applyAlignment="1" applyProtection="1">
      <alignment horizontal="right" vertical="center"/>
    </xf>
    <xf numFmtId="0" fontId="43" fillId="0" borderId="0" xfId="10" applyFont="1" applyAlignment="1">
      <alignment vertical="center" wrapText="1"/>
    </xf>
    <xf numFmtId="165" fontId="43" fillId="0" borderId="0" xfId="6" applyNumberFormat="1" applyFont="1" applyAlignment="1">
      <alignment vertical="center" wrapText="1"/>
    </xf>
    <xf numFmtId="0" fontId="56" fillId="0" borderId="0" xfId="10" applyFont="1" applyAlignment="1">
      <alignment vertical="center"/>
    </xf>
    <xf numFmtId="0" fontId="4" fillId="0" borderId="0" xfId="16"/>
    <xf numFmtId="168" fontId="1" fillId="0" borderId="0" xfId="24" applyNumberFormat="1" applyFont="1" applyBorder="1"/>
    <xf numFmtId="171" fontId="4" fillId="0" borderId="0" xfId="25" applyNumberFormat="1" applyFont="1"/>
    <xf numFmtId="0" fontId="58" fillId="0" borderId="0" xfId="16" applyFont="1"/>
    <xf numFmtId="171" fontId="4" fillId="0" borderId="0" xfId="26" applyNumberFormat="1" applyFont="1"/>
    <xf numFmtId="0" fontId="60" fillId="0" borderId="0" xfId="16" applyFont="1"/>
    <xf numFmtId="165" fontId="4" fillId="0" borderId="0" xfId="6" applyNumberFormat="1" applyFont="1"/>
    <xf numFmtId="165" fontId="4" fillId="0" borderId="0" xfId="6" applyNumberFormat="1"/>
    <xf numFmtId="171" fontId="4" fillId="0" borderId="0" xfId="25" applyNumberFormat="1" applyFont="1" applyBorder="1"/>
    <xf numFmtId="17" fontId="61" fillId="0" borderId="0" xfId="16" applyNumberFormat="1" applyFont="1"/>
    <xf numFmtId="168" fontId="1" fillId="0" borderId="0" xfId="24" applyNumberFormat="1" applyFont="1"/>
    <xf numFmtId="164" fontId="4" fillId="0" borderId="0" xfId="6" applyFont="1"/>
    <xf numFmtId="9" fontId="1" fillId="0" borderId="0" xfId="3" applyFont="1"/>
    <xf numFmtId="166" fontId="4" fillId="0" borderId="0" xfId="16" applyNumberFormat="1"/>
    <xf numFmtId="168" fontId="1" fillId="0" borderId="0" xfId="24" applyNumberFormat="1" applyFont="1" applyFill="1" applyBorder="1"/>
    <xf numFmtId="168" fontId="1" fillId="0" borderId="68" xfId="24" applyNumberFormat="1" applyFont="1" applyBorder="1"/>
    <xf numFmtId="0" fontId="4" fillId="0" borderId="68" xfId="16" applyBorder="1"/>
    <xf numFmtId="0" fontId="62" fillId="0" borderId="0" xfId="16" applyFont="1" applyAlignment="1">
      <alignment wrapText="1"/>
    </xf>
    <xf numFmtId="0" fontId="63" fillId="0" borderId="68" xfId="16" applyFont="1" applyBorder="1" applyAlignment="1">
      <alignment horizontal="center"/>
    </xf>
    <xf numFmtId="0" fontId="64" fillId="0" borderId="68" xfId="16" applyFont="1" applyBorder="1" applyAlignment="1">
      <alignment horizontal="center" wrapText="1"/>
    </xf>
    <xf numFmtId="0" fontId="63" fillId="0" borderId="68" xfId="16" applyFont="1" applyBorder="1"/>
    <xf numFmtId="0" fontId="5" fillId="0" borderId="68" xfId="16" applyFont="1" applyBorder="1" applyAlignment="1">
      <alignment horizontal="center" vertical="center"/>
    </xf>
    <xf numFmtId="168" fontId="5" fillId="0" borderId="0" xfId="24" quotePrefix="1" applyNumberFormat="1" applyFont="1"/>
    <xf numFmtId="0" fontId="65" fillId="6" borderId="23" xfId="16" applyFont="1" applyFill="1" applyBorder="1" applyAlignment="1">
      <alignment horizontal="center"/>
    </xf>
    <xf numFmtId="0" fontId="4" fillId="0" borderId="0" xfId="16" applyAlignment="1">
      <alignment horizontal="center"/>
    </xf>
    <xf numFmtId="0" fontId="4" fillId="0" borderId="0" xfId="16" quotePrefix="1" applyAlignment="1">
      <alignment horizontal="center"/>
    </xf>
    <xf numFmtId="168" fontId="3" fillId="0" borderId="0" xfId="24" applyNumberFormat="1" applyFont="1"/>
    <xf numFmtId="0" fontId="5" fillId="0" borderId="0" xfId="16" applyFont="1" applyAlignment="1">
      <alignment horizontal="center"/>
    </xf>
    <xf numFmtId="0" fontId="4" fillId="6" borderId="86" xfId="16" applyFill="1" applyBorder="1"/>
    <xf numFmtId="0" fontId="4" fillId="6" borderId="87" xfId="16" applyFill="1" applyBorder="1"/>
    <xf numFmtId="0" fontId="4" fillId="6" borderId="88" xfId="16" applyFill="1" applyBorder="1"/>
    <xf numFmtId="168" fontId="5" fillId="6" borderId="0" xfId="24" quotePrefix="1" applyNumberFormat="1" applyFont="1" applyFill="1" applyAlignment="1">
      <alignment horizontal="center"/>
    </xf>
    <xf numFmtId="0" fontId="4" fillId="0" borderId="0" xfId="27"/>
    <xf numFmtId="168" fontId="5" fillId="6" borderId="0" xfId="24" applyNumberFormat="1" applyFont="1" applyFill="1" applyAlignment="1">
      <alignment horizontal="center"/>
    </xf>
    <xf numFmtId="168" fontId="5" fillId="6" borderId="89" xfId="24" applyNumberFormat="1" applyFont="1" applyFill="1" applyBorder="1" applyAlignment="1">
      <alignment horizontal="center"/>
    </xf>
    <xf numFmtId="0" fontId="4" fillId="6" borderId="90" xfId="16" applyFill="1" applyBorder="1"/>
    <xf numFmtId="0" fontId="4" fillId="6" borderId="89" xfId="16" applyFill="1" applyBorder="1"/>
    <xf numFmtId="0" fontId="4" fillId="6" borderId="0" xfId="16" applyFill="1"/>
    <xf numFmtId="165" fontId="5" fillId="0" borderId="0" xfId="6" applyNumberFormat="1" applyFont="1"/>
    <xf numFmtId="168" fontId="3" fillId="0" borderId="0" xfId="24" applyNumberFormat="1" applyFont="1" applyFill="1"/>
    <xf numFmtId="165" fontId="5" fillId="0" borderId="0" xfId="6" applyNumberFormat="1" applyFont="1" applyFill="1" applyBorder="1"/>
    <xf numFmtId="9" fontId="5" fillId="6" borderId="90" xfId="3" applyFont="1" applyFill="1" applyBorder="1"/>
    <xf numFmtId="171" fontId="4" fillId="0" borderId="0" xfId="28" applyNumberFormat="1" applyFont="1"/>
    <xf numFmtId="41" fontId="4" fillId="0" borderId="0" xfId="16" applyNumberFormat="1"/>
    <xf numFmtId="165" fontId="4" fillId="0" borderId="0" xfId="16" applyNumberFormat="1"/>
    <xf numFmtId="0" fontId="4" fillId="0" borderId="91" xfId="16" applyBorder="1"/>
    <xf numFmtId="0" fontId="4" fillId="0" borderId="91" xfId="16" applyBorder="1" applyAlignment="1">
      <alignment horizontal="center"/>
    </xf>
    <xf numFmtId="165" fontId="4" fillId="0" borderId="91" xfId="16" applyNumberFormat="1" applyBorder="1"/>
    <xf numFmtId="0" fontId="4" fillId="6" borderId="93" xfId="16" applyFill="1" applyBorder="1"/>
    <xf numFmtId="168" fontId="4" fillId="0" borderId="0" xfId="24" quotePrefix="1" applyNumberFormat="1" applyFont="1"/>
    <xf numFmtId="165" fontId="4" fillId="0" borderId="0" xfId="6" applyNumberFormat="1" applyFont="1" applyFill="1" applyBorder="1"/>
    <xf numFmtId="9" fontId="1" fillId="6" borderId="90" xfId="3" applyFill="1" applyBorder="1"/>
    <xf numFmtId="0" fontId="18" fillId="0" borderId="0" xfId="16" applyFont="1" applyAlignment="1">
      <alignment horizontal="left" indent="1"/>
    </xf>
    <xf numFmtId="0" fontId="18" fillId="0" borderId="0" xfId="16" applyFont="1" applyAlignment="1">
      <alignment horizontal="center"/>
    </xf>
    <xf numFmtId="169" fontId="18" fillId="0" borderId="0" xfId="3" applyNumberFormat="1" applyFont="1" applyFill="1" applyBorder="1"/>
    <xf numFmtId="0" fontId="18" fillId="6" borderId="90" xfId="16" applyFont="1" applyFill="1" applyBorder="1"/>
    <xf numFmtId="0" fontId="66" fillId="0" borderId="91" xfId="16" applyFont="1" applyBorder="1"/>
    <xf numFmtId="0" fontId="10" fillId="0" borderId="91" xfId="16" applyFont="1" applyBorder="1"/>
    <xf numFmtId="165" fontId="66" fillId="0" borderId="91" xfId="16" applyNumberFormat="1" applyFont="1" applyBorder="1"/>
    <xf numFmtId="0" fontId="5" fillId="0" borderId="0" xfId="16" applyFont="1"/>
    <xf numFmtId="0" fontId="53" fillId="0" borderId="0" xfId="16" applyFont="1" applyAlignment="1">
      <alignment horizontal="left" indent="1"/>
    </xf>
    <xf numFmtId="0" fontId="53" fillId="0" borderId="0" xfId="16" applyFont="1" applyAlignment="1">
      <alignment horizontal="center"/>
    </xf>
    <xf numFmtId="0" fontId="53" fillId="0" borderId="0" xfId="16" applyFont="1"/>
    <xf numFmtId="169" fontId="53" fillId="0" borderId="0" xfId="3" applyNumberFormat="1" applyFont="1" applyFill="1" applyBorder="1"/>
    <xf numFmtId="0" fontId="53" fillId="6" borderId="90" xfId="16" applyFont="1" applyFill="1" applyBorder="1"/>
    <xf numFmtId="0" fontId="53" fillId="0" borderId="94" xfId="16" applyFont="1" applyBorder="1" applyAlignment="1">
      <alignment horizontal="left" indent="1"/>
    </xf>
    <xf numFmtId="169" fontId="53" fillId="0" borderId="94" xfId="3" applyNumberFormat="1" applyFont="1" applyFill="1" applyBorder="1"/>
    <xf numFmtId="0" fontId="53" fillId="0" borderId="94" xfId="16" applyFont="1" applyBorder="1" applyAlignment="1">
      <alignment horizontal="center"/>
    </xf>
    <xf numFmtId="0" fontId="53" fillId="0" borderId="94" xfId="16" applyFont="1" applyBorder="1"/>
    <xf numFmtId="169" fontId="53" fillId="0" borderId="68" xfId="3" applyNumberFormat="1" applyFont="1" applyFill="1" applyBorder="1"/>
    <xf numFmtId="0" fontId="53" fillId="6" borderId="96" xfId="16" applyFont="1" applyFill="1" applyBorder="1"/>
    <xf numFmtId="0" fontId="4" fillId="0" borderId="97" xfId="16" applyBorder="1"/>
    <xf numFmtId="168" fontId="1" fillId="0" borderId="97" xfId="24" applyNumberFormat="1" applyFont="1" applyBorder="1"/>
    <xf numFmtId="9" fontId="1" fillId="0" borderId="0" xfId="3"/>
    <xf numFmtId="9" fontId="1" fillId="0" borderId="0" xfId="3" applyFill="1"/>
    <xf numFmtId="168" fontId="4" fillId="0" borderId="0" xfId="16" applyNumberFormat="1"/>
    <xf numFmtId="167" fontId="1" fillId="0" borderId="0" xfId="24" applyFont="1" applyBorder="1"/>
    <xf numFmtId="168" fontId="4" fillId="0" borderId="0" xfId="24" quotePrefix="1" applyNumberFormat="1" applyAlignment="1">
      <alignment horizontal="right"/>
    </xf>
    <xf numFmtId="168" fontId="51" fillId="0" borderId="0" xfId="29" applyNumberFormat="1" applyFont="1"/>
    <xf numFmtId="0" fontId="1" fillId="0" borderId="0" xfId="30"/>
    <xf numFmtId="3" fontId="4" fillId="0" borderId="0" xfId="16" applyNumberFormat="1"/>
    <xf numFmtId="171" fontId="5" fillId="0" borderId="0" xfId="28" applyNumberFormat="1" applyFont="1"/>
    <xf numFmtId="3" fontId="5" fillId="0" borderId="0" xfId="16" applyNumberFormat="1" applyFont="1"/>
    <xf numFmtId="168" fontId="4" fillId="0" borderId="0" xfId="24" quotePrefix="1" applyNumberFormat="1" applyFont="1" applyAlignment="1">
      <alignment horizontal="right"/>
    </xf>
    <xf numFmtId="9" fontId="1" fillId="0" borderId="0" xfId="3" applyFont="1" applyBorder="1"/>
    <xf numFmtId="167" fontId="4" fillId="0" borderId="0" xfId="24" applyFont="1" applyBorder="1"/>
    <xf numFmtId="168" fontId="4" fillId="0" borderId="0" xfId="24" applyNumberFormat="1" applyFont="1" applyBorder="1"/>
    <xf numFmtId="168" fontId="51" fillId="0" borderId="0" xfId="24" applyNumberFormat="1" applyFont="1"/>
    <xf numFmtId="168" fontId="4" fillId="0" borderId="0" xfId="24" applyNumberFormat="1" applyFont="1"/>
    <xf numFmtId="168" fontId="47" fillId="0" borderId="0" xfId="24" applyNumberFormat="1" applyFont="1"/>
    <xf numFmtId="179" fontId="4" fillId="0" borderId="0" xfId="24" applyNumberFormat="1" applyFont="1"/>
    <xf numFmtId="164" fontId="4" fillId="0" borderId="0" xfId="16" applyNumberFormat="1"/>
    <xf numFmtId="0" fontId="4" fillId="0" borderId="90" xfId="16" applyBorder="1"/>
    <xf numFmtId="0" fontId="68" fillId="0" borderId="0" xfId="12" applyFont="1" applyAlignment="1">
      <alignment horizontal="left" vertical="center" readingOrder="1"/>
    </xf>
    <xf numFmtId="0" fontId="68" fillId="0" borderId="0" xfId="12" applyFont="1" applyAlignment="1">
      <alignment horizontal="right" vertical="center"/>
    </xf>
    <xf numFmtId="0" fontId="69" fillId="0" borderId="0" xfId="31" applyFont="1"/>
    <xf numFmtId="0" fontId="70" fillId="0" borderId="0" xfId="12" applyFont="1" applyAlignment="1">
      <alignment horizontal="left" vertical="center" readingOrder="1"/>
    </xf>
    <xf numFmtId="0" fontId="70" fillId="0" borderId="0" xfId="12" applyFont="1" applyAlignment="1">
      <alignment horizontal="right" vertical="center"/>
    </xf>
    <xf numFmtId="0" fontId="69" fillId="0" borderId="0" xfId="31" applyFont="1" applyAlignment="1">
      <alignment horizontal="right"/>
    </xf>
    <xf numFmtId="49" fontId="71" fillId="0" borderId="0" xfId="4" applyNumberFormat="1" applyFont="1" applyFill="1" applyBorder="1" applyAlignment="1">
      <alignment horizontal="left" vertical="center"/>
    </xf>
    <xf numFmtId="49" fontId="71" fillId="0" borderId="0" xfId="4" applyNumberFormat="1" applyFont="1" applyFill="1" applyBorder="1" applyAlignment="1">
      <alignment horizontal="center" vertical="center"/>
    </xf>
    <xf numFmtId="49" fontId="71" fillId="0" borderId="0" xfId="4" applyNumberFormat="1" applyFont="1" applyFill="1" applyBorder="1" applyAlignment="1">
      <alignment horizontal="right" vertical="center"/>
    </xf>
    <xf numFmtId="49" fontId="72" fillId="0" borderId="0" xfId="4" applyNumberFormat="1" applyFont="1" applyFill="1" applyBorder="1"/>
    <xf numFmtId="180" fontId="72" fillId="0" borderId="0" xfId="4" applyNumberFormat="1" applyFont="1" applyFill="1" applyBorder="1" applyAlignment="1">
      <alignment horizontal="right"/>
    </xf>
    <xf numFmtId="168" fontId="4" fillId="0" borderId="0" xfId="31" applyNumberFormat="1"/>
    <xf numFmtId="168" fontId="72" fillId="0" borderId="0" xfId="4" applyNumberFormat="1" applyFont="1" applyFill="1" applyBorder="1"/>
    <xf numFmtId="0" fontId="4" fillId="0" borderId="0" xfId="31"/>
    <xf numFmtId="165" fontId="72" fillId="0" borderId="0" xfId="32" applyNumberFormat="1" applyFont="1" applyFill="1" applyBorder="1" applyAlignment="1">
      <alignment horizontal="right"/>
    </xf>
    <xf numFmtId="165" fontId="71" fillId="0" borderId="0" xfId="32" applyNumberFormat="1" applyFont="1" applyFill="1" applyBorder="1" applyAlignment="1">
      <alignment horizontal="right" vertical="center"/>
    </xf>
    <xf numFmtId="165" fontId="69" fillId="0" borderId="0" xfId="31" applyNumberFormat="1" applyFont="1"/>
    <xf numFmtId="168" fontId="69" fillId="0" borderId="0" xfId="31" applyNumberFormat="1" applyFont="1"/>
    <xf numFmtId="165" fontId="71" fillId="0" borderId="0" xfId="33" applyNumberFormat="1" applyFont="1" applyFill="1" applyBorder="1" applyAlignment="1">
      <alignment vertical="center"/>
    </xf>
    <xf numFmtId="0" fontId="73" fillId="0" borderId="0" xfId="31" applyFont="1"/>
    <xf numFmtId="165" fontId="73" fillId="0" borderId="0" xfId="32" applyNumberFormat="1" applyFont="1" applyFill="1" applyBorder="1"/>
    <xf numFmtId="168" fontId="73" fillId="0" borderId="0" xfId="31" applyNumberFormat="1" applyFont="1"/>
    <xf numFmtId="168" fontId="73" fillId="0" borderId="0" xfId="31" applyNumberFormat="1" applyFont="1" applyAlignment="1">
      <alignment horizontal="right"/>
    </xf>
    <xf numFmtId="49" fontId="39" fillId="0" borderId="0" xfId="31" applyNumberFormat="1" applyFont="1"/>
    <xf numFmtId="165" fontId="72" fillId="0" borderId="0" xfId="4" applyNumberFormat="1" applyFont="1" applyFill="1" applyBorder="1" applyAlignment="1">
      <alignment horizontal="right"/>
    </xf>
    <xf numFmtId="165" fontId="4" fillId="0" borderId="0" xfId="31" applyNumberFormat="1"/>
    <xf numFmtId="165" fontId="1" fillId="0" borderId="0" xfId="12" applyNumberFormat="1"/>
    <xf numFmtId="0" fontId="4" fillId="0" borderId="0" xfId="31" applyAlignment="1">
      <alignment horizontal="right"/>
    </xf>
    <xf numFmtId="0" fontId="68" fillId="0" borderId="0" xfId="34" applyFont="1" applyAlignment="1">
      <alignment horizontal="left" vertical="center" readingOrder="1"/>
    </xf>
    <xf numFmtId="0" fontId="70" fillId="0" borderId="0" xfId="34" applyFont="1" applyAlignment="1">
      <alignment horizontal="left" vertical="center" readingOrder="1"/>
    </xf>
    <xf numFmtId="0" fontId="39" fillId="0" borderId="0" xfId="31" applyFont="1"/>
    <xf numFmtId="0" fontId="73" fillId="0" borderId="0" xfId="31" applyFont="1" applyAlignment="1">
      <alignment horizontal="right"/>
    </xf>
    <xf numFmtId="3" fontId="72" fillId="0" borderId="0" xfId="4" applyNumberFormat="1" applyFont="1" applyFill="1" applyBorder="1" applyAlignment="1">
      <alignment horizontal="right"/>
    </xf>
    <xf numFmtId="168" fontId="72" fillId="0" borderId="0" xfId="4" applyNumberFormat="1" applyFont="1" applyFill="1" applyBorder="1" applyAlignment="1">
      <alignment horizontal="right"/>
    </xf>
    <xf numFmtId="9" fontId="4" fillId="0" borderId="0" xfId="35" applyFont="1"/>
    <xf numFmtId="165" fontId="4" fillId="0" borderId="0" xfId="32" applyNumberFormat="1" applyFont="1" applyFill="1"/>
    <xf numFmtId="0" fontId="72" fillId="0" borderId="0" xfId="31" applyFont="1"/>
    <xf numFmtId="165" fontId="4" fillId="0" borderId="0" xfId="32" applyNumberFormat="1" applyFont="1"/>
    <xf numFmtId="3" fontId="71" fillId="0" borderId="0" xfId="32" applyNumberFormat="1" applyFont="1" applyFill="1" applyBorder="1" applyAlignment="1">
      <alignment horizontal="right" vertical="center"/>
    </xf>
    <xf numFmtId="165" fontId="69" fillId="0" borderId="0" xfId="32" applyNumberFormat="1" applyFont="1"/>
    <xf numFmtId="168" fontId="73" fillId="0" borderId="0" xfId="36" applyNumberFormat="1" applyFont="1" applyFill="1" applyBorder="1"/>
    <xf numFmtId="168" fontId="39" fillId="0" borderId="0" xfId="31" applyNumberFormat="1" applyFont="1"/>
    <xf numFmtId="0" fontId="71" fillId="0" borderId="0" xfId="4" applyFont="1" applyFill="1" applyBorder="1" applyAlignment="1">
      <alignment horizontal="left"/>
    </xf>
    <xf numFmtId="3" fontId="73" fillId="0" borderId="0" xfId="4" applyNumberFormat="1" applyFont="1" applyFill="1" applyBorder="1" applyAlignment="1">
      <alignment horizontal="right"/>
    </xf>
    <xf numFmtId="165" fontId="72" fillId="0" borderId="0" xfId="31" applyNumberFormat="1" applyFont="1"/>
    <xf numFmtId="165" fontId="72" fillId="0" borderId="0" xfId="32" applyNumberFormat="1" applyFont="1" applyFill="1"/>
    <xf numFmtId="0" fontId="72" fillId="0" borderId="0" xfId="31" applyFont="1" applyAlignment="1">
      <alignment horizontal="right"/>
    </xf>
    <xf numFmtId="0" fontId="9" fillId="0" borderId="0" xfId="31" applyFont="1"/>
    <xf numFmtId="0" fontId="10" fillId="0" borderId="0" xfId="31" applyFont="1"/>
    <xf numFmtId="0" fontId="74" fillId="0" borderId="0" xfId="31" applyFont="1"/>
    <xf numFmtId="0" fontId="75" fillId="0" borderId="0" xfId="37" applyFont="1"/>
    <xf numFmtId="0" fontId="76" fillId="0" borderId="0" xfId="37" applyFont="1"/>
    <xf numFmtId="0" fontId="77" fillId="0" borderId="0" xfId="31" applyFont="1"/>
    <xf numFmtId="49" fontId="65" fillId="0" borderId="0" xfId="31" applyNumberFormat="1" applyFont="1" applyAlignment="1">
      <alignment horizontal="left"/>
    </xf>
    <xf numFmtId="49" fontId="78" fillId="0" borderId="0" xfId="31" applyNumberFormat="1" applyFont="1" applyAlignment="1">
      <alignment horizontal="center"/>
    </xf>
    <xf numFmtId="49" fontId="78" fillId="0" borderId="0" xfId="31" applyNumberFormat="1" applyFont="1" applyAlignment="1">
      <alignment horizontal="left"/>
    </xf>
    <xf numFmtId="49" fontId="65" fillId="0" borderId="0" xfId="31" applyNumberFormat="1" applyFont="1" applyAlignment="1">
      <alignment horizontal="center"/>
    </xf>
    <xf numFmtId="49" fontId="72" fillId="0" borderId="0" xfId="31" applyNumberFormat="1" applyFont="1"/>
    <xf numFmtId="168" fontId="72" fillId="0" borderId="0" xfId="36" applyNumberFormat="1" applyFont="1" applyFill="1" applyBorder="1"/>
    <xf numFmtId="167" fontId="72" fillId="0" borderId="0" xfId="36" applyFont="1" applyFill="1" applyBorder="1"/>
    <xf numFmtId="168" fontId="72" fillId="0" borderId="0" xfId="31" applyNumberFormat="1" applyFont="1"/>
    <xf numFmtId="164" fontId="74" fillId="0" borderId="0" xfId="32" applyFont="1"/>
    <xf numFmtId="49" fontId="78" fillId="0" borderId="0" xfId="31" applyNumberFormat="1" applyFont="1"/>
    <xf numFmtId="168" fontId="65" fillId="0" borderId="0" xfId="36" applyNumberFormat="1" applyFont="1" applyFill="1" applyBorder="1"/>
    <xf numFmtId="167" fontId="65" fillId="0" borderId="0" xfId="36" applyFont="1" applyFill="1" applyBorder="1"/>
    <xf numFmtId="168" fontId="78" fillId="0" borderId="0" xfId="36" applyNumberFormat="1" applyFont="1" applyFill="1" applyBorder="1"/>
    <xf numFmtId="165" fontId="72" fillId="0" borderId="0" xfId="38" applyNumberFormat="1" applyFont="1"/>
    <xf numFmtId="168" fontId="72" fillId="0" borderId="0" xfId="36" applyNumberFormat="1" applyFont="1"/>
    <xf numFmtId="0" fontId="65" fillId="0" borderId="0" xfId="31" applyFont="1"/>
    <xf numFmtId="0" fontId="79" fillId="0" borderId="0" xfId="31" applyFont="1"/>
    <xf numFmtId="0" fontId="18" fillId="0" borderId="0" xfId="31" applyFont="1"/>
    <xf numFmtId="0" fontId="51" fillId="0" borderId="0" xfId="31" applyFont="1"/>
    <xf numFmtId="168" fontId="74" fillId="0" borderId="0" xfId="31" applyNumberFormat="1" applyFont="1"/>
    <xf numFmtId="49" fontId="80" fillId="0" borderId="0" xfId="4" applyNumberFormat="1" applyFont="1" applyFill="1" applyBorder="1" applyAlignment="1">
      <alignment horizontal="center" vertical="center"/>
    </xf>
    <xf numFmtId="49" fontId="71" fillId="0" borderId="0" xfId="4" applyNumberFormat="1" applyFont="1" applyFill="1" applyBorder="1" applyAlignment="1">
      <alignment horizontal="right" vertical="center" wrapText="1"/>
    </xf>
    <xf numFmtId="164" fontId="4" fillId="0" borderId="0" xfId="31" applyNumberFormat="1"/>
    <xf numFmtId="165" fontId="71" fillId="0" borderId="0" xfId="32" applyNumberFormat="1" applyFont="1" applyFill="1" applyBorder="1" applyAlignment="1">
      <alignment horizontal="center" vertical="center"/>
    </xf>
    <xf numFmtId="164" fontId="69" fillId="0" borderId="0" xfId="31" applyNumberFormat="1" applyFont="1"/>
    <xf numFmtId="49" fontId="81" fillId="0" borderId="0" xfId="4" applyNumberFormat="1" applyFont="1" applyFill="1" applyBorder="1" applyAlignment="1">
      <alignment horizontal="left" vertical="center"/>
    </xf>
    <xf numFmtId="165" fontId="81" fillId="0" borderId="0" xfId="32" applyNumberFormat="1" applyFont="1" applyFill="1" applyBorder="1" applyAlignment="1">
      <alignment horizontal="center" vertical="center"/>
    </xf>
    <xf numFmtId="168" fontId="81" fillId="0" borderId="0" xfId="4" applyNumberFormat="1" applyFont="1" applyFill="1" applyBorder="1"/>
    <xf numFmtId="164" fontId="82" fillId="0" borderId="0" xfId="31" applyNumberFormat="1" applyFont="1"/>
    <xf numFmtId="165" fontId="5" fillId="0" borderId="0" xfId="32" applyNumberFormat="1" applyFont="1" applyFill="1"/>
    <xf numFmtId="0" fontId="68" fillId="0" borderId="0" xfId="39" applyFont="1" applyAlignment="1">
      <alignment horizontal="left" vertical="center" readingOrder="1"/>
    </xf>
    <xf numFmtId="0" fontId="70" fillId="0" borderId="0" xfId="39" applyFont="1" applyAlignment="1">
      <alignment horizontal="left" vertical="center" readingOrder="1"/>
    </xf>
    <xf numFmtId="49" fontId="71" fillId="0" borderId="0" xfId="4" quotePrefix="1" applyNumberFormat="1" applyFont="1" applyFill="1" applyBorder="1" applyAlignment="1">
      <alignment horizontal="center" vertical="center" wrapText="1"/>
    </xf>
    <xf numFmtId="49" fontId="71" fillId="0" borderId="0" xfId="4" applyNumberFormat="1" applyFont="1" applyFill="1" applyBorder="1" applyAlignment="1">
      <alignment horizontal="center" vertical="center" wrapText="1"/>
    </xf>
    <xf numFmtId="0" fontId="1" fillId="0" borderId="0" xfId="39"/>
    <xf numFmtId="0" fontId="72" fillId="0" borderId="0" xfId="31" applyFont="1" applyAlignment="1">
      <alignment horizontal="left"/>
    </xf>
    <xf numFmtId="49" fontId="4" fillId="0" borderId="0" xfId="4" applyNumberFormat="1" applyFont="1" applyFill="1" applyBorder="1"/>
    <xf numFmtId="168" fontId="4" fillId="0" borderId="0" xfId="4" applyNumberFormat="1" applyFont="1" applyFill="1" applyBorder="1" applyAlignment="1">
      <alignment horizontal="right"/>
    </xf>
    <xf numFmtId="180" fontId="4" fillId="0" borderId="0" xfId="4" applyNumberFormat="1" applyFont="1" applyFill="1" applyBorder="1" applyAlignment="1">
      <alignment horizontal="right"/>
    </xf>
    <xf numFmtId="49" fontId="71" fillId="0" borderId="0" xfId="4" applyNumberFormat="1" applyFont="1" applyFill="1" applyBorder="1" applyAlignment="1">
      <alignment horizontal="left" vertical="center" wrapText="1"/>
    </xf>
    <xf numFmtId="165" fontId="71" fillId="0" borderId="0" xfId="32" applyNumberFormat="1" applyFont="1" applyFill="1" applyAlignment="1">
      <alignment horizontal="right" readingOrder="1"/>
    </xf>
    <xf numFmtId="165" fontId="71" fillId="0" borderId="0" xfId="32" applyNumberFormat="1" applyFont="1" applyFill="1" applyBorder="1" applyAlignment="1">
      <alignment horizontal="right"/>
    </xf>
    <xf numFmtId="168" fontId="73" fillId="0" borderId="0" xfId="36" applyNumberFormat="1" applyFont="1" applyFill="1" applyBorder="1" applyAlignment="1">
      <alignment horizontal="right"/>
    </xf>
    <xf numFmtId="49" fontId="39" fillId="0" borderId="0" xfId="4" applyNumberFormat="1" applyFont="1" applyFill="1" applyBorder="1" applyAlignment="1">
      <alignment horizontal="center" vertical="center"/>
    </xf>
    <xf numFmtId="49" fontId="39" fillId="0" borderId="0" xfId="4" applyNumberFormat="1" applyFont="1" applyFill="1" applyBorder="1" applyAlignment="1">
      <alignment horizontal="center" vertical="center" wrapText="1"/>
    </xf>
    <xf numFmtId="0" fontId="3" fillId="0" borderId="0" xfId="39" applyFont="1"/>
    <xf numFmtId="165" fontId="71" fillId="0" borderId="0" xfId="32" applyNumberFormat="1" applyFont="1" applyFill="1" applyAlignment="1"/>
    <xf numFmtId="0" fontId="88" fillId="0" borderId="101" xfId="0" applyFont="1" applyBorder="1" applyAlignment="1">
      <alignment vertical="center" wrapText="1"/>
    </xf>
    <xf numFmtId="0" fontId="89" fillId="14" borderId="98" xfId="0" applyFont="1" applyFill="1" applyBorder="1" applyAlignment="1">
      <alignment vertical="center"/>
    </xf>
    <xf numFmtId="0" fontId="88" fillId="0" borderId="104" xfId="0" applyFont="1" applyBorder="1" applyAlignment="1">
      <alignment vertical="center"/>
    </xf>
    <xf numFmtId="0" fontId="88" fillId="0" borderId="101" xfId="0" applyFont="1" applyBorder="1" applyAlignment="1">
      <alignment vertical="center"/>
    </xf>
    <xf numFmtId="169" fontId="18" fillId="0" borderId="89" xfId="3" applyNumberFormat="1" applyFont="1" applyFill="1" applyBorder="1"/>
    <xf numFmtId="169" fontId="53" fillId="0" borderId="89" xfId="3" applyNumberFormat="1" applyFont="1" applyFill="1" applyBorder="1"/>
    <xf numFmtId="169" fontId="53" fillId="0" borderId="95" xfId="3" applyNumberFormat="1" applyFont="1" applyFill="1" applyBorder="1"/>
    <xf numFmtId="0" fontId="87" fillId="0" borderId="101" xfId="0" applyFont="1" applyBorder="1" applyAlignment="1">
      <alignment vertical="center"/>
    </xf>
    <xf numFmtId="0" fontId="88" fillId="0" borderId="98" xfId="0" applyFont="1" applyBorder="1" applyAlignment="1">
      <alignment vertical="center"/>
    </xf>
    <xf numFmtId="165" fontId="4" fillId="8" borderId="8" xfId="6" applyNumberFormat="1" applyFont="1" applyFill="1" applyBorder="1" applyAlignment="1">
      <alignment horizontal="right" vertical="center" wrapText="1"/>
    </xf>
    <xf numFmtId="4" fontId="71" fillId="0" borderId="0" xfId="32" applyNumberFormat="1" applyFont="1" applyFill="1" applyBorder="1" applyAlignment="1">
      <alignment horizontal="right" vertical="center"/>
    </xf>
    <xf numFmtId="181" fontId="0" fillId="0" borderId="0" xfId="1" applyNumberFormat="1" applyFont="1"/>
    <xf numFmtId="0" fontId="88" fillId="0" borderId="105" xfId="0" applyFont="1" applyBorder="1" applyAlignment="1">
      <alignment vertical="center"/>
    </xf>
    <xf numFmtId="170" fontId="27" fillId="0" borderId="0" xfId="13" applyNumberFormat="1" applyFont="1" applyAlignment="1">
      <alignment horizontal="right" vertical="center"/>
    </xf>
    <xf numFmtId="3" fontId="8" fillId="0" borderId="0" xfId="10" applyNumberFormat="1" applyFont="1" applyAlignment="1">
      <alignment vertical="center"/>
    </xf>
    <xf numFmtId="165" fontId="8" fillId="0" borderId="79" xfId="6" applyNumberFormat="1" applyFont="1" applyFill="1" applyBorder="1" applyAlignment="1">
      <alignment vertical="center"/>
    </xf>
    <xf numFmtId="170" fontId="27" fillId="0" borderId="34" xfId="13" applyNumberFormat="1" applyFont="1" applyBorder="1" applyAlignment="1">
      <alignment vertical="center"/>
    </xf>
    <xf numFmtId="171" fontId="15" fillId="0" borderId="75" xfId="21" applyNumberFormat="1" applyFont="1" applyFill="1" applyBorder="1" applyAlignment="1">
      <alignment horizontal="right" vertical="center" wrapText="1"/>
    </xf>
    <xf numFmtId="170" fontId="27" fillId="0" borderId="76" xfId="10" applyNumberFormat="1" applyFont="1" applyBorder="1" applyAlignment="1">
      <alignment horizontal="left" vertical="center"/>
    </xf>
    <xf numFmtId="17" fontId="7" fillId="0" borderId="0" xfId="5" applyNumberFormat="1" applyFont="1" applyAlignment="1">
      <alignment horizontal="left"/>
    </xf>
    <xf numFmtId="0" fontId="8" fillId="0" borderId="0" xfId="10" applyFont="1" applyAlignment="1">
      <alignment horizontal="left" vertical="center"/>
    </xf>
    <xf numFmtId="3" fontId="8" fillId="0" borderId="0" xfId="10" applyNumberFormat="1" applyFont="1" applyAlignment="1">
      <alignment horizontal="left" vertical="center"/>
    </xf>
    <xf numFmtId="176" fontId="15" fillId="0" borderId="75" xfId="10" applyNumberFormat="1" applyFont="1" applyBorder="1" applyAlignment="1">
      <alignment horizontal="left" vertical="center"/>
    </xf>
    <xf numFmtId="37" fontId="8" fillId="0" borderId="76" xfId="10" applyNumberFormat="1" applyFont="1" applyBorder="1" applyAlignment="1">
      <alignment vertical="center"/>
    </xf>
    <xf numFmtId="37" fontId="8" fillId="0" borderId="79" xfId="10" applyNumberFormat="1" applyFont="1" applyBorder="1" applyAlignment="1">
      <alignment vertical="center"/>
    </xf>
    <xf numFmtId="171" fontId="15" fillId="0" borderId="8" xfId="21" applyNumberFormat="1" applyFont="1" applyFill="1" applyBorder="1" applyAlignment="1">
      <alignment horizontal="right" vertical="center" wrapText="1"/>
    </xf>
    <xf numFmtId="37" fontId="8" fillId="0" borderId="75" xfId="10" applyNumberFormat="1" applyFont="1" applyBorder="1" applyAlignment="1">
      <alignment vertical="center"/>
    </xf>
    <xf numFmtId="172" fontId="16" fillId="0" borderId="74" xfId="6" applyNumberFormat="1" applyFont="1" applyFill="1" applyBorder="1" applyAlignment="1">
      <alignment horizontal="right" vertical="center" wrapText="1"/>
    </xf>
    <xf numFmtId="165" fontId="5" fillId="0" borderId="0" xfId="6" applyNumberFormat="1" applyFont="1" applyFill="1"/>
    <xf numFmtId="0" fontId="0" fillId="0" borderId="98" xfId="0" applyBorder="1"/>
    <xf numFmtId="0" fontId="93" fillId="14" borderId="98" xfId="0" applyFont="1" applyFill="1" applyBorder="1" applyAlignment="1">
      <alignment horizontal="center" vertical="center"/>
    </xf>
    <xf numFmtId="0" fontId="94" fillId="0" borderId="101" xfId="0" applyFont="1" applyBorder="1" applyAlignment="1">
      <alignment vertical="center"/>
    </xf>
    <xf numFmtId="0" fontId="95" fillId="0" borderId="98" xfId="0" applyFont="1" applyBorder="1" applyAlignment="1">
      <alignment horizontal="justify" vertical="center"/>
    </xf>
    <xf numFmtId="3" fontId="71" fillId="0" borderId="0" xfId="4" quotePrefix="1" applyNumberFormat="1" applyFont="1" applyFill="1" applyBorder="1" applyAlignment="1">
      <alignment horizontal="center" vertical="center"/>
    </xf>
    <xf numFmtId="181" fontId="74" fillId="0" borderId="0" xfId="1" applyNumberFormat="1" applyFont="1"/>
    <xf numFmtId="172" fontId="27" fillId="0" borderId="34" xfId="13" applyNumberFormat="1" applyFont="1" applyBorder="1" applyAlignment="1">
      <alignment horizontal="right" vertical="center"/>
    </xf>
    <xf numFmtId="181" fontId="71" fillId="0" borderId="0" xfId="1" applyNumberFormat="1" applyFont="1" applyFill="1" applyBorder="1"/>
    <xf numFmtId="181" fontId="71" fillId="0" borderId="0" xfId="1" applyNumberFormat="1" applyFont="1" applyFill="1" applyBorder="1" applyAlignment="1">
      <alignment horizontal="center" vertical="center"/>
    </xf>
    <xf numFmtId="166" fontId="5" fillId="0" borderId="0" xfId="15" applyFont="1" applyFill="1" applyAlignment="1">
      <alignment horizontal="right" vertical="center" wrapText="1"/>
    </xf>
    <xf numFmtId="165" fontId="4" fillId="0" borderId="75" xfId="6" applyNumberFormat="1" applyFont="1" applyFill="1" applyBorder="1" applyAlignment="1">
      <alignment horizontal="right" vertical="center" wrapText="1"/>
    </xf>
    <xf numFmtId="165" fontId="8" fillId="0" borderId="76" xfId="6" applyNumberFormat="1" applyFont="1" applyFill="1" applyBorder="1" applyAlignment="1">
      <alignment horizontal="right" vertical="center" wrapText="1"/>
    </xf>
    <xf numFmtId="165" fontId="4" fillId="0" borderId="77" xfId="6" applyNumberFormat="1" applyFont="1" applyFill="1" applyBorder="1" applyAlignment="1">
      <alignment horizontal="right" vertical="center" wrapText="1"/>
    </xf>
    <xf numFmtId="165" fontId="72" fillId="0" borderId="0" xfId="32" applyNumberFormat="1" applyFont="1" applyFill="1" applyBorder="1" applyAlignment="1"/>
    <xf numFmtId="4" fontId="72" fillId="0" borderId="0" xfId="4" applyNumberFormat="1" applyFont="1" applyFill="1" applyBorder="1" applyAlignment="1">
      <alignment horizontal="right"/>
    </xf>
    <xf numFmtId="3" fontId="72" fillId="0" borderId="0" xfId="4" applyNumberFormat="1" applyFont="1" applyFill="1" applyBorder="1"/>
    <xf numFmtId="165" fontId="72" fillId="0" borderId="0" xfId="32" applyNumberFormat="1" applyFont="1" applyFill="1" applyBorder="1"/>
    <xf numFmtId="0" fontId="70" fillId="0" borderId="0" xfId="0" applyFont="1" applyAlignment="1">
      <alignment horizontal="left" vertical="center" readingOrder="1"/>
    </xf>
    <xf numFmtId="9" fontId="72" fillId="0" borderId="0" xfId="3" applyFont="1"/>
    <xf numFmtId="0" fontId="3" fillId="0" borderId="0" xfId="0" applyFont="1"/>
    <xf numFmtId="164" fontId="0" fillId="0" borderId="0" xfId="0" applyNumberFormat="1"/>
    <xf numFmtId="3" fontId="4" fillId="0" borderId="0" xfId="31" applyNumberFormat="1"/>
    <xf numFmtId="168" fontId="5" fillId="15" borderId="0" xfId="24" applyNumberFormat="1" applyFont="1" applyFill="1" applyBorder="1" applyAlignment="1">
      <alignment horizontal="center"/>
    </xf>
    <xf numFmtId="0" fontId="93" fillId="15" borderId="103" xfId="0" applyFont="1" applyFill="1" applyBorder="1" applyAlignment="1">
      <alignment horizontal="center" vertical="center"/>
    </xf>
    <xf numFmtId="0" fontId="8" fillId="15" borderId="0" xfId="10" applyFont="1" applyFill="1" applyAlignment="1">
      <alignment vertical="center"/>
    </xf>
    <xf numFmtId="180" fontId="94" fillId="14" borderId="101" xfId="0" applyNumberFormat="1" applyFont="1" applyFill="1" applyBorder="1" applyAlignment="1">
      <alignment horizontal="right" vertical="center"/>
    </xf>
    <xf numFmtId="180" fontId="94" fillId="0" borderId="101" xfId="1" applyNumberFormat="1" applyFont="1" applyBorder="1" applyAlignment="1">
      <alignment horizontal="right" vertical="center"/>
    </xf>
    <xf numFmtId="180" fontId="95" fillId="0" borderId="98" xfId="0" applyNumberFormat="1" applyFont="1" applyBorder="1" applyAlignment="1">
      <alignment horizontal="right" vertical="center"/>
    </xf>
    <xf numFmtId="0" fontId="8" fillId="3" borderId="44" xfId="10" applyFont="1" applyFill="1" applyBorder="1" applyAlignment="1">
      <alignment horizontal="left" vertical="center" wrapText="1" indent="1"/>
    </xf>
    <xf numFmtId="164" fontId="15" fillId="0" borderId="0" xfId="6" applyFont="1" applyAlignment="1">
      <alignment vertical="center" wrapText="1"/>
    </xf>
    <xf numFmtId="165" fontId="46" fillId="16" borderId="67" xfId="18" applyNumberFormat="1" applyFont="1" applyFill="1" applyBorder="1" applyAlignment="1">
      <alignment horizontal="right" vertical="center"/>
    </xf>
    <xf numFmtId="172" fontId="4" fillId="0" borderId="75" xfId="6" applyNumberFormat="1" applyFont="1" applyFill="1" applyBorder="1" applyAlignment="1">
      <alignment vertical="center" wrapText="1"/>
    </xf>
    <xf numFmtId="49" fontId="4" fillId="0" borderId="79" xfId="6" applyNumberFormat="1" applyFont="1" applyFill="1" applyBorder="1" applyAlignment="1">
      <alignment vertical="center"/>
    </xf>
    <xf numFmtId="0" fontId="48" fillId="0" borderId="76" xfId="6" applyNumberFormat="1" applyFont="1" applyFill="1" applyBorder="1" applyAlignment="1">
      <alignment vertical="center"/>
    </xf>
    <xf numFmtId="37" fontId="10" fillId="0" borderId="34" xfId="10" applyNumberFormat="1" applyFont="1" applyBorder="1" applyAlignment="1">
      <alignment horizontal="left" vertical="center"/>
    </xf>
    <xf numFmtId="49" fontId="71" fillId="0" borderId="0" xfId="4" quotePrefix="1" applyNumberFormat="1" applyFont="1" applyFill="1" applyBorder="1" applyAlignment="1">
      <alignment horizontal="center" vertical="center"/>
    </xf>
    <xf numFmtId="0" fontId="83" fillId="8" borderId="0" xfId="0" applyFont="1" applyFill="1" applyAlignment="1">
      <alignment vertical="center"/>
    </xf>
    <xf numFmtId="0" fontId="96" fillId="8" borderId="0" xfId="0" applyFont="1" applyFill="1" applyAlignment="1">
      <alignment horizontal="justify" vertical="center"/>
    </xf>
    <xf numFmtId="0" fontId="90" fillId="0" borderId="98" xfId="0" applyFont="1" applyBorder="1" applyAlignment="1">
      <alignment vertical="center"/>
    </xf>
    <xf numFmtId="0" fontId="91" fillId="0" borderId="98" xfId="0" applyFont="1" applyBorder="1" applyAlignment="1">
      <alignment vertical="center"/>
    </xf>
    <xf numFmtId="0" fontId="88" fillId="0" borderId="98" xfId="0" applyFont="1" applyBorder="1" applyAlignment="1">
      <alignment vertical="center" wrapText="1"/>
    </xf>
    <xf numFmtId="0" fontId="98" fillId="0" borderId="0" xfId="0" applyFont="1" applyAlignment="1">
      <alignment vertical="center"/>
    </xf>
    <xf numFmtId="174" fontId="33" fillId="0" borderId="0" xfId="0" applyNumberFormat="1" applyFont="1"/>
    <xf numFmtId="165" fontId="41" fillId="8" borderId="0" xfId="10" applyNumberFormat="1" applyFont="1" applyFill="1" applyAlignment="1">
      <alignment horizontal="center" vertical="center" wrapText="1"/>
    </xf>
    <xf numFmtId="9" fontId="16" fillId="0" borderId="36" xfId="45" applyFont="1" applyFill="1" applyBorder="1" applyAlignment="1">
      <alignment vertical="center" wrapText="1"/>
    </xf>
    <xf numFmtId="169" fontId="19" fillId="0" borderId="0" xfId="45" applyNumberFormat="1" applyFont="1" applyFill="1" applyAlignment="1">
      <alignment vertical="center" wrapText="1"/>
    </xf>
    <xf numFmtId="169" fontId="4" fillId="0" borderId="9" xfId="45" applyNumberFormat="1" applyFill="1" applyBorder="1" applyAlignment="1">
      <alignment horizontal="right" vertical="center" wrapText="1"/>
    </xf>
    <xf numFmtId="172" fontId="4" fillId="0" borderId="8" xfId="45" applyNumberFormat="1" applyFill="1" applyBorder="1" applyAlignment="1">
      <alignment horizontal="right" vertical="center" wrapText="1"/>
    </xf>
    <xf numFmtId="169" fontId="4" fillId="0" borderId="10" xfId="45" applyNumberFormat="1" applyBorder="1" applyAlignment="1">
      <alignment horizontal="right" vertical="center" wrapText="1"/>
    </xf>
    <xf numFmtId="172" fontId="4" fillId="0" borderId="8" xfId="45" applyNumberFormat="1" applyBorder="1" applyAlignment="1">
      <alignment horizontal="right" vertical="center" wrapText="1"/>
    </xf>
    <xf numFmtId="169" fontId="4" fillId="0" borderId="10" xfId="45" applyNumberFormat="1" applyFill="1" applyBorder="1" applyAlignment="1">
      <alignment horizontal="right" vertical="center" wrapText="1"/>
    </xf>
    <xf numFmtId="169" fontId="4" fillId="0" borderId="11" xfId="45" applyNumberFormat="1" applyFill="1" applyBorder="1" applyAlignment="1">
      <alignment horizontal="right" vertical="center" wrapText="1"/>
    </xf>
    <xf numFmtId="169" fontId="4" fillId="0" borderId="11" xfId="45" applyNumberFormat="1" applyBorder="1" applyAlignment="1">
      <alignment horizontal="right" vertical="center" wrapText="1"/>
    </xf>
    <xf numFmtId="170" fontId="4" fillId="0" borderId="8" xfId="45" applyNumberFormat="1" applyBorder="1" applyAlignment="1">
      <alignment horizontal="right" vertical="center" wrapText="1"/>
    </xf>
    <xf numFmtId="169" fontId="7" fillId="10" borderId="6" xfId="45" applyNumberFormat="1" applyFont="1" applyFill="1" applyBorder="1" applyAlignment="1">
      <alignment horizontal="right" vertical="center" wrapText="1"/>
    </xf>
    <xf numFmtId="172" fontId="7" fillId="9" borderId="4" xfId="45" applyNumberFormat="1" applyFont="1" applyFill="1" applyBorder="1" applyAlignment="1">
      <alignment horizontal="right" vertical="center" wrapText="1"/>
    </xf>
    <xf numFmtId="169" fontId="4" fillId="0" borderId="9" xfId="45" applyNumberFormat="1" applyFont="1" applyBorder="1" applyAlignment="1">
      <alignment horizontal="right" vertical="center" wrapText="1"/>
    </xf>
    <xf numFmtId="172" fontId="4" fillId="0" borderId="8" xfId="45" applyNumberFormat="1" applyFont="1" applyBorder="1" applyAlignment="1">
      <alignment horizontal="right" vertical="center" wrapText="1"/>
    </xf>
    <xf numFmtId="169" fontId="4" fillId="0" borderId="14" xfId="45" applyNumberFormat="1" applyBorder="1" applyAlignment="1">
      <alignment horizontal="right" vertical="center" wrapText="1"/>
    </xf>
    <xf numFmtId="169" fontId="4" fillId="0" borderId="0" xfId="45" applyNumberFormat="1" applyAlignment="1">
      <alignment horizontal="right" vertical="center" wrapText="1"/>
    </xf>
    <xf numFmtId="172" fontId="7" fillId="9" borderId="17" xfId="45" applyNumberFormat="1" applyFont="1" applyFill="1" applyBorder="1" applyAlignment="1">
      <alignment horizontal="right" vertical="center" wrapText="1"/>
    </xf>
    <xf numFmtId="169" fontId="7" fillId="10" borderId="0" xfId="45" applyNumberFormat="1" applyFont="1" applyFill="1" applyAlignment="1">
      <alignment horizontal="right" vertical="center" wrapText="1"/>
    </xf>
    <xf numFmtId="172" fontId="7" fillId="9" borderId="20" xfId="45" applyNumberFormat="1" applyFont="1" applyFill="1" applyBorder="1" applyAlignment="1">
      <alignment horizontal="right" vertical="center" wrapText="1"/>
    </xf>
    <xf numFmtId="169" fontId="5" fillId="0" borderId="14" xfId="45" applyNumberFormat="1" applyFont="1" applyBorder="1" applyAlignment="1">
      <alignment horizontal="right" vertical="center" wrapText="1"/>
    </xf>
    <xf numFmtId="169" fontId="4" fillId="0" borderId="9" xfId="45" applyNumberFormat="1" applyBorder="1" applyAlignment="1">
      <alignment horizontal="right" vertical="center" wrapText="1"/>
    </xf>
    <xf numFmtId="169" fontId="4" fillId="0" borderId="13" xfId="45" applyNumberFormat="1" applyFill="1" applyBorder="1" applyAlignment="1">
      <alignment horizontal="right" vertical="center" wrapText="1"/>
    </xf>
    <xf numFmtId="169" fontId="4" fillId="0" borderId="13" xfId="45" applyNumberFormat="1" applyBorder="1" applyAlignment="1">
      <alignment horizontal="right" vertical="center" wrapText="1"/>
    </xf>
    <xf numFmtId="175" fontId="15" fillId="0" borderId="0" xfId="45" applyNumberFormat="1" applyFont="1" applyAlignment="1">
      <alignment vertical="center" wrapText="1"/>
    </xf>
    <xf numFmtId="175" fontId="8" fillId="0" borderId="54" xfId="45" applyNumberFormat="1" applyFont="1" applyBorder="1" applyAlignment="1">
      <alignment vertical="center" wrapText="1"/>
    </xf>
    <xf numFmtId="172" fontId="8" fillId="0" borderId="34" xfId="45" applyNumberFormat="1" applyFont="1" applyFill="1" applyBorder="1" applyAlignment="1">
      <alignment horizontal="right" vertical="center" wrapText="1"/>
    </xf>
    <xf numFmtId="0" fontId="4" fillId="0" borderId="34" xfId="7" applyBorder="1" applyAlignment="1">
      <alignment horizontal="left" vertical="center"/>
    </xf>
    <xf numFmtId="175" fontId="8" fillId="0" borderId="34" xfId="45" applyNumberFormat="1" applyFont="1" applyFill="1" applyBorder="1" applyAlignment="1">
      <alignment vertical="center" wrapText="1"/>
    </xf>
    <xf numFmtId="172" fontId="8" fillId="0" borderId="74" xfId="45" applyNumberFormat="1" applyFont="1" applyFill="1" applyBorder="1" applyAlignment="1">
      <alignment horizontal="right" vertical="center" wrapText="1"/>
    </xf>
    <xf numFmtId="175" fontId="8" fillId="0" borderId="74" xfId="45" applyNumberFormat="1" applyFont="1" applyFill="1" applyBorder="1" applyAlignment="1">
      <alignment horizontal="right" vertical="center" wrapText="1"/>
    </xf>
    <xf numFmtId="175" fontId="15" fillId="0" borderId="54" xfId="45" applyNumberFormat="1" applyFont="1" applyFill="1" applyBorder="1" applyAlignment="1">
      <alignment horizontal="right" vertical="center" wrapText="1"/>
    </xf>
    <xf numFmtId="175" fontId="8" fillId="0" borderId="34" xfId="45" applyNumberFormat="1" applyFont="1" applyFill="1" applyBorder="1" applyAlignment="1">
      <alignment horizontal="right" vertical="center" wrapText="1"/>
    </xf>
    <xf numFmtId="169" fontId="16" fillId="0" borderId="80" xfId="45" applyNumberFormat="1" applyFont="1" applyFill="1" applyBorder="1" applyAlignment="1">
      <alignment vertical="center" wrapText="1"/>
    </xf>
    <xf numFmtId="169" fontId="16" fillId="0" borderId="0" xfId="45" applyNumberFormat="1" applyFont="1" applyFill="1" applyAlignment="1">
      <alignment vertical="center" wrapText="1"/>
    </xf>
    <xf numFmtId="165" fontId="10" fillId="0" borderId="74" xfId="45" applyNumberFormat="1" applyFont="1" applyFill="1" applyBorder="1" applyAlignment="1">
      <alignment horizontal="right" vertical="center" wrapText="1"/>
    </xf>
    <xf numFmtId="169" fontId="16" fillId="0" borderId="0" xfId="45" applyNumberFormat="1" applyFont="1" applyAlignment="1">
      <alignment vertical="center" wrapText="1"/>
    </xf>
    <xf numFmtId="169" fontId="16" fillId="0" borderId="74" xfId="45" applyNumberFormat="1" applyFont="1" applyFill="1" applyBorder="1" applyAlignment="1">
      <alignment vertical="center" wrapText="1"/>
    </xf>
    <xf numFmtId="169" fontId="16" fillId="0" borderId="74" xfId="45" applyNumberFormat="1" applyFont="1" applyFill="1" applyBorder="1" applyAlignment="1">
      <alignment horizontal="right" vertical="center" wrapText="1"/>
    </xf>
    <xf numFmtId="169" fontId="16" fillId="0" borderId="74" xfId="45" applyNumberFormat="1" applyFont="1" applyFill="1" applyBorder="1" applyAlignment="1">
      <alignment vertical="center"/>
    </xf>
    <xf numFmtId="175" fontId="8" fillId="0" borderId="0" xfId="45" applyNumberFormat="1" applyFont="1" applyFill="1" applyAlignment="1">
      <alignment vertical="center" wrapText="1"/>
    </xf>
    <xf numFmtId="169" fontId="16" fillId="0" borderId="36" xfId="45" applyNumberFormat="1" applyFont="1" applyFill="1" applyBorder="1" applyAlignment="1">
      <alignment vertical="center" wrapText="1"/>
    </xf>
    <xf numFmtId="169" fontId="16" fillId="0" borderId="79" xfId="45" applyNumberFormat="1" applyFont="1" applyFill="1" applyBorder="1" applyAlignment="1">
      <alignment vertical="center" wrapText="1"/>
    </xf>
    <xf numFmtId="169" fontId="16" fillId="0" borderId="79" xfId="45" applyNumberFormat="1" applyFont="1" applyFill="1" applyBorder="1" applyAlignment="1">
      <alignment horizontal="left" vertical="center"/>
    </xf>
    <xf numFmtId="169" fontId="52" fillId="0" borderId="74" xfId="45" applyNumberFormat="1" applyFont="1" applyFill="1" applyBorder="1" applyAlignment="1">
      <alignment vertical="center" wrapText="1"/>
    </xf>
    <xf numFmtId="169" fontId="52" fillId="0" borderId="0" xfId="45" applyNumberFormat="1" applyFont="1" applyFill="1" applyAlignment="1">
      <alignment vertical="center" wrapText="1"/>
    </xf>
    <xf numFmtId="169" fontId="53" fillId="0" borderId="36" xfId="45" applyNumberFormat="1" applyFont="1" applyFill="1" applyBorder="1" applyAlignment="1">
      <alignment vertical="center" wrapText="1"/>
    </xf>
    <xf numFmtId="175" fontId="8" fillId="0" borderId="76" xfId="45" applyNumberFormat="1" applyFont="1" applyFill="1" applyBorder="1" applyAlignment="1">
      <alignment vertical="center" wrapText="1"/>
    </xf>
    <xf numFmtId="175" fontId="8" fillId="0" borderId="77" xfId="45" applyNumberFormat="1" applyFont="1" applyFill="1" applyBorder="1" applyAlignment="1">
      <alignment vertical="center" wrapText="1"/>
    </xf>
    <xf numFmtId="175" fontId="8" fillId="0" borderId="54" xfId="45" applyNumberFormat="1" applyFont="1" applyFill="1" applyBorder="1" applyAlignment="1">
      <alignment horizontal="right" vertical="center" wrapText="1"/>
    </xf>
    <xf numFmtId="169" fontId="16" fillId="0" borderId="74" xfId="45" applyNumberFormat="1" applyFont="1" applyBorder="1" applyAlignment="1">
      <alignment horizontal="right" vertical="center" wrapText="1"/>
    </xf>
    <xf numFmtId="10" fontId="8" fillId="0" borderId="0" xfId="45" applyNumberFormat="1" applyFont="1" applyAlignment="1">
      <alignment vertical="center" wrapText="1"/>
    </xf>
    <xf numFmtId="9" fontId="5" fillId="0" borderId="0" xfId="45" applyFont="1" applyAlignment="1">
      <alignment horizontal="center"/>
    </xf>
    <xf numFmtId="9" fontId="47" fillId="0" borderId="0" xfId="45" applyFont="1" applyFill="1" applyAlignment="1">
      <alignment horizontal="left" vertical="center"/>
    </xf>
    <xf numFmtId="9" fontId="1" fillId="0" borderId="0" xfId="45" applyFont="1" applyAlignment="1">
      <alignment horizontal="center"/>
    </xf>
    <xf numFmtId="169" fontId="18" fillId="0" borderId="0" xfId="45" applyNumberFormat="1" applyFont="1" applyFill="1"/>
    <xf numFmtId="169" fontId="18" fillId="0" borderId="0" xfId="45" applyNumberFormat="1" applyFont="1"/>
    <xf numFmtId="9" fontId="67" fillId="0" borderId="0" xfId="45" applyFont="1" applyFill="1" applyAlignment="1">
      <alignment horizontal="center"/>
    </xf>
    <xf numFmtId="169" fontId="53" fillId="0" borderId="0" xfId="45" applyNumberFormat="1" applyFont="1" applyFill="1"/>
    <xf numFmtId="9" fontId="5" fillId="0" borderId="0" xfId="45" applyFont="1" applyFill="1" applyAlignment="1">
      <alignment horizontal="center"/>
    </xf>
    <xf numFmtId="9" fontId="67" fillId="0" borderId="0" xfId="45" applyFont="1" applyAlignment="1">
      <alignment horizontal="center"/>
    </xf>
    <xf numFmtId="169" fontId="53" fillId="0" borderId="94" xfId="45" applyNumberFormat="1" applyFont="1" applyFill="1" applyBorder="1"/>
    <xf numFmtId="0" fontId="4" fillId="0" borderId="53" xfId="45" applyNumberFormat="1" applyFont="1" applyFill="1" applyBorder="1" applyAlignment="1">
      <alignment vertical="center"/>
    </xf>
    <xf numFmtId="175" fontId="15" fillId="0" borderId="52" xfId="45" applyNumberFormat="1" applyFont="1" applyBorder="1" applyAlignment="1">
      <alignment vertical="center" wrapText="1"/>
    </xf>
    <xf numFmtId="175" fontId="16" fillId="0" borderId="53" xfId="45" applyNumberFormat="1" applyFont="1" applyFill="1" applyBorder="1" applyAlignment="1">
      <alignment vertical="center" wrapText="1"/>
    </xf>
    <xf numFmtId="0" fontId="18" fillId="0" borderId="53" xfId="45" applyNumberFormat="1" applyFont="1" applyFill="1" applyBorder="1" applyAlignment="1">
      <alignment vertical="center"/>
    </xf>
    <xf numFmtId="175" fontId="16" fillId="0" borderId="53" xfId="45" applyNumberFormat="1" applyFont="1" applyBorder="1" applyAlignment="1">
      <alignment vertical="center" wrapText="1"/>
    </xf>
    <xf numFmtId="175" fontId="8" fillId="0" borderId="50" xfId="45" applyNumberFormat="1" applyFont="1" applyFill="1" applyBorder="1" applyAlignment="1">
      <alignment horizontal="right" vertical="center" wrapText="1"/>
    </xf>
    <xf numFmtId="0" fontId="4" fillId="0" borderId="50" xfId="45" applyNumberFormat="1" applyFont="1" applyFill="1" applyBorder="1" applyAlignment="1">
      <alignment horizontal="right" vertical="center"/>
    </xf>
    <xf numFmtId="9" fontId="16" fillId="0" borderId="0" xfId="45" applyFont="1" applyFill="1" applyAlignment="1">
      <alignment vertical="center" wrapText="1"/>
    </xf>
    <xf numFmtId="9" fontId="16" fillId="0" borderId="36" xfId="45" applyFont="1" applyBorder="1" applyAlignment="1">
      <alignment vertical="center" wrapText="1"/>
    </xf>
    <xf numFmtId="175" fontId="8" fillId="0" borderId="27" xfId="45" applyNumberFormat="1" applyFont="1" applyFill="1" applyBorder="1" applyAlignment="1">
      <alignment vertical="center" wrapText="1"/>
    </xf>
    <xf numFmtId="0" fontId="4" fillId="0" borderId="27" xfId="45" applyNumberFormat="1" applyFont="1" applyFill="1" applyBorder="1" applyAlignment="1">
      <alignment vertical="center"/>
    </xf>
    <xf numFmtId="175" fontId="8" fillId="0" borderId="27" xfId="45" applyNumberFormat="1" applyFont="1" applyBorder="1" applyAlignment="1">
      <alignment vertical="center" wrapText="1"/>
    </xf>
    <xf numFmtId="175" fontId="15" fillId="0" borderId="12" xfId="45" applyNumberFormat="1" applyFont="1" applyBorder="1" applyAlignment="1">
      <alignment vertical="center" wrapText="1"/>
    </xf>
    <xf numFmtId="175" fontId="10" fillId="0" borderId="37" xfId="45" applyNumberFormat="1" applyFont="1" applyFill="1" applyBorder="1" applyAlignment="1">
      <alignment vertical="center" wrapText="1"/>
    </xf>
    <xf numFmtId="0" fontId="4" fillId="0" borderId="37" xfId="45" applyNumberFormat="1" applyFont="1" applyFill="1" applyBorder="1" applyAlignment="1">
      <alignment vertical="center"/>
    </xf>
    <xf numFmtId="175" fontId="10" fillId="0" borderId="37" xfId="45" applyNumberFormat="1" applyFont="1" applyBorder="1" applyAlignment="1">
      <alignment vertical="center" wrapText="1"/>
    </xf>
    <xf numFmtId="175" fontId="15" fillId="0" borderId="26" xfId="45" applyNumberFormat="1" applyFont="1" applyFill="1" applyBorder="1" applyAlignment="1">
      <alignment vertical="center" wrapText="1"/>
    </xf>
    <xf numFmtId="0" fontId="15" fillId="0" borderId="26" xfId="45" applyNumberFormat="1" applyFont="1" applyFill="1" applyBorder="1" applyAlignment="1">
      <alignment vertical="center"/>
    </xf>
    <xf numFmtId="175" fontId="15" fillId="0" borderId="26" xfId="45" applyNumberFormat="1" applyFont="1" applyBorder="1" applyAlignment="1">
      <alignment vertical="center" wrapText="1"/>
    </xf>
    <xf numFmtId="0" fontId="10" fillId="0" borderId="37" xfId="45" applyNumberFormat="1" applyFont="1" applyFill="1" applyBorder="1" applyAlignment="1">
      <alignment vertical="center"/>
    </xf>
    <xf numFmtId="175" fontId="15" fillId="0" borderId="0" xfId="45" applyNumberFormat="1" applyFont="1" applyFill="1" applyAlignment="1">
      <alignment vertical="center"/>
    </xf>
    <xf numFmtId="170" fontId="7" fillId="9" borderId="6" xfId="45" applyNumberFormat="1" applyFont="1" applyFill="1" applyBorder="1" applyAlignment="1">
      <alignment horizontal="right" vertical="center" wrapText="1"/>
    </xf>
    <xf numFmtId="170" fontId="7" fillId="9" borderId="8" xfId="45" applyNumberFormat="1" applyFont="1" applyFill="1" applyBorder="1" applyAlignment="1">
      <alignment horizontal="right" vertical="center" wrapText="1"/>
    </xf>
    <xf numFmtId="170" fontId="7" fillId="9" borderId="20" xfId="45" applyNumberFormat="1" applyFont="1" applyFill="1" applyBorder="1" applyAlignment="1">
      <alignment horizontal="right" vertical="center" wrapText="1"/>
    </xf>
    <xf numFmtId="169" fontId="7" fillId="0" borderId="0" xfId="45" applyNumberFormat="1" applyFont="1" applyAlignment="1">
      <alignment horizontal="right" vertical="center" wrapText="1"/>
    </xf>
    <xf numFmtId="172" fontId="7" fillId="0" borderId="0" xfId="45" applyNumberFormat="1" applyFont="1" applyAlignment="1">
      <alignment horizontal="right" vertical="center" wrapText="1"/>
    </xf>
    <xf numFmtId="169" fontId="4" fillId="0" borderId="14" xfId="45" applyNumberFormat="1" applyFill="1" applyBorder="1" applyAlignment="1">
      <alignment horizontal="right" vertical="center" wrapText="1"/>
    </xf>
    <xf numFmtId="170" fontId="7" fillId="9" borderId="17" xfId="45" applyNumberFormat="1" applyFont="1" applyFill="1" applyBorder="1" applyAlignment="1">
      <alignment horizontal="right" vertical="center" wrapText="1"/>
    </xf>
    <xf numFmtId="170" fontId="7" fillId="0" borderId="0" xfId="45" applyNumberFormat="1" applyFont="1" applyAlignment="1">
      <alignment horizontal="right" vertical="center" wrapText="1"/>
    </xf>
    <xf numFmtId="169" fontId="19" fillId="0" borderId="0" xfId="45" applyNumberFormat="1" applyFont="1" applyFill="1" applyBorder="1" applyAlignment="1">
      <alignment vertical="center" wrapText="1"/>
    </xf>
    <xf numFmtId="175" fontId="15" fillId="0" borderId="54" xfId="45" applyNumberFormat="1" applyFont="1" applyFill="1" applyBorder="1" applyAlignment="1">
      <alignment vertical="center" wrapText="1"/>
    </xf>
    <xf numFmtId="175" fontId="8" fillId="0" borderId="28" xfId="45" applyNumberFormat="1" applyFont="1" applyFill="1" applyBorder="1" applyAlignment="1">
      <alignment vertical="center" wrapText="1"/>
    </xf>
    <xf numFmtId="169" fontId="16" fillId="0" borderId="77" xfId="45" applyNumberFormat="1" applyFont="1" applyFill="1" applyBorder="1" applyAlignment="1">
      <alignment vertical="center" wrapText="1"/>
    </xf>
    <xf numFmtId="175" fontId="15" fillId="0" borderId="74" xfId="45" applyNumberFormat="1" applyFont="1" applyFill="1" applyBorder="1" applyAlignment="1">
      <alignment vertical="center" wrapText="1"/>
    </xf>
    <xf numFmtId="175" fontId="8" fillId="0" borderId="74" xfId="45" applyNumberFormat="1" applyFont="1" applyFill="1" applyBorder="1" applyAlignment="1">
      <alignment vertical="center" wrapText="1"/>
    </xf>
    <xf numFmtId="172" fontId="4" fillId="0" borderId="74" xfId="6" applyNumberFormat="1" applyFill="1" applyBorder="1" applyAlignment="1">
      <alignment horizontal="right" vertical="center" wrapText="1"/>
    </xf>
    <xf numFmtId="181" fontId="8" fillId="0" borderId="0" xfId="1" applyNumberFormat="1" applyFont="1" applyAlignment="1">
      <alignment vertical="center" wrapText="1"/>
    </xf>
    <xf numFmtId="181" fontId="72" fillId="0" borderId="0" xfId="1" applyNumberFormat="1" applyFont="1" applyFill="1" applyBorder="1"/>
    <xf numFmtId="0" fontId="96" fillId="0" borderId="0" xfId="0" applyFont="1" applyAlignment="1">
      <alignment horizontal="justify" vertical="center"/>
    </xf>
    <xf numFmtId="0" fontId="86" fillId="0" borderId="0" xfId="0" applyFont="1" applyAlignment="1">
      <alignment vertical="center"/>
    </xf>
    <xf numFmtId="0" fontId="90" fillId="14" borderId="103" xfId="0" applyFont="1" applyFill="1" applyBorder="1" applyAlignment="1">
      <alignment horizontal="center" vertical="center"/>
    </xf>
    <xf numFmtId="0" fontId="12" fillId="0" borderId="98" xfId="0" applyFont="1" applyBorder="1" applyAlignment="1">
      <alignment vertical="center"/>
    </xf>
    <xf numFmtId="0" fontId="91" fillId="0" borderId="98" xfId="0" applyFont="1" applyBorder="1" applyAlignment="1">
      <alignment vertical="center" wrapText="1"/>
    </xf>
    <xf numFmtId="0" fontId="99" fillId="0" borderId="101" xfId="0" applyFont="1" applyBorder="1" applyAlignment="1">
      <alignment vertical="center" wrapText="1"/>
    </xf>
    <xf numFmtId="43" fontId="4" fillId="3" borderId="0" xfId="1" applyFont="1" applyFill="1" applyAlignment="1">
      <alignment horizontal="right" vertical="center" wrapText="1"/>
    </xf>
    <xf numFmtId="169" fontId="8" fillId="0" borderId="66" xfId="45" applyNumberFormat="1" applyFont="1" applyBorder="1" applyAlignment="1">
      <alignment vertical="center" wrapText="1"/>
    </xf>
    <xf numFmtId="165" fontId="4" fillId="0" borderId="0" xfId="6" applyNumberFormat="1" applyFill="1" applyAlignment="1">
      <alignment horizontal="right" vertical="center" wrapText="1"/>
    </xf>
    <xf numFmtId="0" fontId="15" fillId="0" borderId="25" xfId="10" applyFont="1" applyBorder="1" applyAlignment="1">
      <alignment horizontal="left" vertical="center" wrapText="1" indent="1"/>
    </xf>
    <xf numFmtId="0" fontId="50" fillId="0" borderId="31" xfId="13" applyFont="1" applyBorder="1" applyAlignment="1">
      <alignment vertical="center" wrapText="1"/>
    </xf>
    <xf numFmtId="0" fontId="10" fillId="0" borderId="36" xfId="10" applyFont="1" applyBorder="1" applyAlignment="1">
      <alignment horizontal="left" vertical="center" wrapText="1" indent="1"/>
    </xf>
    <xf numFmtId="37" fontId="15" fillId="0" borderId="54" xfId="10" applyNumberFormat="1" applyFont="1" applyBorder="1" applyAlignment="1">
      <alignment horizontal="left" vertical="center"/>
    </xf>
    <xf numFmtId="170" fontId="27" fillId="0" borderId="46" xfId="13" applyNumberFormat="1" applyFont="1" applyBorder="1" applyAlignment="1">
      <alignment vertical="center" wrapText="1"/>
    </xf>
    <xf numFmtId="170" fontId="27" fillId="0" borderId="34" xfId="13" applyNumberFormat="1" applyFont="1" applyBorder="1" applyAlignment="1">
      <alignment horizontal="left" vertical="center"/>
    </xf>
    <xf numFmtId="169" fontId="52" fillId="0" borderId="46" xfId="45" applyNumberFormat="1" applyFont="1" applyFill="1" applyBorder="1" applyAlignment="1">
      <alignment vertical="center" wrapText="1"/>
    </xf>
    <xf numFmtId="169" fontId="52" fillId="0" borderId="34" xfId="45" applyNumberFormat="1" applyFont="1" applyFill="1" applyBorder="1" applyAlignment="1">
      <alignment horizontal="left" vertical="center"/>
    </xf>
    <xf numFmtId="175" fontId="8" fillId="3" borderId="76" xfId="10" applyNumberFormat="1" applyFont="1" applyFill="1" applyBorder="1" applyAlignment="1">
      <alignment horizontal="right" vertical="center" wrapText="1"/>
    </xf>
    <xf numFmtId="37" fontId="8" fillId="3" borderId="34" xfId="10" applyNumberFormat="1" applyFont="1" applyFill="1" applyBorder="1" applyAlignment="1">
      <alignment vertical="center" wrapText="1"/>
    </xf>
    <xf numFmtId="0" fontId="8" fillId="0" borderId="74" xfId="6" applyNumberFormat="1" applyFont="1" applyFill="1" applyBorder="1" applyAlignment="1">
      <alignment horizontal="left" vertical="center"/>
    </xf>
    <xf numFmtId="164" fontId="8" fillId="0" borderId="74" xfId="6" applyFont="1" applyBorder="1" applyAlignment="1">
      <alignment vertical="center" wrapText="1"/>
    </xf>
    <xf numFmtId="181" fontId="15" fillId="4" borderId="0" xfId="1" applyNumberFormat="1" applyFont="1" applyFill="1" applyAlignment="1">
      <alignment vertical="center" wrapText="1"/>
    </xf>
    <xf numFmtId="165" fontId="5" fillId="0" borderId="89" xfId="6" applyNumberFormat="1" applyFont="1" applyFill="1" applyBorder="1"/>
    <xf numFmtId="165" fontId="4" fillId="0" borderId="92" xfId="16" applyNumberFormat="1" applyBorder="1"/>
    <xf numFmtId="165" fontId="4" fillId="0" borderId="89" xfId="6" applyNumberFormat="1" applyFont="1" applyFill="1" applyBorder="1"/>
    <xf numFmtId="165" fontId="66" fillId="0" borderId="92" xfId="16" applyNumberFormat="1" applyFont="1" applyBorder="1"/>
    <xf numFmtId="165" fontId="95" fillId="14" borderId="98" xfId="1" applyNumberFormat="1" applyFont="1" applyFill="1" applyBorder="1" applyAlignment="1">
      <alignment horizontal="right" vertical="center"/>
    </xf>
    <xf numFmtId="181" fontId="72" fillId="0" borderId="0" xfId="1" applyNumberFormat="1" applyFont="1" applyFill="1" applyBorder="1" applyAlignment="1"/>
    <xf numFmtId="0" fontId="4" fillId="0" borderId="0" xfId="0" applyFont="1" applyAlignment="1">
      <alignment horizontal="left"/>
    </xf>
    <xf numFmtId="0" fontId="85" fillId="0" borderId="0" xfId="0" applyFont="1" applyAlignment="1">
      <alignment vertical="center"/>
    </xf>
    <xf numFmtId="0" fontId="99" fillId="0" borderId="98" xfId="0" applyFont="1" applyBorder="1" applyAlignment="1">
      <alignment vertical="center" wrapText="1"/>
    </xf>
    <xf numFmtId="0" fontId="100" fillId="14" borderId="106" xfId="0" applyFont="1" applyFill="1" applyBorder="1" applyAlignment="1">
      <alignment horizontal="center" vertical="center" wrapText="1"/>
    </xf>
    <xf numFmtId="0" fontId="100" fillId="0" borderId="106" xfId="0" applyFont="1" applyBorder="1" applyAlignment="1">
      <alignment horizontal="center" vertical="center" wrapText="1"/>
    </xf>
    <xf numFmtId="0" fontId="100" fillId="0" borderId="100" xfId="0" applyFont="1" applyBorder="1" applyAlignment="1">
      <alignment vertical="center" wrapText="1"/>
    </xf>
    <xf numFmtId="0" fontId="100" fillId="14" borderId="100" xfId="0" applyFont="1" applyFill="1" applyBorder="1" applyAlignment="1">
      <alignment horizontal="right" vertical="center" wrapText="1"/>
    </xf>
    <xf numFmtId="0" fontId="100" fillId="0" borderId="101" xfId="0" applyFont="1" applyBorder="1" applyAlignment="1">
      <alignment vertical="center" wrapText="1"/>
    </xf>
    <xf numFmtId="0" fontId="101" fillId="0" borderId="101" xfId="0" applyFont="1" applyBorder="1" applyAlignment="1">
      <alignment vertical="center" wrapText="1"/>
    </xf>
    <xf numFmtId="0" fontId="100" fillId="0" borderId="98" xfId="0" applyFont="1" applyBorder="1" applyAlignment="1">
      <alignment vertical="center" wrapText="1"/>
    </xf>
    <xf numFmtId="0" fontId="100" fillId="0" borderId="99" xfId="0" applyFont="1" applyBorder="1" applyAlignment="1">
      <alignment vertical="center" wrapText="1"/>
    </xf>
    <xf numFmtId="0" fontId="100" fillId="0" borderId="104" xfId="0" applyFont="1" applyBorder="1" applyAlignment="1">
      <alignment vertical="center" wrapText="1"/>
    </xf>
    <xf numFmtId="0" fontId="101" fillId="0" borderId="0" xfId="0" applyFont="1" applyAlignment="1">
      <alignment vertical="center" wrapText="1"/>
    </xf>
    <xf numFmtId="0" fontId="103" fillId="0" borderId="102" xfId="0" applyFont="1" applyBorder="1" applyAlignment="1">
      <alignment vertical="center" wrapText="1"/>
    </xf>
    <xf numFmtId="0" fontId="99" fillId="14" borderId="101" xfId="0" applyFont="1" applyFill="1" applyBorder="1" applyAlignment="1">
      <alignment horizontal="right" vertical="center" wrapText="1"/>
    </xf>
    <xf numFmtId="0" fontId="99" fillId="0" borderId="101" xfId="0" applyFont="1" applyBorder="1" applyAlignment="1">
      <alignment horizontal="right" vertical="center" wrapText="1"/>
    </xf>
    <xf numFmtId="165" fontId="30" fillId="3" borderId="0" xfId="6" applyNumberFormat="1" applyFont="1" applyFill="1" applyAlignment="1">
      <alignment vertical="center" wrapText="1"/>
    </xf>
    <xf numFmtId="165" fontId="4" fillId="0" borderId="0" xfId="6" applyNumberFormat="1" applyFont="1" applyFill="1"/>
    <xf numFmtId="41" fontId="4" fillId="0" borderId="0" xfId="31" applyNumberFormat="1"/>
    <xf numFmtId="181" fontId="71" fillId="0" borderId="0" xfId="1" applyNumberFormat="1" applyFont="1" applyFill="1" applyBorder="1" applyAlignment="1">
      <alignment vertical="center"/>
    </xf>
    <xf numFmtId="181" fontId="72" fillId="0" borderId="0" xfId="1" applyNumberFormat="1" applyFont="1" applyFill="1" applyBorder="1" applyAlignment="1">
      <alignment horizontal="right"/>
    </xf>
    <xf numFmtId="165" fontId="90" fillId="14" borderId="98" xfId="46" applyNumberFormat="1" applyFont="1" applyFill="1" applyBorder="1" applyAlignment="1">
      <alignment horizontal="right" vertical="center" wrapText="1"/>
    </xf>
    <xf numFmtId="165" fontId="87" fillId="14" borderId="104" xfId="46" applyNumberFormat="1" applyFont="1" applyFill="1" applyBorder="1" applyAlignment="1">
      <alignment horizontal="right" vertical="center" wrapText="1"/>
    </xf>
    <xf numFmtId="165" fontId="87" fillId="14" borderId="105" xfId="46" applyNumberFormat="1" applyFont="1" applyFill="1" applyBorder="1" applyAlignment="1">
      <alignment horizontal="right" vertical="center" wrapText="1"/>
    </xf>
    <xf numFmtId="165" fontId="87" fillId="14" borderId="101" xfId="46" applyNumberFormat="1" applyFont="1" applyFill="1" applyBorder="1" applyAlignment="1">
      <alignment horizontal="right" vertical="center" wrapText="1"/>
    </xf>
    <xf numFmtId="165" fontId="0" fillId="0" borderId="0" xfId="0" applyNumberFormat="1"/>
    <xf numFmtId="43" fontId="4" fillId="0" borderId="0" xfId="1" applyFont="1" applyAlignment="1">
      <alignment horizontal="right" vertical="center" wrapText="1"/>
    </xf>
    <xf numFmtId="165" fontId="91" fillId="14" borderId="98" xfId="46" applyNumberFormat="1" applyFont="1" applyFill="1" applyBorder="1" applyAlignment="1">
      <alignment horizontal="right" vertical="center" wrapText="1"/>
    </xf>
    <xf numFmtId="165" fontId="87" fillId="14" borderId="98" xfId="46" applyNumberFormat="1" applyFont="1" applyFill="1" applyBorder="1" applyAlignment="1">
      <alignment horizontal="right" vertical="center" wrapText="1"/>
    </xf>
    <xf numFmtId="43" fontId="0" fillId="0" borderId="0" xfId="1" applyFont="1"/>
    <xf numFmtId="0" fontId="105" fillId="17" borderId="98" xfId="0" applyFont="1" applyFill="1" applyBorder="1" applyAlignment="1">
      <alignment horizontal="center" vertical="center"/>
    </xf>
    <xf numFmtId="0" fontId="106" fillId="17" borderId="98" xfId="0" applyFont="1" applyFill="1" applyBorder="1" applyAlignment="1">
      <alignment horizontal="center" vertical="center" wrapText="1"/>
    </xf>
    <xf numFmtId="17" fontId="106" fillId="17" borderId="98" xfId="0" applyNumberFormat="1" applyFont="1" applyFill="1" applyBorder="1" applyAlignment="1">
      <alignment horizontal="center" vertical="center" wrapText="1"/>
    </xf>
    <xf numFmtId="0" fontId="106" fillId="0" borderId="98" xfId="0" applyFont="1" applyBorder="1" applyAlignment="1">
      <alignment vertical="center"/>
    </xf>
    <xf numFmtId="3" fontId="106" fillId="14" borderId="98" xfId="0" applyNumberFormat="1" applyFont="1" applyFill="1" applyBorder="1" applyAlignment="1">
      <alignment horizontal="center" vertical="center" wrapText="1"/>
    </xf>
    <xf numFmtId="3" fontId="106" fillId="0" borderId="98" xfId="0" applyNumberFormat="1" applyFont="1" applyBorder="1" applyAlignment="1">
      <alignment horizontal="center" vertical="center" wrapText="1"/>
    </xf>
    <xf numFmtId="0" fontId="107" fillId="0" borderId="0" xfId="0" applyFont="1" applyAlignment="1">
      <alignment horizontal="left" vertical="center" indent="1"/>
    </xf>
    <xf numFmtId="3" fontId="107" fillId="14" borderId="0" xfId="0" applyNumberFormat="1" applyFont="1" applyFill="1" applyAlignment="1">
      <alignment horizontal="center" vertical="center" wrapText="1"/>
    </xf>
    <xf numFmtId="3" fontId="107" fillId="0" borderId="0" xfId="0" applyNumberFormat="1" applyFont="1" applyAlignment="1">
      <alignment horizontal="center" vertical="center" wrapText="1"/>
    </xf>
    <xf numFmtId="10" fontId="107" fillId="0" borderId="0" xfId="0" applyNumberFormat="1" applyFont="1" applyAlignment="1">
      <alignment horizontal="center" vertical="center" wrapText="1"/>
    </xf>
    <xf numFmtId="0" fontId="108" fillId="0" borderId="0" xfId="0" applyFont="1" applyAlignment="1">
      <alignment vertical="center"/>
    </xf>
    <xf numFmtId="0" fontId="109" fillId="0" borderId="0" xfId="0" applyFont="1" applyAlignment="1">
      <alignment horizontal="justify" vertical="center"/>
    </xf>
    <xf numFmtId="169" fontId="106" fillId="0" borderId="98" xfId="0" applyNumberFormat="1" applyFont="1" applyBorder="1" applyAlignment="1">
      <alignment horizontal="center" vertical="center" wrapText="1"/>
    </xf>
    <xf numFmtId="169" fontId="107" fillId="0" borderId="0" xfId="0" applyNumberFormat="1" applyFont="1" applyAlignment="1">
      <alignment horizontal="center" vertical="center" wrapText="1"/>
    </xf>
    <xf numFmtId="9" fontId="107" fillId="0" borderId="0" xfId="0" applyNumberFormat="1" applyFont="1" applyAlignment="1">
      <alignment horizontal="center" vertical="center" wrapText="1"/>
    </xf>
    <xf numFmtId="0" fontId="106" fillId="0" borderId="103" xfId="0" applyFont="1" applyBorder="1" applyAlignment="1">
      <alignment vertical="center"/>
    </xf>
    <xf numFmtId="3" fontId="106" fillId="14" borderId="103" xfId="0" applyNumberFormat="1" applyFont="1" applyFill="1" applyBorder="1" applyAlignment="1">
      <alignment horizontal="center" vertical="center" wrapText="1"/>
    </xf>
    <xf numFmtId="3" fontId="106" fillId="0" borderId="103" xfId="0" applyNumberFormat="1" applyFont="1" applyBorder="1" applyAlignment="1">
      <alignment horizontal="center" vertical="center" wrapText="1"/>
    </xf>
    <xf numFmtId="0" fontId="107" fillId="14" borderId="0" xfId="0" applyFont="1" applyFill="1" applyAlignment="1">
      <alignment horizontal="center" vertical="center" wrapText="1"/>
    </xf>
    <xf numFmtId="0" fontId="107" fillId="0" borderId="0" xfId="0" applyFont="1" applyAlignment="1">
      <alignment horizontal="center" vertical="center" wrapText="1"/>
    </xf>
    <xf numFmtId="0" fontId="109" fillId="0" borderId="0" xfId="0" applyFont="1"/>
    <xf numFmtId="169" fontId="106" fillId="0" borderId="103" xfId="0" applyNumberFormat="1" applyFont="1" applyBorder="1" applyAlignment="1">
      <alignment horizontal="center" vertical="center" wrapText="1"/>
    </xf>
    <xf numFmtId="0" fontId="107" fillId="0" borderId="0" xfId="0" applyFont="1" applyAlignment="1">
      <alignment vertical="center"/>
    </xf>
    <xf numFmtId="0" fontId="110" fillId="0" borderId="0" xfId="0" applyFont="1" applyAlignment="1">
      <alignment horizontal="left" vertical="center" indent="1"/>
    </xf>
    <xf numFmtId="0" fontId="104" fillId="0" borderId="0" xfId="0" applyFont="1" applyAlignment="1">
      <alignment vertical="center" wrapText="1"/>
    </xf>
    <xf numFmtId="169" fontId="107" fillId="14" borderId="0" xfId="0" applyNumberFormat="1" applyFont="1" applyFill="1" applyAlignment="1">
      <alignment horizontal="center" vertical="center" wrapText="1"/>
    </xf>
    <xf numFmtId="0" fontId="111" fillId="0" borderId="0" xfId="0" applyFont="1" applyAlignment="1">
      <alignment horizontal="left" vertical="center" indent="1"/>
    </xf>
    <xf numFmtId="181" fontId="3" fillId="0" borderId="0" xfId="1" applyNumberFormat="1" applyFont="1"/>
    <xf numFmtId="169" fontId="111" fillId="0" borderId="0" xfId="0" applyNumberFormat="1" applyFont="1" applyAlignment="1">
      <alignment horizontal="center" vertical="center" wrapText="1"/>
    </xf>
    <xf numFmtId="0" fontId="113" fillId="0" borderId="0" xfId="0" applyFont="1" applyAlignment="1">
      <alignment vertical="center"/>
    </xf>
    <xf numFmtId="43" fontId="3" fillId="0" borderId="0" xfId="1" applyFont="1"/>
    <xf numFmtId="182" fontId="3" fillId="0" borderId="0" xfId="1" applyNumberFormat="1" applyFont="1"/>
    <xf numFmtId="3" fontId="115" fillId="0" borderId="0" xfId="0" applyNumberFormat="1" applyFont="1" applyAlignment="1">
      <alignment horizontal="center" vertical="center" wrapText="1"/>
    </xf>
    <xf numFmtId="3" fontId="106" fillId="14" borderId="103" xfId="0" applyNumberFormat="1" applyFont="1" applyFill="1" applyBorder="1" applyAlignment="1">
      <alignment horizontal="center" vertical="center"/>
    </xf>
    <xf numFmtId="3" fontId="106" fillId="0" borderId="103" xfId="0" applyNumberFormat="1" applyFont="1" applyBorder="1" applyAlignment="1">
      <alignment horizontal="center" vertical="center"/>
    </xf>
    <xf numFmtId="169" fontId="106" fillId="0" borderId="103" xfId="0" applyNumberFormat="1" applyFont="1" applyBorder="1" applyAlignment="1">
      <alignment horizontal="center" vertical="center"/>
    </xf>
    <xf numFmtId="0" fontId="115" fillId="0" borderId="0" xfId="0" applyFont="1" applyAlignment="1">
      <alignment vertical="center"/>
    </xf>
    <xf numFmtId="0" fontId="104" fillId="0" borderId="0" xfId="0" applyFont="1"/>
    <xf numFmtId="0" fontId="84" fillId="0" borderId="0" xfId="0" applyFont="1" applyAlignment="1">
      <alignment vertical="center" wrapText="1"/>
    </xf>
    <xf numFmtId="17" fontId="114" fillId="17" borderId="98" xfId="0" applyNumberFormat="1" applyFont="1" applyFill="1" applyBorder="1" applyAlignment="1">
      <alignment horizontal="center" vertical="center"/>
    </xf>
    <xf numFmtId="0" fontId="117" fillId="17" borderId="98" xfId="0" applyFont="1" applyFill="1" applyBorder="1" applyAlignment="1">
      <alignment horizontal="center" vertical="center"/>
    </xf>
    <xf numFmtId="0" fontId="114" fillId="17" borderId="98" xfId="0" applyFont="1" applyFill="1" applyBorder="1" applyAlignment="1">
      <alignment horizontal="center" vertical="center"/>
    </xf>
    <xf numFmtId="3" fontId="118" fillId="14" borderId="0" xfId="0" applyNumberFormat="1" applyFont="1" applyFill="1" applyAlignment="1">
      <alignment horizontal="center" vertical="center" wrapText="1"/>
    </xf>
    <xf numFmtId="3" fontId="115" fillId="0" borderId="0" xfId="0" applyNumberFormat="1" applyFont="1" applyAlignment="1">
      <alignment horizontal="center" vertical="center"/>
    </xf>
    <xf numFmtId="3" fontId="118" fillId="14" borderId="0" xfId="0" applyNumberFormat="1" applyFont="1" applyFill="1" applyAlignment="1">
      <alignment horizontal="center" vertical="center"/>
    </xf>
    <xf numFmtId="0" fontId="119" fillId="0" borderId="0" xfId="0" applyFont="1" applyAlignment="1">
      <alignment vertical="center"/>
    </xf>
    <xf numFmtId="169" fontId="107" fillId="0" borderId="0" xfId="3" applyNumberFormat="1" applyFont="1" applyAlignment="1">
      <alignment horizontal="center" vertical="center" wrapText="1"/>
    </xf>
    <xf numFmtId="169" fontId="106" fillId="0" borderId="103" xfId="3" applyNumberFormat="1" applyFont="1" applyBorder="1" applyAlignment="1">
      <alignment horizontal="center" vertical="center" wrapText="1"/>
    </xf>
    <xf numFmtId="181" fontId="107" fillId="14" borderId="0" xfId="1" applyNumberFormat="1" applyFont="1" applyFill="1" applyAlignment="1">
      <alignment horizontal="center" vertical="center" wrapText="1"/>
    </xf>
    <xf numFmtId="181" fontId="106" fillId="14" borderId="103" xfId="1" applyNumberFormat="1" applyFont="1" applyFill="1" applyBorder="1" applyAlignment="1">
      <alignment horizontal="center" vertical="center" wrapText="1"/>
    </xf>
    <xf numFmtId="181" fontId="107" fillId="0" borderId="0" xfId="1" applyNumberFormat="1" applyFont="1" applyAlignment="1">
      <alignment horizontal="center" vertical="center" wrapText="1"/>
    </xf>
    <xf numFmtId="181" fontId="106" fillId="0" borderId="103" xfId="1" applyNumberFormat="1" applyFont="1" applyBorder="1" applyAlignment="1">
      <alignment horizontal="center" vertical="center" wrapText="1"/>
    </xf>
    <xf numFmtId="0" fontId="107" fillId="0" borderId="98" xfId="0" applyFont="1" applyBorder="1" applyAlignment="1">
      <alignment horizontal="left" vertical="center"/>
    </xf>
    <xf numFmtId="169" fontId="121" fillId="0" borderId="98" xfId="3" applyNumberFormat="1" applyFont="1" applyBorder="1" applyAlignment="1">
      <alignment horizontal="center" vertical="center" wrapText="1"/>
    </xf>
    <xf numFmtId="181" fontId="0" fillId="0" borderId="0" xfId="0" applyNumberFormat="1"/>
    <xf numFmtId="0" fontId="107" fillId="14" borderId="98" xfId="1" applyNumberFormat="1" applyFont="1" applyFill="1" applyBorder="1" applyAlignment="1">
      <alignment horizontal="center" vertical="center" wrapText="1"/>
    </xf>
    <xf numFmtId="0" fontId="120" fillId="0" borderId="0" xfId="0" applyFont="1" applyAlignment="1">
      <alignment vertical="center"/>
    </xf>
    <xf numFmtId="9" fontId="106" fillId="0" borderId="103" xfId="0" applyNumberFormat="1" applyFont="1" applyBorder="1" applyAlignment="1">
      <alignment horizontal="center" vertical="center" wrapText="1"/>
    </xf>
    <xf numFmtId="0" fontId="104" fillId="0" borderId="110" xfId="0" applyFont="1" applyBorder="1" applyAlignment="1">
      <alignment vertical="center"/>
    </xf>
    <xf numFmtId="0" fontId="104" fillId="0" borderId="110" xfId="0" applyFont="1" applyBorder="1" applyAlignment="1">
      <alignment vertical="center" wrapText="1"/>
    </xf>
    <xf numFmtId="0" fontId="104" fillId="0" borderId="103" xfId="0" applyFont="1" applyBorder="1" applyAlignment="1">
      <alignment vertical="center"/>
    </xf>
    <xf numFmtId="0" fontId="104" fillId="0" borderId="103" xfId="0" applyFont="1" applyBorder="1" applyAlignment="1">
      <alignment vertical="center" wrapText="1"/>
    </xf>
    <xf numFmtId="0" fontId="106" fillId="0" borderId="110" xfId="0" applyFont="1" applyBorder="1" applyAlignment="1">
      <alignment vertical="center"/>
    </xf>
    <xf numFmtId="3" fontId="106" fillId="14" borderId="110" xfId="0" applyNumberFormat="1" applyFont="1" applyFill="1" applyBorder="1" applyAlignment="1">
      <alignment horizontal="center" vertical="center" wrapText="1"/>
    </xf>
    <xf numFmtId="9" fontId="106" fillId="0" borderId="110" xfId="0" applyNumberFormat="1" applyFont="1" applyBorder="1" applyAlignment="1">
      <alignment horizontal="center" vertical="center" wrapText="1"/>
    </xf>
    <xf numFmtId="9" fontId="106" fillId="0" borderId="98" xfId="0" applyNumberFormat="1" applyFont="1" applyBorder="1" applyAlignment="1">
      <alignment horizontal="center" vertical="center" wrapText="1"/>
    </xf>
    <xf numFmtId="0" fontId="107" fillId="0" borderId="110" xfId="0" applyFont="1" applyBorder="1" applyAlignment="1">
      <alignment vertical="center"/>
    </xf>
    <xf numFmtId="0" fontId="105" fillId="17" borderId="98" xfId="0" applyFont="1" applyFill="1" applyBorder="1" applyAlignment="1">
      <alignment vertical="center"/>
    </xf>
    <xf numFmtId="0" fontId="107" fillId="14" borderId="110" xfId="0" applyFont="1" applyFill="1" applyBorder="1" applyAlignment="1">
      <alignment vertical="center" wrapText="1"/>
    </xf>
    <xf numFmtId="0" fontId="122" fillId="0" borderId="98" xfId="0" applyFont="1" applyBorder="1" applyAlignment="1">
      <alignment vertical="center"/>
    </xf>
    <xf numFmtId="0" fontId="107" fillId="14" borderId="103" xfId="0" applyFont="1" applyFill="1" applyBorder="1" applyAlignment="1">
      <alignment vertical="center" wrapText="1"/>
    </xf>
    <xf numFmtId="0" fontId="111" fillId="0" borderId="0" xfId="0" applyFont="1" applyAlignment="1">
      <alignment vertical="center"/>
    </xf>
    <xf numFmtId="9" fontId="0" fillId="0" borderId="0" xfId="0" applyNumberFormat="1"/>
    <xf numFmtId="0" fontId="83" fillId="0" borderId="0" xfId="0" applyFont="1" applyAlignment="1">
      <alignment vertical="center"/>
    </xf>
    <xf numFmtId="0" fontId="100" fillId="0" borderId="100" xfId="0" applyFont="1" applyBorder="1" applyAlignment="1">
      <alignment horizontal="right" vertical="center" wrapText="1"/>
    </xf>
    <xf numFmtId="3" fontId="100" fillId="14" borderId="101" xfId="0" applyNumberFormat="1" applyFont="1" applyFill="1" applyBorder="1" applyAlignment="1">
      <alignment horizontal="right" vertical="center" wrapText="1"/>
    </xf>
    <xf numFmtId="3" fontId="100" fillId="0" borderId="101" xfId="0" applyNumberFormat="1" applyFont="1" applyBorder="1" applyAlignment="1">
      <alignment horizontal="right" vertical="center" wrapText="1"/>
    </xf>
    <xf numFmtId="3" fontId="99" fillId="14" borderId="101" xfId="0" applyNumberFormat="1" applyFont="1" applyFill="1" applyBorder="1" applyAlignment="1">
      <alignment horizontal="right" vertical="center" wrapText="1"/>
    </xf>
    <xf numFmtId="3" fontId="99" fillId="0" borderId="101" xfId="0" applyNumberFormat="1" applyFont="1" applyBorder="1" applyAlignment="1">
      <alignment horizontal="right" vertical="center" wrapText="1"/>
    </xf>
    <xf numFmtId="3" fontId="100" fillId="14" borderId="98" xfId="0" applyNumberFormat="1" applyFont="1" applyFill="1" applyBorder="1" applyAlignment="1">
      <alignment horizontal="right" vertical="center" wrapText="1"/>
    </xf>
    <xf numFmtId="3" fontId="100" fillId="0" borderId="98" xfId="0" applyNumberFormat="1" applyFont="1" applyBorder="1" applyAlignment="1">
      <alignment horizontal="right" vertical="center" wrapText="1"/>
    </xf>
    <xf numFmtId="0" fontId="100" fillId="14" borderId="100" xfId="0" applyFont="1" applyFill="1" applyBorder="1" applyAlignment="1">
      <alignment vertical="center" wrapText="1"/>
    </xf>
    <xf numFmtId="0" fontId="100" fillId="14" borderId="107" xfId="0" applyFont="1" applyFill="1" applyBorder="1" applyAlignment="1">
      <alignment horizontal="center" vertical="center" wrapText="1"/>
    </xf>
    <xf numFmtId="0" fontId="100" fillId="0" borderId="107" xfId="0" applyFont="1" applyBorder="1" applyAlignment="1">
      <alignment horizontal="center" vertical="center" wrapText="1"/>
    </xf>
    <xf numFmtId="3" fontId="102" fillId="14" borderId="102" xfId="0" applyNumberFormat="1" applyFont="1" applyFill="1" applyBorder="1" applyAlignment="1">
      <alignment horizontal="right" vertical="center" wrapText="1"/>
    </xf>
    <xf numFmtId="3" fontId="102" fillId="0" borderId="102" xfId="0" applyNumberFormat="1" applyFont="1" applyBorder="1" applyAlignment="1">
      <alignment horizontal="right" vertical="center" wrapText="1"/>
    </xf>
    <xf numFmtId="3" fontId="99" fillId="14" borderId="108" xfId="0" applyNumberFormat="1" applyFont="1" applyFill="1" applyBorder="1" applyAlignment="1">
      <alignment vertical="center" wrapText="1"/>
    </xf>
    <xf numFmtId="3" fontId="99" fillId="0" borderId="108" xfId="0" applyNumberFormat="1" applyFont="1" applyBorder="1" applyAlignment="1">
      <alignment vertical="center" wrapText="1"/>
    </xf>
    <xf numFmtId="3" fontId="99" fillId="14" borderId="109" xfId="0" applyNumberFormat="1" applyFont="1" applyFill="1" applyBorder="1" applyAlignment="1">
      <alignment vertical="center" wrapText="1"/>
    </xf>
    <xf numFmtId="3" fontId="99" fillId="0" borderId="109" xfId="0" applyNumberFormat="1" applyFont="1" applyBorder="1" applyAlignment="1">
      <alignment vertical="center" wrapText="1"/>
    </xf>
    <xf numFmtId="3" fontId="102" fillId="14" borderId="102" xfId="0" applyNumberFormat="1" applyFont="1" applyFill="1" applyBorder="1" applyAlignment="1">
      <alignment vertical="center" wrapText="1"/>
    </xf>
    <xf numFmtId="3" fontId="102" fillId="0" borderId="102" xfId="0" applyNumberFormat="1" applyFont="1" applyBorder="1" applyAlignment="1">
      <alignment vertical="center" wrapText="1"/>
    </xf>
    <xf numFmtId="165" fontId="8" fillId="0" borderId="0" xfId="6" applyNumberFormat="1" applyFont="1" applyFill="1" applyAlignment="1">
      <alignment vertical="center"/>
    </xf>
    <xf numFmtId="165" fontId="41" fillId="0" borderId="0" xfId="6" applyNumberFormat="1" applyFont="1" applyAlignment="1">
      <alignment vertical="center" wrapText="1"/>
    </xf>
    <xf numFmtId="165" fontId="4" fillId="0" borderId="12" xfId="6" applyNumberFormat="1" applyFont="1" applyBorder="1" applyAlignment="1">
      <alignment horizontal="right" vertical="center" wrapText="1"/>
    </xf>
    <xf numFmtId="165" fontId="7" fillId="9" borderId="5" xfId="6" applyNumberFormat="1" applyFont="1" applyFill="1" applyBorder="1" applyAlignment="1">
      <alignment horizontal="right" vertical="center" wrapText="1"/>
    </xf>
    <xf numFmtId="165" fontId="7" fillId="9" borderId="6" xfId="6" applyNumberFormat="1" applyFont="1" applyFill="1" applyBorder="1" applyAlignment="1">
      <alignment horizontal="right" vertical="center" wrapText="1"/>
    </xf>
    <xf numFmtId="165" fontId="5" fillId="0" borderId="12" xfId="6" applyNumberFormat="1" applyFont="1" applyBorder="1" applyAlignment="1">
      <alignment horizontal="right" vertical="center" wrapText="1"/>
    </xf>
    <xf numFmtId="165" fontId="5" fillId="0" borderId="8" xfId="6" applyNumberFormat="1" applyFont="1" applyFill="1" applyBorder="1" applyAlignment="1">
      <alignment horizontal="right" vertical="center" wrapText="1"/>
    </xf>
    <xf numFmtId="165" fontId="5" fillId="0" borderId="12" xfId="6" applyNumberFormat="1" applyFont="1" applyFill="1" applyBorder="1" applyAlignment="1">
      <alignment horizontal="right" vertical="center" wrapText="1"/>
    </xf>
    <xf numFmtId="165" fontId="4" fillId="0" borderId="28" xfId="6" applyNumberFormat="1" applyFont="1" applyFill="1" applyBorder="1" applyAlignment="1">
      <alignment horizontal="right" vertical="center" wrapText="1"/>
    </xf>
    <xf numFmtId="165" fontId="4" fillId="0" borderId="28" xfId="6" applyNumberFormat="1" applyFont="1" applyBorder="1" applyAlignment="1">
      <alignment horizontal="right" vertical="center" wrapText="1"/>
    </xf>
    <xf numFmtId="41" fontId="4" fillId="0" borderId="0" xfId="2" applyFont="1" applyFill="1" applyAlignment="1">
      <alignment horizontal="left" vertical="center" wrapText="1"/>
    </xf>
    <xf numFmtId="0" fontId="8" fillId="0" borderId="34" xfId="10" applyFont="1" applyBorder="1" applyAlignment="1">
      <alignment vertical="center" wrapText="1"/>
    </xf>
    <xf numFmtId="164" fontId="8" fillId="0" borderId="34" xfId="6" applyFont="1" applyBorder="1" applyAlignment="1">
      <alignment horizontal="right" vertical="center" wrapText="1"/>
    </xf>
    <xf numFmtId="0" fontId="123" fillId="0" borderId="74" xfId="6" applyNumberFormat="1" applyFont="1" applyFill="1" applyBorder="1" applyAlignment="1">
      <alignment horizontal="left" vertical="center"/>
    </xf>
    <xf numFmtId="165" fontId="55" fillId="0" borderId="0" xfId="6" applyNumberFormat="1" applyFont="1" applyFill="1" applyAlignment="1">
      <alignment horizontal="right" vertical="center"/>
    </xf>
    <xf numFmtId="41" fontId="8" fillId="0" borderId="0" xfId="14" applyFont="1" applyFill="1" applyAlignment="1">
      <alignment vertical="center" wrapText="1"/>
    </xf>
    <xf numFmtId="164" fontId="8" fillId="0" borderId="0" xfId="6" applyFont="1" applyFill="1" applyAlignment="1">
      <alignment vertical="center" wrapText="1"/>
    </xf>
    <xf numFmtId="164" fontId="8" fillId="0" borderId="0" xfId="6" applyFont="1" applyFill="1" applyAlignment="1">
      <alignment vertical="center"/>
    </xf>
    <xf numFmtId="168" fontId="5" fillId="0" borderId="0" xfId="24" applyNumberFormat="1" applyFont="1" applyFill="1" applyAlignment="1">
      <alignment horizontal="center"/>
    </xf>
    <xf numFmtId="171" fontId="4" fillId="0" borderId="0" xfId="28" applyNumberFormat="1" applyFont="1" applyBorder="1"/>
    <xf numFmtId="9" fontId="1" fillId="0" borderId="0" xfId="45" applyFont="1"/>
    <xf numFmtId="168" fontId="5" fillId="6" borderId="0" xfId="24" applyNumberFormat="1" applyFont="1" applyFill="1" applyBorder="1" applyAlignment="1">
      <alignment horizontal="center"/>
    </xf>
    <xf numFmtId="9" fontId="5" fillId="6" borderId="90" xfId="45" applyFont="1" applyFill="1" applyBorder="1"/>
    <xf numFmtId="168" fontId="1" fillId="0" borderId="0" xfId="24" applyNumberFormat="1" applyFont="1" applyFill="1"/>
    <xf numFmtId="9" fontId="4" fillId="6" borderId="90" xfId="45" applyFill="1" applyBorder="1"/>
    <xf numFmtId="169" fontId="18" fillId="0" borderId="89" xfId="45" applyNumberFormat="1" applyFont="1" applyFill="1" applyBorder="1"/>
    <xf numFmtId="169" fontId="18" fillId="0" borderId="0" xfId="45" applyNumberFormat="1" applyFont="1" applyFill="1" applyBorder="1"/>
    <xf numFmtId="169" fontId="53" fillId="0" borderId="89" xfId="45" applyNumberFormat="1" applyFont="1" applyFill="1" applyBorder="1"/>
    <xf numFmtId="169" fontId="53" fillId="0" borderId="0" xfId="45" applyNumberFormat="1" applyFont="1" applyFill="1" applyBorder="1"/>
    <xf numFmtId="169" fontId="53" fillId="0" borderId="95" xfId="45" applyNumberFormat="1" applyFont="1" applyFill="1" applyBorder="1"/>
    <xf numFmtId="169" fontId="53" fillId="0" borderId="68" xfId="45" applyNumberFormat="1" applyFont="1" applyFill="1" applyBorder="1"/>
    <xf numFmtId="9" fontId="4" fillId="0" borderId="0" xfId="45"/>
    <xf numFmtId="9" fontId="4" fillId="0" borderId="0" xfId="45" applyFill="1"/>
    <xf numFmtId="171" fontId="4" fillId="0" borderId="0" xfId="20" applyNumberFormat="1" applyFont="1"/>
    <xf numFmtId="171" fontId="5" fillId="0" borderId="0" xfId="20" applyNumberFormat="1" applyFont="1"/>
    <xf numFmtId="9" fontId="1" fillId="0" borderId="0" xfId="45" applyFont="1" applyBorder="1"/>
    <xf numFmtId="168" fontId="3" fillId="3" borderId="0" xfId="24" applyNumberFormat="1" applyFont="1" applyFill="1"/>
    <xf numFmtId="168" fontId="1" fillId="3" borderId="0" xfId="24" applyNumberFormat="1" applyFont="1" applyFill="1"/>
    <xf numFmtId="165" fontId="5" fillId="3" borderId="0" xfId="6" applyNumberFormat="1" applyFont="1" applyFill="1"/>
    <xf numFmtId="0" fontId="90" fillId="0" borderId="103" xfId="0" applyFont="1" applyBorder="1" applyAlignment="1">
      <alignment horizontal="center" vertical="center" wrapText="1"/>
    </xf>
    <xf numFmtId="0" fontId="89" fillId="0" borderId="98" xfId="0" applyFont="1" applyBorder="1" applyAlignment="1">
      <alignment vertical="center" wrapText="1"/>
    </xf>
    <xf numFmtId="0" fontId="90" fillId="0" borderId="98" xfId="0" applyFont="1" applyBorder="1" applyAlignment="1">
      <alignment horizontal="right" vertical="center" wrapText="1"/>
    </xf>
    <xf numFmtId="3" fontId="90" fillId="14" borderId="98" xfId="0" applyNumberFormat="1" applyFont="1" applyFill="1" applyBorder="1" applyAlignment="1">
      <alignment horizontal="right" vertical="center" wrapText="1"/>
    </xf>
    <xf numFmtId="0" fontId="87" fillId="14" borderId="104" xfId="0" applyFont="1" applyFill="1" applyBorder="1" applyAlignment="1">
      <alignment horizontal="right" vertical="center" wrapText="1"/>
    </xf>
    <xf numFmtId="0" fontId="87" fillId="0" borderId="105" xfId="0" applyFont="1" applyBorder="1" applyAlignment="1">
      <alignment horizontal="center" vertical="center" wrapText="1"/>
    </xf>
    <xf numFmtId="0" fontId="87" fillId="0" borderId="101" xfId="0" applyFont="1" applyBorder="1" applyAlignment="1">
      <alignment horizontal="center" vertical="center" wrapText="1"/>
    </xf>
    <xf numFmtId="0" fontId="87" fillId="0" borderId="101" xfId="0" applyFont="1" applyBorder="1" applyAlignment="1">
      <alignment horizontal="right" vertical="center" wrapText="1"/>
    </xf>
    <xf numFmtId="0" fontId="91" fillId="0" borderId="98" xfId="0" applyFont="1" applyBorder="1" applyAlignment="1">
      <alignment horizontal="right" vertical="center" wrapText="1"/>
    </xf>
    <xf numFmtId="0" fontId="87" fillId="0" borderId="98" xfId="0" applyFont="1" applyBorder="1" applyAlignment="1">
      <alignment horizontal="right" vertical="center" wrapText="1"/>
    </xf>
    <xf numFmtId="164" fontId="0" fillId="0" borderId="0" xfId="46" applyFont="1"/>
    <xf numFmtId="165" fontId="0" fillId="0" borderId="0" xfId="46" applyNumberFormat="1" applyFont="1"/>
    <xf numFmtId="0" fontId="88" fillId="0" borderId="101" xfId="0" applyFont="1" applyBorder="1" applyAlignment="1">
      <alignment horizontal="center" vertical="center" wrapText="1"/>
    </xf>
    <xf numFmtId="0" fontId="124" fillId="0" borderId="98" xfId="0" applyFont="1" applyBorder="1" applyAlignment="1">
      <alignment horizontal="center" vertical="center" wrapText="1"/>
    </xf>
    <xf numFmtId="0" fontId="90" fillId="0" borderId="98" xfId="0" applyFont="1" applyBorder="1" applyAlignment="1">
      <alignment horizontal="center" vertical="center" wrapText="1"/>
    </xf>
    <xf numFmtId="0" fontId="87" fillId="0" borderId="104"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0" xfId="0" applyFont="1" applyAlignment="1">
      <alignment horizontal="center"/>
    </xf>
    <xf numFmtId="0" fontId="87" fillId="0" borderId="111" xfId="0" applyFont="1" applyBorder="1" applyAlignment="1">
      <alignment horizontal="center" vertical="center" wrapText="1"/>
    </xf>
    <xf numFmtId="165" fontId="87" fillId="14" borderId="101" xfId="46" applyNumberFormat="1" applyFont="1" applyFill="1" applyBorder="1" applyAlignment="1">
      <alignment vertical="center" wrapText="1"/>
    </xf>
    <xf numFmtId="182" fontId="4" fillId="0" borderId="0" xfId="1" applyNumberFormat="1" applyFont="1" applyFill="1"/>
    <xf numFmtId="165" fontId="4" fillId="0" borderId="0" xfId="10" applyNumberFormat="1" applyFont="1" applyAlignment="1">
      <alignment horizontal="left" vertical="center" wrapText="1"/>
    </xf>
    <xf numFmtId="165" fontId="4" fillId="0" borderId="0" xfId="10" applyNumberFormat="1" applyFont="1" applyAlignment="1">
      <alignment horizontal="center" vertical="center" wrapText="1"/>
    </xf>
    <xf numFmtId="43" fontId="99" fillId="14" borderId="101" xfId="1" applyFont="1" applyFill="1" applyBorder="1" applyAlignment="1">
      <alignment horizontal="right" vertical="center" wrapText="1"/>
    </xf>
    <xf numFmtId="43" fontId="99" fillId="0" borderId="101" xfId="1" applyFont="1" applyBorder="1" applyAlignment="1">
      <alignment horizontal="right" vertical="center" wrapText="1"/>
    </xf>
    <xf numFmtId="0" fontId="5" fillId="0" borderId="0" xfId="5" applyFont="1" applyAlignment="1">
      <alignment horizontal="center" vertical="center" wrapText="1"/>
    </xf>
    <xf numFmtId="0" fontId="4" fillId="0" borderId="0" xfId="5" applyAlignment="1">
      <alignment horizontal="center" vertical="center" wrapText="1"/>
    </xf>
    <xf numFmtId="17" fontId="6" fillId="2" borderId="2" xfId="5" applyNumberFormat="1" applyFont="1" applyFill="1" applyBorder="1" applyAlignment="1">
      <alignment horizontal="center" vertical="center" wrapText="1"/>
    </xf>
    <xf numFmtId="17" fontId="6" fillId="2" borderId="0" xfId="5" applyNumberFormat="1" applyFont="1" applyFill="1" applyAlignment="1">
      <alignment horizontal="center" vertical="center" wrapText="1"/>
    </xf>
    <xf numFmtId="0" fontId="4" fillId="0" borderId="0" xfId="5" applyAlignment="1">
      <alignment horizontal="left" vertical="center" wrapText="1"/>
    </xf>
    <xf numFmtId="0" fontId="4" fillId="3" borderId="0" xfId="5" applyFill="1" applyAlignment="1">
      <alignment horizontal="left" vertical="center" wrapText="1"/>
    </xf>
    <xf numFmtId="49" fontId="6" fillId="2" borderId="0" xfId="5" applyNumberFormat="1" applyFont="1" applyFill="1" applyAlignment="1">
      <alignment horizontal="center" vertical="center" wrapText="1"/>
    </xf>
    <xf numFmtId="49" fontId="6" fillId="2" borderId="2" xfId="5" applyNumberFormat="1" applyFont="1" applyFill="1" applyBorder="1" applyAlignment="1">
      <alignment horizontal="center" vertical="center" wrapText="1"/>
    </xf>
    <xf numFmtId="0" fontId="15" fillId="0" borderId="0" xfId="10" applyFont="1" applyAlignment="1">
      <alignment horizontal="center" vertical="center" wrapText="1"/>
    </xf>
    <xf numFmtId="17" fontId="7" fillId="2" borderId="2" xfId="5" applyNumberFormat="1" applyFont="1" applyFill="1" applyBorder="1" applyAlignment="1">
      <alignment horizontal="center" vertical="center" wrapText="1"/>
    </xf>
    <xf numFmtId="17" fontId="7" fillId="2" borderId="0" xfId="5" applyNumberFormat="1" applyFont="1" applyFill="1" applyAlignment="1">
      <alignment horizontal="center" vertical="center" wrapText="1"/>
    </xf>
    <xf numFmtId="0" fontId="23" fillId="0" borderId="0" xfId="0" applyFont="1" applyAlignment="1">
      <alignment horizontal="center" vertical="center" wrapText="1"/>
    </xf>
    <xf numFmtId="17" fontId="7" fillId="2" borderId="2" xfId="5" quotePrefix="1" applyNumberFormat="1" applyFont="1" applyFill="1" applyBorder="1" applyAlignment="1">
      <alignment horizontal="center" vertical="center" wrapText="1"/>
    </xf>
    <xf numFmtId="17" fontId="7" fillId="2" borderId="0" xfId="5" quotePrefix="1" applyNumberFormat="1" applyFont="1" applyFill="1" applyAlignment="1">
      <alignment horizontal="center" vertical="center" wrapText="1"/>
    </xf>
    <xf numFmtId="0" fontId="23" fillId="0" borderId="0" xfId="0" applyFont="1" applyAlignment="1">
      <alignment horizontal="left" vertical="center" wrapText="1"/>
    </xf>
    <xf numFmtId="17" fontId="6" fillId="2" borderId="3" xfId="5" applyNumberFormat="1" applyFont="1" applyFill="1" applyBorder="1" applyAlignment="1">
      <alignment horizontal="center" vertical="center" wrapText="1"/>
    </xf>
    <xf numFmtId="17" fontId="6" fillId="2" borderId="5" xfId="5" applyNumberFormat="1" applyFont="1" applyFill="1" applyBorder="1" applyAlignment="1">
      <alignment horizontal="center" vertical="center" wrapText="1"/>
    </xf>
    <xf numFmtId="17" fontId="6" fillId="2" borderId="6" xfId="5" applyNumberFormat="1" applyFont="1" applyFill="1" applyBorder="1" applyAlignment="1">
      <alignment horizontal="center" vertical="center" wrapText="1"/>
    </xf>
    <xf numFmtId="49" fontId="6" fillId="2" borderId="3" xfId="5" applyNumberFormat="1" applyFont="1" applyFill="1" applyBorder="1" applyAlignment="1">
      <alignment horizontal="center" vertical="center" wrapText="1"/>
    </xf>
    <xf numFmtId="49" fontId="6" fillId="2" borderId="5" xfId="5" applyNumberFormat="1" applyFont="1" applyFill="1" applyBorder="1" applyAlignment="1">
      <alignment horizontal="center" vertical="center" wrapText="1"/>
    </xf>
    <xf numFmtId="49" fontId="6" fillId="2" borderId="6" xfId="5" applyNumberFormat="1" applyFont="1" applyFill="1" applyBorder="1" applyAlignment="1">
      <alignment horizontal="center" vertical="center" wrapText="1"/>
    </xf>
    <xf numFmtId="17" fontId="6" fillId="2" borderId="3" xfId="5" quotePrefix="1" applyNumberFormat="1" applyFont="1" applyFill="1" applyBorder="1" applyAlignment="1">
      <alignment horizontal="center" vertical="center" wrapText="1"/>
    </xf>
    <xf numFmtId="17" fontId="6" fillId="2" borderId="5" xfId="5" quotePrefix="1" applyNumberFormat="1" applyFont="1" applyFill="1" applyBorder="1" applyAlignment="1">
      <alignment horizontal="center" vertical="center" wrapText="1"/>
    </xf>
    <xf numFmtId="17" fontId="6" fillId="2" borderId="6" xfId="5" quotePrefix="1" applyNumberFormat="1" applyFont="1" applyFill="1" applyBorder="1" applyAlignment="1">
      <alignment horizontal="center" vertical="center" wrapText="1"/>
    </xf>
    <xf numFmtId="0" fontId="8" fillId="0" borderId="0" xfId="10" applyFont="1" applyAlignment="1">
      <alignment horizontal="center" vertical="center" wrapText="1"/>
    </xf>
    <xf numFmtId="17" fontId="7" fillId="2" borderId="3" xfId="5" applyNumberFormat="1" applyFont="1" applyFill="1" applyBorder="1" applyAlignment="1">
      <alignment horizontal="center" vertical="center" wrapText="1"/>
    </xf>
    <xf numFmtId="17" fontId="7" fillId="2" borderId="5" xfId="5" applyNumberFormat="1" applyFont="1" applyFill="1" applyBorder="1" applyAlignment="1">
      <alignment horizontal="center" vertical="center" wrapText="1"/>
    </xf>
    <xf numFmtId="17" fontId="7" fillId="2" borderId="6" xfId="5" applyNumberFormat="1" applyFont="1" applyFill="1" applyBorder="1" applyAlignment="1">
      <alignment horizontal="center" vertical="center" wrapText="1"/>
    </xf>
    <xf numFmtId="17" fontId="7" fillId="2" borderId="3" xfId="5" quotePrefix="1" applyNumberFormat="1" applyFont="1" applyFill="1" applyBorder="1" applyAlignment="1">
      <alignment horizontal="center" vertical="center" wrapText="1"/>
    </xf>
    <xf numFmtId="17" fontId="7" fillId="2" borderId="5" xfId="5" quotePrefix="1" applyNumberFormat="1" applyFont="1" applyFill="1" applyBorder="1" applyAlignment="1">
      <alignment horizontal="center" vertical="center" wrapText="1"/>
    </xf>
    <xf numFmtId="17" fontId="7" fillId="2" borderId="6" xfId="5" quotePrefix="1" applyNumberFormat="1" applyFont="1" applyFill="1" applyBorder="1" applyAlignment="1">
      <alignment horizontal="center" vertical="center" wrapText="1"/>
    </xf>
    <xf numFmtId="165" fontId="4" fillId="0" borderId="0" xfId="5" applyNumberFormat="1" applyAlignment="1">
      <alignment horizontal="left" vertical="center" wrapText="1"/>
    </xf>
    <xf numFmtId="0" fontId="40" fillId="11" borderId="0" xfId="10" applyFont="1" applyFill="1" applyAlignment="1">
      <alignment horizontal="center" vertical="center" wrapText="1"/>
    </xf>
    <xf numFmtId="0" fontId="5" fillId="0" borderId="0" xfId="10" applyFont="1" applyAlignment="1">
      <alignment horizontal="center" vertical="center" wrapText="1"/>
    </xf>
    <xf numFmtId="0" fontId="63" fillId="0" borderId="68" xfId="16" applyFont="1" applyBorder="1" applyAlignment="1">
      <alignment horizontal="center"/>
    </xf>
    <xf numFmtId="0" fontId="65" fillId="6" borderId="21" xfId="16" applyFont="1" applyFill="1" applyBorder="1" applyAlignment="1">
      <alignment horizontal="center"/>
    </xf>
    <xf numFmtId="0" fontId="65" fillId="6" borderId="22" xfId="16" applyFont="1" applyFill="1" applyBorder="1" applyAlignment="1">
      <alignment horizontal="center"/>
    </xf>
    <xf numFmtId="0" fontId="92" fillId="0" borderId="103" xfId="0" applyFont="1" applyBorder="1" applyAlignment="1">
      <alignment horizontal="center" vertical="center"/>
    </xf>
    <xf numFmtId="2" fontId="78" fillId="0" borderId="0" xfId="31" quotePrefix="1" applyNumberFormat="1" applyFont="1" applyAlignment="1">
      <alignment horizontal="center"/>
    </xf>
    <xf numFmtId="2" fontId="78" fillId="0" borderId="0" xfId="31" applyNumberFormat="1" applyFont="1" applyAlignment="1">
      <alignment horizontal="center"/>
    </xf>
    <xf numFmtId="0" fontId="68" fillId="0" borderId="0" xfId="0" applyFont="1" applyAlignment="1">
      <alignment horizontal="center" vertical="center" readingOrder="1"/>
    </xf>
  </cellXfs>
  <cellStyles count="47">
    <cellStyle name="Millares" xfId="1" builtinId="3"/>
    <cellStyle name="Millares [0]" xfId="2" builtinId="6"/>
    <cellStyle name="Millares [0] 15 2" xfId="14" xr:uid="{D73F2C48-975D-4F38-8653-3627051D8E68}"/>
    <cellStyle name="Millares [0] 32" xfId="43" xr:uid="{AAEE76A7-A2C2-437E-8F0D-3B588B1F328B}"/>
    <cellStyle name="Millares 10" xfId="24" xr:uid="{55E0208D-1B7B-47DF-AA10-33B12CEEBAC8}"/>
    <cellStyle name="Millares 10 2" xfId="32" xr:uid="{2A92B5CB-6949-4546-957A-A6535423385A}"/>
    <cellStyle name="Millares 10 2 3" xfId="33" xr:uid="{53C926D8-0EA8-48FD-9C79-DBB54C444168}"/>
    <cellStyle name="Millares 113" xfId="42" xr:uid="{5A99E022-98E2-4380-B429-1BB613932AB8}"/>
    <cellStyle name="Millares 15" xfId="8" xr:uid="{CD4C1329-D7CA-416E-B9BF-902FC4D368A6}"/>
    <cellStyle name="Millares 2" xfId="46" xr:uid="{D61F2060-3660-4868-90AC-33C876C35099}"/>
    <cellStyle name="Millares 2 2" xfId="36" xr:uid="{FBE3E2AA-4595-474F-B35E-40FDF728609F}"/>
    <cellStyle name="Millares 3 2" xfId="9" xr:uid="{30E710B2-6E51-427F-88CF-E7052BA92578}"/>
    <cellStyle name="Millares 3 3 2" xfId="38" xr:uid="{B68C9283-F52F-41E9-9653-2EB47FE26C60}"/>
    <cellStyle name="Millares 45 2 2 3 2 3 4 2 2 2 2" xfId="20" xr:uid="{A95787BD-21F9-44FF-83A5-29F9CCD4F258}"/>
    <cellStyle name="Millares 47 2 2 2 2" xfId="15" xr:uid="{00FD77C3-B866-47C8-8913-C1EFA89B5EA3}"/>
    <cellStyle name="Millares 47 2 2 2 2 10" xfId="17" xr:uid="{BB633941-C833-42DA-8FD2-74C25C24289D}"/>
    <cellStyle name="Millares 47 2 2 2 2 4" xfId="22" xr:uid="{DBBEC38C-A628-4463-AA42-830807334350}"/>
    <cellStyle name="Millares 5" xfId="29" xr:uid="{FBFC265D-F16F-4AB8-BC19-8B2BAEAAA402}"/>
    <cellStyle name="Millares 51 19" xfId="19" xr:uid="{8C7124D6-61BF-4006-B6E5-1A94E1905E6E}"/>
    <cellStyle name="Millares 51 2 2 2 2 2" xfId="18" xr:uid="{2EB4C0F8-AD40-48E3-B0E4-434FAADAC833}"/>
    <cellStyle name="Millares 55 2 11 4 4 3 25 19 22 2" xfId="28" xr:uid="{15A26DE3-6305-44EF-8B9D-921E7DCC9090}"/>
    <cellStyle name="Millares 55 2 11 4 4 3 25 41 2" xfId="25" xr:uid="{7B28B2F6-37D8-4F10-89ED-1A3D30E7AAAB}"/>
    <cellStyle name="Millares 57" xfId="21" xr:uid="{50DB3BA8-B1FE-4E12-B9BC-CEE584E04741}"/>
    <cellStyle name="Millares 57 19" xfId="23" xr:uid="{0BA2AC38-76F2-435F-8BED-5E8E329630FB}"/>
    <cellStyle name="Millares 68 3 25 41 2" xfId="26" xr:uid="{3ABDF48F-10BA-4111-BD89-AC1384DA5DBC}"/>
    <cellStyle name="Millares 9 2" xfId="6" xr:uid="{9E05D6F2-EA94-4C99-8EC6-87B1866039F7}"/>
    <cellStyle name="Millares 9 2 4" xfId="44" xr:uid="{4B7024D3-D512-4643-B10C-A76B7B8B8B50}"/>
    <cellStyle name="Normal" xfId="0" builtinId="0"/>
    <cellStyle name="Normal 12 2" xfId="16" xr:uid="{1B567D5E-CBA8-4DC6-AC77-35B930A623D4}"/>
    <cellStyle name="Normal 13" xfId="7" xr:uid="{1C177310-06B9-43E9-A366-ABC25917ECC4}"/>
    <cellStyle name="Normal 2 2" xfId="31" xr:uid="{4188E5E3-5337-42D0-9D57-ADDCAB820F97}"/>
    <cellStyle name="Normal 2 2 13 18" xfId="39" xr:uid="{34780176-CDF2-4563-94EB-D4EE038ABBA4}"/>
    <cellStyle name="Normal 5 7" xfId="37" xr:uid="{6439309A-F230-41D1-9A5E-0353CD283DBE}"/>
    <cellStyle name="Normal 75" xfId="12" xr:uid="{FC2234B3-CBEE-4D66-B3FB-462F2F8BAE3E}"/>
    <cellStyle name="Normal 85 2" xfId="27" xr:uid="{7A54A4E8-15BC-473A-8C39-9E70184C639F}"/>
    <cellStyle name="Normal 86 22 2" xfId="30" xr:uid="{90213FB1-C78C-4599-B558-2988642BF5DC}"/>
    <cellStyle name="Normal 89" xfId="34" xr:uid="{455F2415-EFC9-4836-BAD6-B8CD395F6E99}"/>
    <cellStyle name="Normal 94" xfId="41" xr:uid="{229BBBE9-FAE4-4F1B-8520-F8DDAA271659}"/>
    <cellStyle name="Normal_Formatos de Balance y PYG_Opciones gráficos JD - Excel 2003" xfId="11" xr:uid="{3C383EE6-ADDC-485E-A14F-3DBE4D6195DE}"/>
    <cellStyle name="Normal_Opciones gráficos JD - Excel 2003" xfId="10" xr:uid="{4D02979F-553D-464B-8EFA-7416128C8E6A}"/>
    <cellStyle name="Normal_Opciones gráficos JD - Excel 2003 2 2" xfId="13" xr:uid="{B90FBBCF-69C5-4E4F-A00A-EE7B774416F1}"/>
    <cellStyle name="Normal_PGBalance - Propuestos CEA2_Opciones gráficos JD - Excel 2003" xfId="5" xr:uid="{0727C1E0-EAB8-41F0-912A-C486EE62A124}"/>
    <cellStyle name="Porcentaje" xfId="3" builtinId="5"/>
    <cellStyle name="Porcentaje 2" xfId="45" xr:uid="{8EDB7727-0254-45D8-A419-CE13725ED8C7}"/>
    <cellStyle name="Porcentaje 34" xfId="40" xr:uid="{F6C6D10D-7FE2-4AB0-8912-B4FD8963212D}"/>
    <cellStyle name="Porcentaje 45" xfId="35" xr:uid="{850BBFBB-07DC-44C3-9C7A-B5454BAB9820}"/>
    <cellStyle name="Título 2" xfId="4" builtinId="17"/>
  </cellStyles>
  <dxfs count="48">
    <dxf>
      <numFmt numFmtId="183" formatCode="#,##0,_);\(#,##0,\)"/>
    </dxf>
    <dxf>
      <numFmt numFmtId="184" formatCode="#,##0,,_);\(#,##0,,\)"/>
    </dxf>
    <dxf>
      <numFmt numFmtId="183" formatCode="#,##0,_);\(#,##0,\)"/>
    </dxf>
    <dxf>
      <numFmt numFmtId="184" formatCode="#,##0,,_);\(#,##0,,\)"/>
    </dxf>
    <dxf>
      <numFmt numFmtId="185" formatCode="#,###.00,,;\-#,###.00,,;_(* &quot;-&quot;??_)"/>
      <fill>
        <patternFill>
          <bgColor rgb="FFE5EAF0"/>
        </patternFill>
      </fill>
    </dxf>
    <dxf>
      <font>
        <b/>
        <i val="0"/>
      </font>
      <numFmt numFmtId="169" formatCode="0.0%"/>
      <fill>
        <patternFill patternType="solid">
          <bgColor rgb="FFE5EAF0"/>
        </patternFill>
      </fill>
    </dxf>
    <dxf>
      <numFmt numFmtId="169" formatCode="0.0%"/>
    </dxf>
    <dxf>
      <numFmt numFmtId="186" formatCode="#,###.00,;\-#,###.00,;_(* &quot;-&quot;??_)"/>
      <fill>
        <patternFill>
          <bgColor rgb="FFE5EAF0"/>
        </patternFill>
      </fill>
    </dxf>
    <dxf>
      <numFmt numFmtId="186" formatCode="#,###.00,;\-#,###.00,;_(* &quot;-&quot;??_)"/>
      <fill>
        <patternFill>
          <bgColor rgb="FFE5EAF0"/>
        </patternFill>
      </fill>
    </dxf>
    <dxf>
      <numFmt numFmtId="185" formatCode="#,###.00,,;\-#,###.00,,;_(* &quot;-&quot;??_)"/>
      <fill>
        <patternFill>
          <bgColor rgb="FFE5EAF0"/>
        </patternFill>
      </fill>
    </dxf>
    <dxf>
      <font>
        <b/>
        <i val="0"/>
      </font>
      <numFmt numFmtId="169" formatCode="0.0%"/>
      <fill>
        <patternFill patternType="solid">
          <bgColor rgb="FFE5EAF0"/>
        </patternFill>
      </fill>
    </dxf>
    <dxf>
      <numFmt numFmtId="169" formatCode="0.0%"/>
    </dxf>
    <dxf>
      <font>
        <b/>
        <i val="0"/>
      </font>
      <numFmt numFmtId="169" formatCode="0.0%"/>
      <fill>
        <patternFill patternType="solid">
          <bgColor rgb="FFE5EAF0"/>
        </patternFill>
      </fill>
    </dxf>
    <dxf>
      <numFmt numFmtId="185" formatCode="#,###.00,,;\-#,###.00,,;_(* &quot;-&quot;??_)"/>
      <fill>
        <patternFill>
          <bgColor rgb="FFE5EAF0"/>
        </patternFill>
      </fill>
    </dxf>
    <dxf>
      <numFmt numFmtId="169" formatCode="0.0%"/>
    </dxf>
    <dxf>
      <numFmt numFmtId="186" formatCode="#,###.00,;\-#,###.00,;_(* &quot;-&quot;??_)"/>
      <fill>
        <patternFill>
          <bgColor rgb="FFE5EAF0"/>
        </patternFill>
      </fill>
    </dxf>
    <dxf>
      <font>
        <b/>
        <i val="0"/>
      </font>
      <numFmt numFmtId="169" formatCode="0.0%"/>
      <fill>
        <patternFill patternType="solid">
          <bgColor rgb="FFE5EAF0"/>
        </patternFill>
      </fill>
    </dxf>
    <dxf>
      <numFmt numFmtId="169" formatCode="0.0%"/>
    </dxf>
    <dxf>
      <numFmt numFmtId="169" formatCode="0.0%"/>
    </dxf>
    <dxf>
      <font>
        <b/>
        <i val="0"/>
      </font>
      <numFmt numFmtId="169" formatCode="0.0%"/>
      <fill>
        <patternFill patternType="solid">
          <bgColor rgb="FFE5EAF0"/>
        </patternFill>
      </fill>
    </dxf>
    <dxf>
      <numFmt numFmtId="185" formatCode="#,###.00,,;\-#,###.00,,;_(* &quot;-&quot;??_)"/>
      <fill>
        <patternFill>
          <bgColor rgb="FFE5EAF0"/>
        </patternFill>
      </fill>
    </dxf>
    <dxf>
      <numFmt numFmtId="186" formatCode="#,###.00,;\-#,###.00,;_(* &quot;-&quot;??_)"/>
      <fill>
        <patternFill>
          <bgColor rgb="FFE5EAF0"/>
        </patternFill>
      </fill>
    </dxf>
    <dxf>
      <numFmt numFmtId="186" formatCode="#,###.00,;\-#,###.00,;_(* &quot;-&quot;??_)"/>
      <fill>
        <patternFill>
          <bgColor rgb="FFE5EAF0"/>
        </patternFill>
      </fill>
    </dxf>
    <dxf>
      <font>
        <b/>
        <i val="0"/>
      </font>
      <numFmt numFmtId="169" formatCode="0.0%"/>
      <fill>
        <patternFill patternType="solid">
          <bgColor rgb="FFE5EAF0"/>
        </patternFill>
      </fill>
    </dxf>
    <dxf>
      <numFmt numFmtId="169" formatCode="0.0%"/>
    </dxf>
    <dxf>
      <numFmt numFmtId="185" formatCode="#,###.00,,;\-#,###.00,,;_(* &quot;-&quot;??_)"/>
      <fill>
        <patternFill>
          <bgColor rgb="FFE5EAF0"/>
        </patternFill>
      </fill>
    </dxf>
    <dxf>
      <numFmt numFmtId="185" formatCode="#,###.00,,;\-#,###.00,,;_(* &quot;-&quot;??_)"/>
      <fill>
        <patternFill>
          <bgColor rgb="FFE5EAF0"/>
        </patternFill>
      </fill>
    </dxf>
    <dxf>
      <font>
        <b/>
        <i val="0"/>
      </font>
      <numFmt numFmtId="169" formatCode="0.0%"/>
      <fill>
        <patternFill patternType="solid">
          <bgColor rgb="FFE5EAF0"/>
        </patternFill>
      </fill>
    </dxf>
    <dxf>
      <numFmt numFmtId="169" formatCode="0.0%"/>
    </dxf>
    <dxf>
      <numFmt numFmtId="186" formatCode="#,###.00,;\-#,###.00,;_(* &quot;-&quot;??_)"/>
      <fill>
        <patternFill>
          <bgColor rgb="FFE5EAF0"/>
        </patternFill>
      </fill>
    </dxf>
    <dxf>
      <font>
        <b/>
        <i val="0"/>
      </font>
      <numFmt numFmtId="169" formatCode="0.0%"/>
      <fill>
        <patternFill patternType="solid">
          <bgColor rgb="FFE5EAF0"/>
        </patternFill>
      </fill>
    </dxf>
    <dxf>
      <numFmt numFmtId="169" formatCode="0.0%"/>
    </dxf>
    <dxf>
      <font>
        <b/>
        <i val="0"/>
      </font>
      <numFmt numFmtId="169" formatCode="0.0%"/>
      <fill>
        <patternFill patternType="solid">
          <bgColor rgb="FFE5EAF0"/>
        </patternFill>
      </fill>
    </dxf>
    <dxf>
      <numFmt numFmtId="169" formatCode="0.0%"/>
    </dxf>
    <dxf>
      <numFmt numFmtId="185" formatCode="#,###.00,,;\-#,###.00,,;_(* &quot;-&quot;??_)"/>
      <fill>
        <patternFill>
          <bgColor rgb="FFE5EAF0"/>
        </patternFill>
      </fill>
    </dxf>
    <dxf>
      <numFmt numFmtId="186" formatCode="#,###.00,;\-#,###.00,;_(* &quot;-&quot;??_)"/>
      <fill>
        <patternFill>
          <bgColor rgb="FFE5EAF0"/>
        </patternFill>
      </fill>
    </dxf>
    <dxf>
      <font>
        <b/>
        <i val="0"/>
      </font>
      <numFmt numFmtId="169" formatCode="0.0%"/>
      <fill>
        <patternFill patternType="solid">
          <bgColor rgb="FFE5EAF0"/>
        </patternFill>
      </fill>
    </dxf>
    <dxf>
      <numFmt numFmtId="169" formatCode="0.0%"/>
    </dxf>
    <dxf>
      <numFmt numFmtId="185" formatCode="#,###.00,,;\-#,###.00,,;_(* &quot;-&quot;??_)"/>
      <fill>
        <patternFill>
          <bgColor rgb="FFE5EAF0"/>
        </patternFill>
      </fill>
    </dxf>
    <dxf>
      <numFmt numFmtId="186" formatCode="#,###.00,;\-#,###.00,;_(* &quot;-&quot;??_)"/>
      <fill>
        <patternFill>
          <bgColor rgb="FFE5EAF0"/>
        </patternFill>
      </fill>
    </dxf>
    <dxf>
      <font>
        <b/>
        <i val="0"/>
      </font>
      <numFmt numFmtId="169" formatCode="0.0%"/>
      <fill>
        <patternFill patternType="solid">
          <bgColor rgb="FFE5EAF0"/>
        </patternFill>
      </fill>
    </dxf>
    <dxf>
      <numFmt numFmtId="169" formatCode="0.0%"/>
    </dxf>
    <dxf>
      <font>
        <b/>
        <i val="0"/>
      </font>
      <numFmt numFmtId="169" formatCode="0.0%"/>
      <fill>
        <patternFill patternType="solid">
          <bgColor rgb="FFE5EAF0"/>
        </patternFill>
      </fill>
    </dxf>
    <dxf>
      <numFmt numFmtId="169" formatCode="0.0%"/>
    </dxf>
    <dxf>
      <numFmt numFmtId="185" formatCode="#,###.00,,;\-#,###.00,,;_(* &quot;-&quot;??_)"/>
      <fill>
        <patternFill>
          <bgColor rgb="FFE5EAF0"/>
        </patternFill>
      </fill>
    </dxf>
    <dxf>
      <numFmt numFmtId="186" formatCode="#,###.00,;\-#,###.00,;_(* &quot;-&quot;??_)"/>
      <fill>
        <patternFill>
          <bgColor rgb="FFE5EAF0"/>
        </patternFill>
      </fill>
    </dxf>
    <dxf>
      <numFmt numFmtId="186" formatCode="#,###.00,;\-#,###.00,;_(* &quot;-&quot;??_)"/>
      <fill>
        <patternFill patternType="none">
          <bgColor auto="1"/>
        </patternFill>
      </fill>
    </dxf>
    <dxf>
      <font>
        <b val="0"/>
        <i val="0"/>
      </font>
      <numFmt numFmtId="185" formatCode="#,###.00,,;\-#,###.00,,;_(* &quot;-&quot;??_)"/>
      <fill>
        <patternFill patternType="none">
          <bgColor auto="1"/>
        </patternFill>
      </fill>
    </dxf>
  </dxfs>
  <tableStyles count="0" defaultTableStyle="TableStyleMedium2" defaultPivotStyle="PivotStyleLight16"/>
  <colors>
    <mruColors>
      <color rgb="FF92D05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jpe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jpeg"/><Relationship Id="rId4" Type="http://schemas.openxmlformats.org/officeDocument/2006/relationships/image" Target="../media/image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png"/><Relationship Id="rId5" Type="http://schemas.openxmlformats.org/officeDocument/2006/relationships/image" Target="../media/image7.jpeg"/><Relationship Id="rId4" Type="http://schemas.openxmlformats.org/officeDocument/2006/relationships/image" Target="../media/image9.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755650</xdr:colOff>
          <xdr:row>0</xdr:row>
          <xdr:rowOff>0</xdr:rowOff>
        </xdr:to>
        <xdr:sp macro="" textlink="">
          <xdr:nvSpPr>
            <xdr:cNvPr id="28673" name="FPMExcelClientSheetOptionstb1" hidden="1">
              <a:extLst>
                <a:ext uri="{63B3BB69-23CF-44E3-9099-C40C66FF867C}">
                  <a14:compatExt spid="_x0000_s28673"/>
                </a:ext>
                <a:ext uri="{FF2B5EF4-FFF2-40B4-BE49-F238E27FC236}">
                  <a16:creationId xmlns:a16="http://schemas.microsoft.com/office/drawing/2014/main" id="{00000000-0008-0000-0600-0000017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755650</xdr:colOff>
          <xdr:row>0</xdr:row>
          <xdr:rowOff>0</xdr:rowOff>
        </xdr:to>
        <xdr:sp macro="" textlink="">
          <xdr:nvSpPr>
            <xdr:cNvPr id="12289" name="FPMExcelClientSheetOptionstb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226215</xdr:colOff>
      <xdr:row>5</xdr:row>
      <xdr:rowOff>142875</xdr:rowOff>
    </xdr:from>
    <xdr:to>
      <xdr:col>3</xdr:col>
      <xdr:colOff>277014</xdr:colOff>
      <xdr:row>8</xdr:row>
      <xdr:rowOff>114300</xdr:rowOff>
    </xdr:to>
    <xdr:pic>
      <xdr:nvPicPr>
        <xdr:cNvPr id="2" name="16 Imagen">
          <a:extLst>
            <a:ext uri="{FF2B5EF4-FFF2-40B4-BE49-F238E27FC236}">
              <a16:creationId xmlns:a16="http://schemas.microsoft.com/office/drawing/2014/main" id="{91D99413-D936-48A8-9FF7-43046ECB41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5878" b="27443"/>
        <a:stretch>
          <a:fillRect/>
        </a:stretch>
      </xdr:blipFill>
      <xdr:spPr bwMode="auto">
        <a:xfrm>
          <a:off x="2874165" y="1412875"/>
          <a:ext cx="850899"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433383</xdr:colOff>
      <xdr:row>6</xdr:row>
      <xdr:rowOff>85725</xdr:rowOff>
    </xdr:from>
    <xdr:to>
      <xdr:col>6</xdr:col>
      <xdr:colOff>183353</xdr:colOff>
      <xdr:row>8</xdr:row>
      <xdr:rowOff>114300</xdr:rowOff>
    </xdr:to>
    <xdr:pic>
      <xdr:nvPicPr>
        <xdr:cNvPr id="3" name="18 Imagen">
          <a:extLst>
            <a:ext uri="{FF2B5EF4-FFF2-40B4-BE49-F238E27FC236}">
              <a16:creationId xmlns:a16="http://schemas.microsoft.com/office/drawing/2014/main" id="{F064A497-5FE4-425A-9E09-C9C4227845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1951" t="25987" r="20894" b="25591"/>
        <a:stretch>
          <a:fillRect/>
        </a:stretch>
      </xdr:blipFill>
      <xdr:spPr bwMode="auto">
        <a:xfrm>
          <a:off x="5430833" y="1539875"/>
          <a:ext cx="50562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535602</xdr:colOff>
      <xdr:row>6</xdr:row>
      <xdr:rowOff>123825</xdr:rowOff>
    </xdr:from>
    <xdr:to>
      <xdr:col>10</xdr:col>
      <xdr:colOff>335577</xdr:colOff>
      <xdr:row>8</xdr:row>
      <xdr:rowOff>149225</xdr:rowOff>
    </xdr:to>
    <xdr:pic>
      <xdr:nvPicPr>
        <xdr:cNvPr id="4" name="19 Imagen">
          <a:extLst>
            <a:ext uri="{FF2B5EF4-FFF2-40B4-BE49-F238E27FC236}">
              <a16:creationId xmlns:a16="http://schemas.microsoft.com/office/drawing/2014/main" id="{17B84EF5-3388-4F67-B1BA-F3DBC9B3E6F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4387" t="24875" r="24387" b="24744"/>
        <a:stretch>
          <a:fillRect/>
        </a:stretch>
      </xdr:blipFill>
      <xdr:spPr bwMode="auto">
        <a:xfrm>
          <a:off x="7723802" y="1577975"/>
          <a:ext cx="447675"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494710</xdr:colOff>
      <xdr:row>6</xdr:row>
      <xdr:rowOff>142875</xdr:rowOff>
    </xdr:from>
    <xdr:to>
      <xdr:col>13</xdr:col>
      <xdr:colOff>49380</xdr:colOff>
      <xdr:row>8</xdr:row>
      <xdr:rowOff>152400</xdr:rowOff>
    </xdr:to>
    <xdr:pic>
      <xdr:nvPicPr>
        <xdr:cNvPr id="5" name="21 Imagen">
          <a:extLst>
            <a:ext uri="{FF2B5EF4-FFF2-40B4-BE49-F238E27FC236}">
              <a16:creationId xmlns:a16="http://schemas.microsoft.com/office/drawing/2014/main" id="{3D3B4EB1-3641-4E26-818A-A91CF29C237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33830" b="33446"/>
        <a:stretch>
          <a:fillRect/>
        </a:stretch>
      </xdr:blipFill>
      <xdr:spPr bwMode="auto">
        <a:xfrm>
          <a:off x="8978310" y="1597025"/>
          <a:ext cx="843720" cy="37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428621</xdr:colOff>
      <xdr:row>6</xdr:row>
      <xdr:rowOff>133350</xdr:rowOff>
    </xdr:from>
    <xdr:to>
      <xdr:col>18</xdr:col>
      <xdr:colOff>145252</xdr:colOff>
      <xdr:row>8</xdr:row>
      <xdr:rowOff>149225</xdr:rowOff>
    </xdr:to>
    <xdr:pic>
      <xdr:nvPicPr>
        <xdr:cNvPr id="6" name="22 Imagen">
          <a:extLst>
            <a:ext uri="{FF2B5EF4-FFF2-40B4-BE49-F238E27FC236}">
              <a16:creationId xmlns:a16="http://schemas.microsoft.com/office/drawing/2014/main" id="{A1AA0E83-1567-49A7-8BE7-96A92CEE22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26926" t="28897" r="27562" b="28766"/>
        <a:stretch>
          <a:fillRect/>
        </a:stretch>
      </xdr:blipFill>
      <xdr:spPr bwMode="auto">
        <a:xfrm>
          <a:off x="13369921" y="1587500"/>
          <a:ext cx="504031"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107245</xdr:colOff>
      <xdr:row>6</xdr:row>
      <xdr:rowOff>28575</xdr:rowOff>
    </xdr:from>
    <xdr:to>
      <xdr:col>13</xdr:col>
      <xdr:colOff>564444</xdr:colOff>
      <xdr:row>8</xdr:row>
      <xdr:rowOff>235323</xdr:rowOff>
    </xdr:to>
    <xdr:sp macro="" textlink="">
      <xdr:nvSpPr>
        <xdr:cNvPr id="7" name="CuadroTexto 6">
          <a:extLst>
            <a:ext uri="{FF2B5EF4-FFF2-40B4-BE49-F238E27FC236}">
              <a16:creationId xmlns:a16="http://schemas.microsoft.com/office/drawing/2014/main" id="{A2008A8D-DAFD-4041-98CE-368DDCAB4AC5}"/>
            </a:ext>
          </a:extLst>
        </xdr:cNvPr>
        <xdr:cNvSpPr txBox="1"/>
      </xdr:nvSpPr>
      <xdr:spPr>
        <a:xfrm>
          <a:off x="9879895" y="1482725"/>
          <a:ext cx="457199" cy="575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(1)</a:t>
          </a:r>
        </a:p>
      </xdr:txBody>
    </xdr:sp>
    <xdr:clientData/>
  </xdr:twoCellAnchor>
  <xdr:twoCellAnchor editAs="oneCell">
    <xdr:from>
      <xdr:col>20</xdr:col>
      <xdr:colOff>385760</xdr:colOff>
      <xdr:row>7</xdr:row>
      <xdr:rowOff>28575</xdr:rowOff>
    </xdr:from>
    <xdr:to>
      <xdr:col>21</xdr:col>
      <xdr:colOff>302418</xdr:colOff>
      <xdr:row>8</xdr:row>
      <xdr:rowOff>114300</xdr:rowOff>
    </xdr:to>
    <xdr:pic>
      <xdr:nvPicPr>
        <xdr:cNvPr id="8" name="3 Imagen">
          <a:extLst>
            <a:ext uri="{FF2B5EF4-FFF2-40B4-BE49-F238E27FC236}">
              <a16:creationId xmlns:a16="http://schemas.microsoft.com/office/drawing/2014/main" id="{9B69F486-2A4F-427B-B6AE-3AFF1298C37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232060" y="1666875"/>
          <a:ext cx="672308"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209546</xdr:colOff>
      <xdr:row>6</xdr:row>
      <xdr:rowOff>38100</xdr:rowOff>
    </xdr:from>
    <xdr:to>
      <xdr:col>22</xdr:col>
      <xdr:colOff>209546</xdr:colOff>
      <xdr:row>7</xdr:row>
      <xdr:rowOff>114300</xdr:rowOff>
    </xdr:to>
    <xdr:sp macro="" textlink="">
      <xdr:nvSpPr>
        <xdr:cNvPr id="9" name="CuadroTexto 8">
          <a:extLst>
            <a:ext uri="{FF2B5EF4-FFF2-40B4-BE49-F238E27FC236}">
              <a16:creationId xmlns:a16="http://schemas.microsoft.com/office/drawing/2014/main" id="{3CE11A0C-E3FB-4A1F-89B9-35A4B9B6D786}"/>
            </a:ext>
          </a:extLst>
        </xdr:cNvPr>
        <xdr:cNvSpPr txBox="1"/>
      </xdr:nvSpPr>
      <xdr:spPr>
        <a:xfrm>
          <a:off x="15811496" y="1492250"/>
          <a:ext cx="75565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(2)</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476250</xdr:colOff>
          <xdr:row>0</xdr:row>
          <xdr:rowOff>0</xdr:rowOff>
        </xdr:to>
        <xdr:sp macro="" textlink="">
          <xdr:nvSpPr>
            <xdr:cNvPr id="41985" name="FPMExcelClientSheetOptionstb1" hidden="1">
              <a:extLst>
                <a:ext uri="{63B3BB69-23CF-44E3-9099-C40C66FF867C}">
                  <a14:compatExt spid="_x0000_s41985"/>
                </a:ext>
                <a:ext uri="{FF2B5EF4-FFF2-40B4-BE49-F238E27FC236}">
                  <a16:creationId xmlns:a16="http://schemas.microsoft.com/office/drawing/2014/main" id="{00000000-0008-0000-0E00-000001A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226215</xdr:colOff>
      <xdr:row>5</xdr:row>
      <xdr:rowOff>142875</xdr:rowOff>
    </xdr:from>
    <xdr:to>
      <xdr:col>3</xdr:col>
      <xdr:colOff>277014</xdr:colOff>
      <xdr:row>8</xdr:row>
      <xdr:rowOff>114300</xdr:rowOff>
    </xdr:to>
    <xdr:pic>
      <xdr:nvPicPr>
        <xdr:cNvPr id="2" name="16 Imagen">
          <a:extLst>
            <a:ext uri="{FF2B5EF4-FFF2-40B4-BE49-F238E27FC236}">
              <a16:creationId xmlns:a16="http://schemas.microsoft.com/office/drawing/2014/main" id="{5E26D3AA-7377-4C8F-87E1-332C6E771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5878" b="27443"/>
        <a:stretch>
          <a:fillRect/>
        </a:stretch>
      </xdr:blipFill>
      <xdr:spPr bwMode="auto">
        <a:xfrm>
          <a:off x="2874165" y="1412875"/>
          <a:ext cx="850899"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433383</xdr:colOff>
      <xdr:row>6</xdr:row>
      <xdr:rowOff>85725</xdr:rowOff>
    </xdr:from>
    <xdr:to>
      <xdr:col>6</xdr:col>
      <xdr:colOff>183353</xdr:colOff>
      <xdr:row>8</xdr:row>
      <xdr:rowOff>114300</xdr:rowOff>
    </xdr:to>
    <xdr:pic>
      <xdr:nvPicPr>
        <xdr:cNvPr id="3" name="18 Imagen">
          <a:extLst>
            <a:ext uri="{FF2B5EF4-FFF2-40B4-BE49-F238E27FC236}">
              <a16:creationId xmlns:a16="http://schemas.microsoft.com/office/drawing/2014/main" id="{6F68CE5E-B6BD-4A15-A4CD-AF5E45E55E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1951" t="25987" r="20894" b="25591"/>
        <a:stretch>
          <a:fillRect/>
        </a:stretch>
      </xdr:blipFill>
      <xdr:spPr bwMode="auto">
        <a:xfrm>
          <a:off x="5430833" y="1539875"/>
          <a:ext cx="505620"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535602</xdr:colOff>
      <xdr:row>6</xdr:row>
      <xdr:rowOff>123825</xdr:rowOff>
    </xdr:from>
    <xdr:to>
      <xdr:col>10</xdr:col>
      <xdr:colOff>335577</xdr:colOff>
      <xdr:row>8</xdr:row>
      <xdr:rowOff>149225</xdr:rowOff>
    </xdr:to>
    <xdr:pic>
      <xdr:nvPicPr>
        <xdr:cNvPr id="4" name="19 Imagen">
          <a:extLst>
            <a:ext uri="{FF2B5EF4-FFF2-40B4-BE49-F238E27FC236}">
              <a16:creationId xmlns:a16="http://schemas.microsoft.com/office/drawing/2014/main" id="{2F0FDA09-4E3A-46A6-9A1A-0ADDB5FF6C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4387" t="24875" r="24387" b="24744"/>
        <a:stretch>
          <a:fillRect/>
        </a:stretch>
      </xdr:blipFill>
      <xdr:spPr bwMode="auto">
        <a:xfrm>
          <a:off x="7723802" y="1577975"/>
          <a:ext cx="447675"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494710</xdr:colOff>
      <xdr:row>6</xdr:row>
      <xdr:rowOff>142875</xdr:rowOff>
    </xdr:from>
    <xdr:to>
      <xdr:col>13</xdr:col>
      <xdr:colOff>49380</xdr:colOff>
      <xdr:row>8</xdr:row>
      <xdr:rowOff>152400</xdr:rowOff>
    </xdr:to>
    <xdr:pic>
      <xdr:nvPicPr>
        <xdr:cNvPr id="5" name="21 Imagen">
          <a:extLst>
            <a:ext uri="{FF2B5EF4-FFF2-40B4-BE49-F238E27FC236}">
              <a16:creationId xmlns:a16="http://schemas.microsoft.com/office/drawing/2014/main" id="{52C82591-3BC8-4424-873B-BE2F7CF6D56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33830" b="33446"/>
        <a:stretch>
          <a:fillRect/>
        </a:stretch>
      </xdr:blipFill>
      <xdr:spPr bwMode="auto">
        <a:xfrm>
          <a:off x="8978310" y="1597025"/>
          <a:ext cx="843720" cy="37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428621</xdr:colOff>
      <xdr:row>6</xdr:row>
      <xdr:rowOff>133350</xdr:rowOff>
    </xdr:from>
    <xdr:to>
      <xdr:col>18</xdr:col>
      <xdr:colOff>145252</xdr:colOff>
      <xdr:row>8</xdr:row>
      <xdr:rowOff>149225</xdr:rowOff>
    </xdr:to>
    <xdr:pic>
      <xdr:nvPicPr>
        <xdr:cNvPr id="6" name="22 Imagen">
          <a:extLst>
            <a:ext uri="{FF2B5EF4-FFF2-40B4-BE49-F238E27FC236}">
              <a16:creationId xmlns:a16="http://schemas.microsoft.com/office/drawing/2014/main" id="{6B2E64DA-EFD1-4C44-8DE2-01A0F5EE45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26926" t="28897" r="27562" b="28766"/>
        <a:stretch>
          <a:fillRect/>
        </a:stretch>
      </xdr:blipFill>
      <xdr:spPr bwMode="auto">
        <a:xfrm>
          <a:off x="13369921" y="1587500"/>
          <a:ext cx="504031"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107245</xdr:colOff>
      <xdr:row>6</xdr:row>
      <xdr:rowOff>28575</xdr:rowOff>
    </xdr:from>
    <xdr:to>
      <xdr:col>13</xdr:col>
      <xdr:colOff>564444</xdr:colOff>
      <xdr:row>8</xdr:row>
      <xdr:rowOff>235323</xdr:rowOff>
    </xdr:to>
    <xdr:sp macro="" textlink="">
      <xdr:nvSpPr>
        <xdr:cNvPr id="7" name="CuadroTexto 6">
          <a:extLst>
            <a:ext uri="{FF2B5EF4-FFF2-40B4-BE49-F238E27FC236}">
              <a16:creationId xmlns:a16="http://schemas.microsoft.com/office/drawing/2014/main" id="{8B033960-4AC1-4006-95A4-9BE74120B5AE}"/>
            </a:ext>
          </a:extLst>
        </xdr:cNvPr>
        <xdr:cNvSpPr txBox="1"/>
      </xdr:nvSpPr>
      <xdr:spPr>
        <a:xfrm>
          <a:off x="9879895" y="1482725"/>
          <a:ext cx="457199" cy="575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(1)</a:t>
          </a:r>
        </a:p>
      </xdr:txBody>
    </xdr:sp>
    <xdr:clientData/>
  </xdr:twoCellAnchor>
  <xdr:twoCellAnchor editAs="oneCell">
    <xdr:from>
      <xdr:col>20</xdr:col>
      <xdr:colOff>385760</xdr:colOff>
      <xdr:row>7</xdr:row>
      <xdr:rowOff>28575</xdr:rowOff>
    </xdr:from>
    <xdr:to>
      <xdr:col>21</xdr:col>
      <xdr:colOff>302418</xdr:colOff>
      <xdr:row>8</xdr:row>
      <xdr:rowOff>114300</xdr:rowOff>
    </xdr:to>
    <xdr:pic>
      <xdr:nvPicPr>
        <xdr:cNvPr id="8" name="3 Imagen">
          <a:extLst>
            <a:ext uri="{FF2B5EF4-FFF2-40B4-BE49-F238E27FC236}">
              <a16:creationId xmlns:a16="http://schemas.microsoft.com/office/drawing/2014/main" id="{72D1AD13-3D1B-4039-9C4B-32E0923B298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232060" y="1666875"/>
          <a:ext cx="672308"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209546</xdr:colOff>
      <xdr:row>6</xdr:row>
      <xdr:rowOff>38100</xdr:rowOff>
    </xdr:from>
    <xdr:to>
      <xdr:col>22</xdr:col>
      <xdr:colOff>209546</xdr:colOff>
      <xdr:row>7</xdr:row>
      <xdr:rowOff>114300</xdr:rowOff>
    </xdr:to>
    <xdr:sp macro="" textlink="">
      <xdr:nvSpPr>
        <xdr:cNvPr id="9" name="CuadroTexto 8">
          <a:extLst>
            <a:ext uri="{FF2B5EF4-FFF2-40B4-BE49-F238E27FC236}">
              <a16:creationId xmlns:a16="http://schemas.microsoft.com/office/drawing/2014/main" id="{8428EE74-68B2-401D-BC46-D9D61225C64D}"/>
            </a:ext>
          </a:extLst>
        </xdr:cNvPr>
        <xdr:cNvSpPr txBox="1"/>
      </xdr:nvSpPr>
      <xdr:spPr>
        <a:xfrm>
          <a:off x="15811496" y="1492250"/>
          <a:ext cx="755650"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(2)</a:t>
          </a: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476250</xdr:colOff>
          <xdr:row>0</xdr:row>
          <xdr:rowOff>0</xdr:rowOff>
        </xdr:to>
        <xdr:sp macro="" textlink="">
          <xdr:nvSpPr>
            <xdr:cNvPr id="38913" name="FPMExcelClientSheetOptionstb1" hidden="1">
              <a:extLst>
                <a:ext uri="{63B3BB69-23CF-44E3-9099-C40C66FF867C}">
                  <a14:compatExt spid="_x0000_s38913"/>
                </a:ext>
                <a:ext uri="{FF2B5EF4-FFF2-40B4-BE49-F238E27FC236}">
                  <a16:creationId xmlns:a16="http://schemas.microsoft.com/office/drawing/2014/main" id="{00000000-0008-0000-0F00-0000019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226215</xdr:colOff>
      <xdr:row>5</xdr:row>
      <xdr:rowOff>142875</xdr:rowOff>
    </xdr:from>
    <xdr:to>
      <xdr:col>3</xdr:col>
      <xdr:colOff>104505</xdr:colOff>
      <xdr:row>8</xdr:row>
      <xdr:rowOff>114300</xdr:rowOff>
    </xdr:to>
    <xdr:pic>
      <xdr:nvPicPr>
        <xdr:cNvPr id="2" name="16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5878" b="27443"/>
        <a:stretch>
          <a:fillRect/>
        </a:stretch>
      </xdr:blipFill>
      <xdr:spPr bwMode="auto">
        <a:xfrm>
          <a:off x="2750340" y="1428750"/>
          <a:ext cx="80539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433383</xdr:colOff>
      <xdr:row>6</xdr:row>
      <xdr:rowOff>85725</xdr:rowOff>
    </xdr:from>
    <xdr:to>
      <xdr:col>6</xdr:col>
      <xdr:colOff>183352</xdr:colOff>
      <xdr:row>8</xdr:row>
      <xdr:rowOff>114300</xdr:rowOff>
    </xdr:to>
    <xdr:pic>
      <xdr:nvPicPr>
        <xdr:cNvPr id="3" name="18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1951" t="25987" r="20894" b="25591"/>
        <a:stretch>
          <a:fillRect/>
        </a:stretch>
      </xdr:blipFill>
      <xdr:spPr bwMode="auto">
        <a:xfrm>
          <a:off x="5233983" y="1562100"/>
          <a:ext cx="470694"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521490</xdr:colOff>
      <xdr:row>6</xdr:row>
      <xdr:rowOff>123825</xdr:rowOff>
    </xdr:from>
    <xdr:to>
      <xdr:col>10</xdr:col>
      <xdr:colOff>311939</xdr:colOff>
      <xdr:row>8</xdr:row>
      <xdr:rowOff>142875</xdr:rowOff>
    </xdr:to>
    <xdr:pic>
      <xdr:nvPicPr>
        <xdr:cNvPr id="4" name="19 Imagen">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4387" t="24875" r="24387" b="24744"/>
        <a:stretch>
          <a:fillRect/>
        </a:stretch>
      </xdr:blipFill>
      <xdr:spPr bwMode="auto">
        <a:xfrm>
          <a:off x="7417590" y="1600200"/>
          <a:ext cx="412749"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78442</xdr:colOff>
      <xdr:row>6</xdr:row>
      <xdr:rowOff>142875</xdr:rowOff>
    </xdr:from>
    <xdr:to>
      <xdr:col>13</xdr:col>
      <xdr:colOff>105835</xdr:colOff>
      <xdr:row>8</xdr:row>
      <xdr:rowOff>152400</xdr:rowOff>
    </xdr:to>
    <xdr:pic>
      <xdr:nvPicPr>
        <xdr:cNvPr id="5" name="21 Imagen">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33830" b="33446"/>
        <a:stretch>
          <a:fillRect/>
        </a:stretch>
      </xdr:blipFill>
      <xdr:spPr bwMode="auto">
        <a:xfrm>
          <a:off x="8765242" y="1619250"/>
          <a:ext cx="805268"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428621</xdr:colOff>
      <xdr:row>6</xdr:row>
      <xdr:rowOff>133350</xdr:rowOff>
    </xdr:from>
    <xdr:to>
      <xdr:col>18</xdr:col>
      <xdr:colOff>145252</xdr:colOff>
      <xdr:row>8</xdr:row>
      <xdr:rowOff>142875</xdr:rowOff>
    </xdr:to>
    <xdr:pic>
      <xdr:nvPicPr>
        <xdr:cNvPr id="6" name="22 Imagen">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26926" t="28897" r="27562" b="28766"/>
        <a:stretch>
          <a:fillRect/>
        </a:stretch>
      </xdr:blipFill>
      <xdr:spPr bwMode="auto">
        <a:xfrm>
          <a:off x="12763496" y="1609725"/>
          <a:ext cx="465932"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114301</xdr:colOff>
      <xdr:row>6</xdr:row>
      <xdr:rowOff>28575</xdr:rowOff>
    </xdr:from>
    <xdr:to>
      <xdr:col>13</xdr:col>
      <xdr:colOff>571500</xdr:colOff>
      <xdr:row>8</xdr:row>
      <xdr:rowOff>235323</xdr:rowOff>
    </xdr:to>
    <xdr:sp macro="" textlink="">
      <xdr:nvSpPr>
        <xdr:cNvPr id="7" name="CuadroTexto 6">
          <a:extLst>
            <a:ext uri="{FF2B5EF4-FFF2-40B4-BE49-F238E27FC236}">
              <a16:creationId xmlns:a16="http://schemas.microsoft.com/office/drawing/2014/main" id="{00000000-0008-0000-0800-000007000000}"/>
            </a:ext>
          </a:extLst>
        </xdr:cNvPr>
        <xdr:cNvSpPr txBox="1"/>
      </xdr:nvSpPr>
      <xdr:spPr>
        <a:xfrm>
          <a:off x="9582151" y="1504950"/>
          <a:ext cx="457199" cy="587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(1)</a:t>
          </a:r>
        </a:p>
      </xdr:txBody>
    </xdr:sp>
    <xdr:clientData/>
  </xdr:twoCellAnchor>
  <xdr:twoCellAnchor editAs="oneCell">
    <xdr:from>
      <xdr:col>20</xdr:col>
      <xdr:colOff>385760</xdr:colOff>
      <xdr:row>7</xdr:row>
      <xdr:rowOff>28575</xdr:rowOff>
    </xdr:from>
    <xdr:to>
      <xdr:col>21</xdr:col>
      <xdr:colOff>292894</xdr:colOff>
      <xdr:row>8</xdr:row>
      <xdr:rowOff>114300</xdr:rowOff>
    </xdr:to>
    <xdr:pic>
      <xdr:nvPicPr>
        <xdr:cNvPr id="8" name="3 Imagen">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539910" y="1695450"/>
          <a:ext cx="634208"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209546</xdr:colOff>
      <xdr:row>6</xdr:row>
      <xdr:rowOff>38100</xdr:rowOff>
    </xdr:from>
    <xdr:to>
      <xdr:col>22</xdr:col>
      <xdr:colOff>209546</xdr:colOff>
      <xdr:row>7</xdr:row>
      <xdr:rowOff>114300</xdr:rowOff>
    </xdr:to>
    <xdr:sp macro="" textlink="">
      <xdr:nvSpPr>
        <xdr:cNvPr id="9" name="CuadroTexto 8">
          <a:extLst>
            <a:ext uri="{FF2B5EF4-FFF2-40B4-BE49-F238E27FC236}">
              <a16:creationId xmlns:a16="http://schemas.microsoft.com/office/drawing/2014/main" id="{00000000-0008-0000-0800-000009000000}"/>
            </a:ext>
          </a:extLst>
        </xdr:cNvPr>
        <xdr:cNvSpPr txBox="1"/>
      </xdr:nvSpPr>
      <xdr:spPr>
        <a:xfrm>
          <a:off x="15087596" y="1514475"/>
          <a:ext cx="7239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esp00\data$\DOCUME~1\mprats.ARG\CONFIG~1\Temp\notesE8F9BA\EJ_00\08\ANEXOS\CR-Agos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is%20Documentos%201\USUARIOS\ARCHIVOS\EXCEL\Invergp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windows\TEMP\PRESU9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dduque\Documents\PC_NW\dduque\TempLocalXLClient\GRUPO_ARGOS\Consolidaci&#243;nIFRS\eEXCEL\REPORTS\R24-Estado%20de%20Resultados%20consolid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Funciones%20Personal%20Impuestos\Documents%20and%20Settings\cmendozaj\Configuraci&#243;n%20local\Archivos%20temporales%20de%20Internet\OLK115\Documents%20and%20Settings\jpardo\Mis%20documentos\Proyecto%20Corfinsura\Inversi"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Y:\05.%20INFORMES%20%20JD\2025\9.%20Septiembre\Grupo%20Argos%20EF%20Septiembre%202025%20JD%20VF%20-%20V2.xlsx" TargetMode="External"/><Relationship Id="rId1" Type="http://schemas.openxmlformats.org/officeDocument/2006/relationships/externalLinkPath" Target="file:///Y:\05.%20INFORMES%20%20JD\2025\9.%20Septiembre\Grupo%20Argos%20EF%20Septiembre%202025%20JD%20VF%20-%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Summary"/>
      <sheetName val="EXPLICACION VS PPTO"/>
      <sheetName val="EXPLICACION VS D"/>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menteras"/>
      <sheetName val="0tras"/>
      <sheetName val="Vr.-ARGOS"/>
      <sheetName val="Vr.-CARIBE"/>
      <sheetName val="Vr.-CAIRO"/>
      <sheetName val="Vr.-NARE"/>
      <sheetName val="Vr.-VALLE"/>
      <sheetName val="Vr.-COLCLINKER"/>
      <sheetName val="Vr.-RIOCLARO"/>
      <sheetName val="Vr.-TOLCEMENTO"/>
      <sheetName val="TOTAL GRUPO"/>
      <sheetName val="INVERGPO"/>
      <sheetName val="A JUNIO2000"/>
      <sheetName val="septmbre00"/>
      <sheetName val="DICIEMBRE"/>
      <sheetName val="MARZO-01"/>
      <sheetName val="Junio-01"/>
      <sheetName val="SEP-01"/>
      <sheetName val="DIC-01"/>
      <sheetName val="Mar-02-Actualizar sobre este"/>
      <sheetName val="Jun-02-no actualizar"/>
      <sheetName val="Agosto"/>
      <sheetName val="SEPT. 30.02"/>
      <sheetName val="E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AF7">
            <v>540958434.21695995</v>
          </cell>
        </row>
        <row r="8">
          <cell r="AF8">
            <v>241799904.07949999</v>
          </cell>
        </row>
        <row r="9">
          <cell r="AF9">
            <v>225743747.66940001</v>
          </cell>
        </row>
        <row r="10">
          <cell r="AF10">
            <v>203089101.99944001</v>
          </cell>
        </row>
        <row r="11">
          <cell r="AF11">
            <v>186070040.62151998</v>
          </cell>
        </row>
        <row r="24">
          <cell r="B24" t="str">
            <v xml:space="preserve">TOLCEMENTO </v>
          </cell>
          <cell r="F24">
            <v>28483612</v>
          </cell>
          <cell r="G24">
            <v>40843015974</v>
          </cell>
          <cell r="H24">
            <v>71.210000236253222</v>
          </cell>
          <cell r="O24">
            <v>4003686</v>
          </cell>
          <cell r="P24">
            <v>1434940000</v>
          </cell>
          <cell r="Q24">
            <v>10.009351377412518</v>
          </cell>
          <cell r="AA24">
            <v>32487298</v>
          </cell>
          <cell r="AB24">
            <v>42277955974</v>
          </cell>
          <cell r="AC24">
            <v>81.219351613665737</v>
          </cell>
          <cell r="AD24">
            <v>39999455</v>
          </cell>
          <cell r="AE24">
            <v>2547.0800000014042</v>
          </cell>
          <cell r="AF24">
            <v>82747746.989885613</v>
          </cell>
        </row>
        <row r="25">
          <cell r="B25" t="str">
            <v>CORPORACIÓN DE CEMENTO ANDINO S.A.</v>
          </cell>
          <cell r="F25">
            <v>33423008</v>
          </cell>
          <cell r="G25">
            <v>41533003144</v>
          </cell>
          <cell r="H25">
            <v>80</v>
          </cell>
          <cell r="AA25">
            <v>33423008</v>
          </cell>
          <cell r="AB25">
            <v>41533003144</v>
          </cell>
          <cell r="AC25">
            <v>80</v>
          </cell>
          <cell r="AD25">
            <v>41778760</v>
          </cell>
          <cell r="AE25">
            <v>2186.3829001676922</v>
          </cell>
          <cell r="AF25">
            <v>73075493.163367987</v>
          </cell>
        </row>
        <row r="26">
          <cell r="B26" t="str">
            <v>VALLE CEMENT INVESTMENT</v>
          </cell>
          <cell r="O26">
            <v>1</v>
          </cell>
          <cell r="P26">
            <v>43636630000</v>
          </cell>
          <cell r="Q26">
            <v>100</v>
          </cell>
          <cell r="AA26">
            <v>1</v>
          </cell>
          <cell r="AB26">
            <v>43636630000</v>
          </cell>
          <cell r="AC26">
            <v>100</v>
          </cell>
          <cell r="AD26">
            <v>1</v>
          </cell>
          <cell r="AE26">
            <v>66223912</v>
          </cell>
          <cell r="AF26">
            <v>66223912</v>
          </cell>
        </row>
        <row r="27">
          <cell r="B27" t="str">
            <v>BANCOLOMBIA S.A.</v>
          </cell>
          <cell r="C27">
            <v>24375687</v>
          </cell>
          <cell r="D27">
            <v>7433119936</v>
          </cell>
          <cell r="E27">
            <v>7.1894310820651537</v>
          </cell>
          <cell r="L27">
            <v>752657</v>
          </cell>
          <cell r="M27">
            <v>3401144920</v>
          </cell>
          <cell r="N27">
            <v>0.22199069219808709</v>
          </cell>
          <cell r="O27">
            <v>29658125</v>
          </cell>
          <cell r="P27">
            <v>32736470000</v>
          </cell>
          <cell r="Q27">
            <v>8.7474476395587786</v>
          </cell>
          <cell r="AA27">
            <v>54786469</v>
          </cell>
          <cell r="AB27">
            <v>43570734856</v>
          </cell>
          <cell r="AC27">
            <v>16.158869413822018</v>
          </cell>
          <cell r="AD27">
            <v>339048900</v>
          </cell>
          <cell r="AE27">
            <v>1057.42</v>
          </cell>
          <cell r="AF27">
            <v>57932308.04998</v>
          </cell>
        </row>
        <row r="28">
          <cell r="B28" t="str">
            <v>C O N A V I</v>
          </cell>
          <cell r="C28">
            <v>305333930</v>
          </cell>
          <cell r="D28">
            <v>479649994</v>
          </cell>
          <cell r="E28">
            <v>7.5418959326300925</v>
          </cell>
          <cell r="I28">
            <v>210117338</v>
          </cell>
          <cell r="J28">
            <v>31793089535</v>
          </cell>
          <cell r="K28">
            <v>5.1900000004495492</v>
          </cell>
          <cell r="AA28">
            <v>515451268</v>
          </cell>
          <cell r="AB28">
            <v>32272739529</v>
          </cell>
          <cell r="AC28">
            <v>12.731895933079642</v>
          </cell>
          <cell r="AD28">
            <v>4048503622</v>
          </cell>
          <cell r="AE28">
            <v>100</v>
          </cell>
          <cell r="AF28">
            <v>51545126.799999997</v>
          </cell>
        </row>
        <row r="29">
          <cell r="B29" t="str">
            <v>CIA. NACIONAL DE CHOCOLATES S.A.</v>
          </cell>
          <cell r="C29">
            <v>3198802</v>
          </cell>
          <cell r="D29">
            <v>2880329910</v>
          </cell>
          <cell r="E29">
            <v>3.6912681898527393</v>
          </cell>
          <cell r="I29">
            <v>289263</v>
          </cell>
          <cell r="J29">
            <v>468255551</v>
          </cell>
          <cell r="K29">
            <v>0.33379599937769605</v>
          </cell>
          <cell r="L29">
            <v>710202</v>
          </cell>
          <cell r="M29">
            <v>4758353400</v>
          </cell>
          <cell r="N29">
            <v>0.81953995619916298</v>
          </cell>
          <cell r="O29">
            <v>1851296</v>
          </cell>
          <cell r="P29">
            <v>1773730000</v>
          </cell>
          <cell r="Q29">
            <v>2.1363091666197582</v>
          </cell>
          <cell r="AA29">
            <v>6049563</v>
          </cell>
          <cell r="AB29">
            <v>9880668861</v>
          </cell>
          <cell r="AC29">
            <v>6.9809133120493563</v>
          </cell>
          <cell r="AD29">
            <v>86658618</v>
          </cell>
          <cell r="AE29">
            <v>7063.02</v>
          </cell>
          <cell r="AF29">
            <v>42728184.460260004</v>
          </cell>
        </row>
        <row r="30">
          <cell r="B30" t="str">
            <v>CEMENTOS PAZ DEL RIO S.A.</v>
          </cell>
          <cell r="C30">
            <v>24124594</v>
          </cell>
          <cell r="D30">
            <v>18565624578</v>
          </cell>
          <cell r="E30">
            <v>20.103828333333336</v>
          </cell>
          <cell r="F30">
            <v>218564</v>
          </cell>
          <cell r="G30">
            <v>44961296</v>
          </cell>
          <cell r="H30">
            <v>0.18213666666666667</v>
          </cell>
          <cell r="I30">
            <v>2985397</v>
          </cell>
          <cell r="J30">
            <v>1860367965</v>
          </cell>
          <cell r="K30">
            <v>2.4878308333333337</v>
          </cell>
          <cell r="L30">
            <v>2909476</v>
          </cell>
          <cell r="M30">
            <v>1630130277</v>
          </cell>
          <cell r="N30">
            <v>2.4245633333333334</v>
          </cell>
          <cell r="O30">
            <v>1320993</v>
          </cell>
          <cell r="P30">
            <v>2132920000</v>
          </cell>
          <cell r="Q30">
            <v>1.1008275000000001</v>
          </cell>
          <cell r="R30">
            <v>3000000</v>
          </cell>
          <cell r="T30">
            <v>2.5</v>
          </cell>
          <cell r="U30">
            <v>5137782</v>
          </cell>
          <cell r="V30">
            <v>1121118400</v>
          </cell>
          <cell r="W30">
            <v>4.281485</v>
          </cell>
          <cell r="AA30">
            <v>39696806</v>
          </cell>
          <cell r="AB30">
            <v>25355122516</v>
          </cell>
          <cell r="AC30">
            <v>33.080671666666674</v>
          </cell>
          <cell r="AD30">
            <v>120000000</v>
          </cell>
          <cell r="AE30">
            <v>839.48</v>
          </cell>
          <cell r="AF30">
            <v>33324674.700880002</v>
          </cell>
        </row>
        <row r="31">
          <cell r="B31" t="str">
            <v>COLCARIBE HOLDING</v>
          </cell>
          <cell r="F31">
            <v>85000</v>
          </cell>
          <cell r="G31">
            <v>72963466168</v>
          </cell>
          <cell r="H31">
            <v>29.310344827586203</v>
          </cell>
          <cell r="R31">
            <v>75000</v>
          </cell>
          <cell r="S31">
            <v>7780750000</v>
          </cell>
          <cell r="T31">
            <v>25.862068965517242</v>
          </cell>
          <cell r="AA31">
            <v>160000</v>
          </cell>
          <cell r="AB31">
            <v>80744216168</v>
          </cell>
          <cell r="AC31">
            <v>55.172413793103445</v>
          </cell>
          <cell r="AD31">
            <v>290000</v>
          </cell>
          <cell r="AE31">
            <v>181479.67095294117</v>
          </cell>
          <cell r="AF31">
            <v>29036747.352470588</v>
          </cell>
        </row>
        <row r="32">
          <cell r="B32" t="str">
            <v>CIA. COMERCIAL. FABRICATO y TEJICONDOR</v>
          </cell>
          <cell r="C32">
            <v>963662</v>
          </cell>
          <cell r="E32">
            <v>13.217396409011226</v>
          </cell>
          <cell r="O32">
            <v>1029659</v>
          </cell>
          <cell r="Q32">
            <v>14.122598140329378</v>
          </cell>
          <cell r="AA32">
            <v>1993321</v>
          </cell>
          <cell r="AB32">
            <v>0</v>
          </cell>
          <cell r="AC32">
            <v>27.339994549340602</v>
          </cell>
          <cell r="AD32">
            <v>7290861</v>
          </cell>
          <cell r="AE32">
            <v>13622.23</v>
          </cell>
          <cell r="AF32">
            <v>27153477.125829998</v>
          </cell>
        </row>
        <row r="33">
          <cell r="B33" t="str">
            <v>C.I. FABRICATO y TEJICONDOR</v>
          </cell>
          <cell r="C33">
            <v>963663</v>
          </cell>
          <cell r="E33">
            <v>13.675742881621023</v>
          </cell>
          <cell r="O33">
            <v>1029661</v>
          </cell>
          <cell r="Q33">
            <v>14.612347979773826</v>
          </cell>
          <cell r="AA33">
            <v>1993324</v>
          </cell>
          <cell r="AB33">
            <v>0</v>
          </cell>
          <cell r="AC33">
            <v>28.288090861394849</v>
          </cell>
          <cell r="AD33">
            <v>7046513</v>
          </cell>
          <cell r="AE33">
            <v>13164.59</v>
          </cell>
          <cell r="AF33">
            <v>26241293.197159998</v>
          </cell>
        </row>
        <row r="34">
          <cell r="B34" t="str">
            <v>CARBONES DEL CARIBE S.A.</v>
          </cell>
          <cell r="C34">
            <v>260000</v>
          </cell>
          <cell r="D34">
            <v>32613768972</v>
          </cell>
          <cell r="E34">
            <v>3.4666666666666663</v>
          </cell>
          <cell r="F34">
            <v>3670000</v>
          </cell>
          <cell r="G34">
            <v>21864849123</v>
          </cell>
          <cell r="H34">
            <v>48.933333333333337</v>
          </cell>
          <cell r="I34">
            <v>325000</v>
          </cell>
          <cell r="J34">
            <v>3549836130</v>
          </cell>
          <cell r="K34">
            <v>4.3333333333333339</v>
          </cell>
          <cell r="L34">
            <v>28887</v>
          </cell>
          <cell r="M34">
            <v>331908587</v>
          </cell>
          <cell r="N34">
            <v>0.38516</v>
          </cell>
          <cell r="O34">
            <v>258580</v>
          </cell>
          <cell r="P34">
            <v>4614990000</v>
          </cell>
          <cell r="Q34">
            <v>3.4477333333333333</v>
          </cell>
          <cell r="X34">
            <v>0</v>
          </cell>
          <cell r="AA34">
            <v>4542467</v>
          </cell>
          <cell r="AB34">
            <v>62975352812</v>
          </cell>
          <cell r="AC34">
            <v>60.566226666666672</v>
          </cell>
          <cell r="AD34">
            <v>7500000</v>
          </cell>
          <cell r="AE34">
            <v>4989.3</v>
          </cell>
          <cell r="AF34">
            <v>22663730.603100002</v>
          </cell>
        </row>
        <row r="35">
          <cell r="B35" t="str">
            <v>CARTON DE COLOMBIA S.A.</v>
          </cell>
          <cell r="I35">
            <v>1279159</v>
          </cell>
          <cell r="J35">
            <v>1738991498</v>
          </cell>
          <cell r="K35">
            <v>1.1683509486547461</v>
          </cell>
          <cell r="O35">
            <v>2380225</v>
          </cell>
          <cell r="P35">
            <v>3043010000</v>
          </cell>
          <cell r="Q35">
            <v>2.174036329152</v>
          </cell>
          <cell r="AA35">
            <v>3659384</v>
          </cell>
          <cell r="AB35">
            <v>4782001498</v>
          </cell>
          <cell r="AC35">
            <v>3.342387277806746</v>
          </cell>
          <cell r="AD35">
            <v>109484141</v>
          </cell>
          <cell r="AE35">
            <v>5310.02</v>
          </cell>
          <cell r="AF35">
            <v>19431402.227680001</v>
          </cell>
        </row>
        <row r="36">
          <cell r="B36" t="str">
            <v>LA CEMENTO NACIONAL C.A. (ECUADOR)</v>
          </cell>
          <cell r="C36">
            <v>24105</v>
          </cell>
          <cell r="D36">
            <v>6437167036</v>
          </cell>
          <cell r="E36">
            <v>1.7583583111882066</v>
          </cell>
          <cell r="O36">
            <v>21186</v>
          </cell>
          <cell r="P36">
            <v>7878220000</v>
          </cell>
          <cell r="Q36">
            <v>1.545429544942267</v>
          </cell>
          <cell r="AA36">
            <v>45291</v>
          </cell>
          <cell r="AB36">
            <v>14315387036</v>
          </cell>
          <cell r="AC36">
            <v>3.3037878561304739</v>
          </cell>
          <cell r="AD36">
            <v>1370881</v>
          </cell>
          <cell r="AE36">
            <v>419112.09105994605</v>
          </cell>
          <cell r="AF36">
            <v>18982005.716196019</v>
          </cell>
        </row>
        <row r="37">
          <cell r="B37" t="str">
            <v>CONCRETOS DEL CAUCA LTDA</v>
          </cell>
          <cell r="C37">
            <v>105323</v>
          </cell>
          <cell r="D37">
            <v>724440000</v>
          </cell>
          <cell r="E37">
            <v>10.019034863003208</v>
          </cell>
          <cell r="O37">
            <v>915434</v>
          </cell>
          <cell r="P37">
            <v>11142810000</v>
          </cell>
          <cell r="Q37">
            <v>87.082262761015912</v>
          </cell>
          <cell r="AA37">
            <v>1020757</v>
          </cell>
          <cell r="AB37">
            <v>11867250000</v>
          </cell>
          <cell r="AC37">
            <v>97.101297624019125</v>
          </cell>
          <cell r="AD37">
            <v>1051229</v>
          </cell>
          <cell r="AE37">
            <v>16483.587257467581</v>
          </cell>
          <cell r="AF37">
            <v>16825737.078170836</v>
          </cell>
        </row>
        <row r="38">
          <cell r="B38" t="str">
            <v>CIA. DE CEMENTO ARGOS S.A.</v>
          </cell>
          <cell r="R38">
            <v>3244408</v>
          </cell>
          <cell r="S38">
            <v>1166591173</v>
          </cell>
          <cell r="T38">
            <v>1.9931782408086598</v>
          </cell>
          <cell r="AA38">
            <v>3244408</v>
          </cell>
          <cell r="AB38">
            <v>1166591173</v>
          </cell>
          <cell r="AC38">
            <v>1.9931782408086598</v>
          </cell>
          <cell r="AD38">
            <v>162775608</v>
          </cell>
          <cell r="AE38">
            <v>4802</v>
          </cell>
          <cell r="AF38">
            <v>15579647.216</v>
          </cell>
        </row>
        <row r="39">
          <cell r="B39" t="str">
            <v>CORP. FINANCIERA DEL VALLE S.A.</v>
          </cell>
          <cell r="O39">
            <v>1814087</v>
          </cell>
          <cell r="P39">
            <v>8623990000</v>
          </cell>
          <cell r="Q39">
            <v>2.9636519314936516</v>
          </cell>
          <cell r="AA39">
            <v>1814087</v>
          </cell>
          <cell r="AB39">
            <v>8623990000</v>
          </cell>
          <cell r="AC39">
            <v>2.9636519314936516</v>
          </cell>
          <cell r="AD39">
            <v>61211203</v>
          </cell>
          <cell r="AE39">
            <v>6680.3</v>
          </cell>
          <cell r="AF39">
            <v>12118645.3861</v>
          </cell>
        </row>
        <row r="40">
          <cell r="B40" t="str">
            <v>COMERCIALIZA. INT. DEL MAR CARIBE S.A.</v>
          </cell>
          <cell r="F40">
            <v>949750</v>
          </cell>
          <cell r="G40">
            <v>3192682230</v>
          </cell>
          <cell r="H40">
            <v>37.99</v>
          </cell>
          <cell r="R40">
            <v>949750</v>
          </cell>
          <cell r="S40">
            <v>3852758412</v>
          </cell>
          <cell r="T40">
            <v>37.99</v>
          </cell>
          <cell r="X40">
            <v>250000</v>
          </cell>
          <cell r="Z40">
            <v>10</v>
          </cell>
          <cell r="AA40">
            <v>2149500</v>
          </cell>
          <cell r="AB40">
            <v>7045440642</v>
          </cell>
          <cell r="AC40">
            <v>85.98</v>
          </cell>
          <cell r="AD40">
            <v>2500000</v>
          </cell>
          <cell r="AE40">
            <v>5311.32</v>
          </cell>
          <cell r="AF40">
            <v>11416682.34</v>
          </cell>
        </row>
        <row r="41">
          <cell r="B41" t="str">
            <v>CORFINSURA</v>
          </cell>
          <cell r="C41">
            <v>4108220</v>
          </cell>
          <cell r="D41">
            <v>7716777019</v>
          </cell>
          <cell r="E41">
            <v>3.1700388541225699</v>
          </cell>
          <cell r="F41">
            <v>1082537</v>
          </cell>
          <cell r="G41">
            <v>632377707</v>
          </cell>
          <cell r="H41">
            <v>0.83532146550702857</v>
          </cell>
          <cell r="I41">
            <v>2866396</v>
          </cell>
          <cell r="J41">
            <v>4465347340</v>
          </cell>
          <cell r="K41">
            <v>2.2118062546069877</v>
          </cell>
          <cell r="O41">
            <v>1276092</v>
          </cell>
          <cell r="P41">
            <v>1701420000</v>
          </cell>
          <cell r="Q41">
            <v>0.98467492525594513</v>
          </cell>
          <cell r="AA41">
            <v>9333245</v>
          </cell>
          <cell r="AB41">
            <v>14515922066</v>
          </cell>
          <cell r="AC41">
            <v>7.2018414994925308</v>
          </cell>
          <cell r="AD41">
            <v>129595257</v>
          </cell>
          <cell r="AE41">
            <v>1126.94</v>
          </cell>
          <cell r="AF41">
            <v>10518007.120300001</v>
          </cell>
        </row>
        <row r="42">
          <cell r="B42" t="str">
            <v>CÍA. DE INVERSIONES LA MERCED S.A.</v>
          </cell>
          <cell r="C42">
            <v>39620</v>
          </cell>
          <cell r="D42">
            <v>102016726</v>
          </cell>
          <cell r="E42">
            <v>33.016666666666666</v>
          </cell>
          <cell r="AA42">
            <v>39620</v>
          </cell>
          <cell r="AB42">
            <v>102016726</v>
          </cell>
          <cell r="AC42">
            <v>33.016666666666666</v>
          </cell>
          <cell r="AD42">
            <v>120000</v>
          </cell>
          <cell r="AE42">
            <v>252259.59</v>
          </cell>
          <cell r="AF42">
            <v>9994524.9557999987</v>
          </cell>
        </row>
        <row r="43">
          <cell r="B43" t="str">
            <v>ENKA DE COLOMBIA S.A.</v>
          </cell>
          <cell r="O43">
            <v>107921200</v>
          </cell>
          <cell r="P43">
            <v>1226170000</v>
          </cell>
          <cell r="Q43">
            <v>2.4589252160488333</v>
          </cell>
          <cell r="AA43">
            <v>107921200</v>
          </cell>
          <cell r="AB43">
            <v>1226170000</v>
          </cell>
          <cell r="AC43">
            <v>2.4589252160488333</v>
          </cell>
          <cell r="AD43">
            <v>4388958204</v>
          </cell>
          <cell r="AE43">
            <v>85.98</v>
          </cell>
          <cell r="AF43">
            <v>9279064.7760000005</v>
          </cell>
        </row>
        <row r="44">
          <cell r="B44" t="str">
            <v>CIA. COLOMBIANA DE TABACO S.A.</v>
          </cell>
          <cell r="C44">
            <v>1155559</v>
          </cell>
          <cell r="D44">
            <v>251329615</v>
          </cell>
          <cell r="E44">
            <v>1.8186324434355892</v>
          </cell>
          <cell r="L44">
            <v>184636</v>
          </cell>
          <cell r="M44">
            <v>592681560</v>
          </cell>
          <cell r="N44">
            <v>0.29058232407533791</v>
          </cell>
          <cell r="O44">
            <v>1786002</v>
          </cell>
          <cell r="P44">
            <v>3267150000</v>
          </cell>
          <cell r="Q44">
            <v>2.8108311053272477</v>
          </cell>
          <cell r="AA44">
            <v>3126197</v>
          </cell>
          <cell r="AB44">
            <v>4111161175</v>
          </cell>
          <cell r="AC44">
            <v>4.9200458728381751</v>
          </cell>
          <cell r="AD44">
            <v>63539997</v>
          </cell>
          <cell r="AE44">
            <v>2537.06</v>
          </cell>
          <cell r="AF44">
            <v>7931349.3608200001</v>
          </cell>
        </row>
        <row r="45">
          <cell r="B45" t="str">
            <v>CONCRETOS DE OCCIDENTE LTDA</v>
          </cell>
          <cell r="C45">
            <v>200550</v>
          </cell>
          <cell r="D45">
            <v>329897838</v>
          </cell>
          <cell r="E45">
            <v>10</v>
          </cell>
          <cell r="O45">
            <v>802200</v>
          </cell>
          <cell r="P45">
            <v>1423550000</v>
          </cell>
          <cell r="Q45">
            <v>40</v>
          </cell>
          <cell r="AA45">
            <v>1002750</v>
          </cell>
          <cell r="AB45">
            <v>1753447838</v>
          </cell>
          <cell r="AC45">
            <v>50</v>
          </cell>
          <cell r="AD45">
            <v>2005500</v>
          </cell>
          <cell r="AE45">
            <v>7714.918972824732</v>
          </cell>
          <cell r="AF45">
            <v>7736135</v>
          </cell>
        </row>
        <row r="46">
          <cell r="B46" t="str">
            <v>CANTERAS  y  DERIVADOS S.A.</v>
          </cell>
          <cell r="C46">
            <v>30000</v>
          </cell>
          <cell r="D46">
            <v>10760552443</v>
          </cell>
          <cell r="E46">
            <v>50</v>
          </cell>
          <cell r="AA46">
            <v>30000</v>
          </cell>
          <cell r="AB46">
            <v>10760552443</v>
          </cell>
          <cell r="AC46">
            <v>50</v>
          </cell>
          <cell r="AD46">
            <v>60000</v>
          </cell>
          <cell r="AE46">
            <v>213442.58</v>
          </cell>
          <cell r="AF46">
            <v>6403277.4000000004</v>
          </cell>
        </row>
        <row r="47">
          <cell r="B47" t="str">
            <v>PROMOTORA DE HOTELES  MEDELLÍN S.A.</v>
          </cell>
          <cell r="C47">
            <v>4219382</v>
          </cell>
          <cell r="D47">
            <v>556743886</v>
          </cell>
          <cell r="E47">
            <v>20.852246422278125</v>
          </cell>
          <cell r="AA47">
            <v>4219382</v>
          </cell>
          <cell r="AB47">
            <v>556743886</v>
          </cell>
          <cell r="AC47">
            <v>20.852246422278125</v>
          </cell>
          <cell r="AD47">
            <v>20234664</v>
          </cell>
          <cell r="AE47">
            <v>1504.67</v>
          </cell>
          <cell r="AF47">
            <v>6348777.5139400009</v>
          </cell>
        </row>
        <row r="48">
          <cell r="B48" t="str">
            <v xml:space="preserve">METROCONCRETO </v>
          </cell>
          <cell r="I48">
            <v>10257</v>
          </cell>
          <cell r="J48">
            <v>76207504</v>
          </cell>
          <cell r="K48">
            <v>0.54732986589697907</v>
          </cell>
          <cell r="L48">
            <v>129838</v>
          </cell>
          <cell r="M48">
            <v>27234743</v>
          </cell>
          <cell r="N48">
            <v>6.9283625941632021</v>
          </cell>
          <cell r="U48">
            <v>824938</v>
          </cell>
          <cell r="V48">
            <v>3991621711</v>
          </cell>
          <cell r="W48">
            <v>44.020006328685007</v>
          </cell>
          <cell r="AA48">
            <v>965033</v>
          </cell>
          <cell r="AB48">
            <v>4095063958</v>
          </cell>
          <cell r="AC48">
            <v>51.495698788745187</v>
          </cell>
          <cell r="AD48">
            <v>1874007</v>
          </cell>
          <cell r="AE48">
            <v>6392.786199288902</v>
          </cell>
          <cell r="AF48">
            <v>6169249.6442583669</v>
          </cell>
        </row>
        <row r="49">
          <cell r="B49" t="str">
            <v>HOTEL DE PEREIRA S.A.</v>
          </cell>
          <cell r="C49">
            <v>2266468</v>
          </cell>
          <cell r="D49">
            <v>1853807379</v>
          </cell>
          <cell r="E49">
            <v>31.708924610879901</v>
          </cell>
          <cell r="AA49">
            <v>2266468</v>
          </cell>
          <cell r="AB49">
            <v>1853807379</v>
          </cell>
          <cell r="AC49">
            <v>31.708924610879901</v>
          </cell>
          <cell r="AD49">
            <v>7147729</v>
          </cell>
          <cell r="AE49">
            <v>2444.9</v>
          </cell>
          <cell r="AF49">
            <v>5541287.6131999996</v>
          </cell>
        </row>
        <row r="50">
          <cell r="B50" t="str">
            <v>TEMPO LTDA</v>
          </cell>
          <cell r="L50">
            <v>200</v>
          </cell>
          <cell r="M50">
            <v>14671159</v>
          </cell>
          <cell r="N50">
            <v>20</v>
          </cell>
          <cell r="O50">
            <v>400</v>
          </cell>
          <cell r="P50">
            <v>1716470000</v>
          </cell>
          <cell r="Q50">
            <v>40</v>
          </cell>
          <cell r="AA50">
            <v>600</v>
          </cell>
          <cell r="AB50">
            <v>1731141159</v>
          </cell>
          <cell r="AC50">
            <v>60</v>
          </cell>
          <cell r="AD50">
            <v>1000</v>
          </cell>
          <cell r="AE50">
            <v>7584495</v>
          </cell>
          <cell r="AF50">
            <v>4550697</v>
          </cell>
        </row>
        <row r="51">
          <cell r="B51" t="str">
            <v>TLC  INTERNATIONAL  LDC</v>
          </cell>
          <cell r="C51">
            <v>1</v>
          </cell>
          <cell r="D51">
            <v>2853387050</v>
          </cell>
          <cell r="E51">
            <v>5</v>
          </cell>
          <cell r="AA51">
            <v>1</v>
          </cell>
          <cell r="AB51">
            <v>2853387050</v>
          </cell>
          <cell r="AC51">
            <v>5</v>
          </cell>
          <cell r="AD51">
            <v>20</v>
          </cell>
          <cell r="AE51">
            <v>4379872.1679999996</v>
          </cell>
          <cell r="AF51">
            <v>4379872.1679999996</v>
          </cell>
        </row>
        <row r="52">
          <cell r="B52" t="str">
            <v>C O L O M B A T E S</v>
          </cell>
          <cell r="C52">
            <v>2402</v>
          </cell>
          <cell r="D52">
            <v>16230042</v>
          </cell>
          <cell r="E52">
            <v>4.3987034629259982</v>
          </cell>
          <cell r="F52">
            <v>75</v>
          </cell>
          <cell r="G52">
            <v>602525</v>
          </cell>
          <cell r="H52">
            <v>0.13734502902558282</v>
          </cell>
          <cell r="I52">
            <v>24</v>
          </cell>
          <cell r="J52">
            <v>166043</v>
          </cell>
          <cell r="K52">
            <v>4.3950409288186498E-2</v>
          </cell>
          <cell r="L52">
            <v>246</v>
          </cell>
          <cell r="M52">
            <v>138990507</v>
          </cell>
          <cell r="N52">
            <v>0.45049169520391164</v>
          </cell>
          <cell r="O52">
            <v>3126</v>
          </cell>
          <cell r="P52">
            <v>25540000</v>
          </cell>
          <cell r="Q52">
            <v>5.7245408097862907</v>
          </cell>
          <cell r="X52">
            <v>32</v>
          </cell>
          <cell r="Z52">
            <v>5.8600545717581998E-2</v>
          </cell>
          <cell r="AA52">
            <v>5905</v>
          </cell>
          <cell r="AB52">
            <v>181529117</v>
          </cell>
          <cell r="AC52">
            <v>10.813631951947551</v>
          </cell>
          <cell r="AD52">
            <v>54607</v>
          </cell>
          <cell r="AE52">
            <v>695775.03</v>
          </cell>
          <cell r="AF52">
            <v>4108551.5521499999</v>
          </cell>
        </row>
        <row r="53">
          <cell r="B53" t="str">
            <v>COLOIDALES S.A.</v>
          </cell>
          <cell r="I53">
            <v>215928</v>
          </cell>
          <cell r="J53">
            <v>3371482590</v>
          </cell>
          <cell r="K53">
            <v>24.209997578192972</v>
          </cell>
          <cell r="L53">
            <v>18804</v>
          </cell>
          <cell r="M53">
            <v>226100000</v>
          </cell>
          <cell r="N53">
            <v>2.1083175616888066</v>
          </cell>
          <cell r="O53">
            <v>222258</v>
          </cell>
          <cell r="P53">
            <v>4309430000</v>
          </cell>
          <cell r="Q53">
            <v>24.919721581888471</v>
          </cell>
          <cell r="AA53">
            <v>456990</v>
          </cell>
          <cell r="AB53">
            <v>7907012590</v>
          </cell>
          <cell r="AC53">
            <v>51.23803672177025</v>
          </cell>
          <cell r="AD53">
            <v>891896</v>
          </cell>
          <cell r="AE53">
            <v>8488</v>
          </cell>
          <cell r="AF53">
            <v>3878931.12</v>
          </cell>
        </row>
        <row r="54">
          <cell r="B54" t="str">
            <v>INDUSTRIAS ALIMENTICIAS NOEL S.A.</v>
          </cell>
          <cell r="O54">
            <v>1004366</v>
          </cell>
          <cell r="P54">
            <v>2481850000</v>
          </cell>
          <cell r="Q54">
            <v>1.6833366322976595</v>
          </cell>
          <cell r="AA54">
            <v>1004366</v>
          </cell>
          <cell r="AB54">
            <v>2481850000</v>
          </cell>
          <cell r="AC54">
            <v>1.6833366322976595</v>
          </cell>
          <cell r="AD54">
            <v>59665190</v>
          </cell>
          <cell r="AE54">
            <v>3750</v>
          </cell>
          <cell r="AF54">
            <v>3766372.5</v>
          </cell>
        </row>
        <row r="55">
          <cell r="B55" t="str">
            <v xml:space="preserve">SETAS COLOMBIANAS S.A. </v>
          </cell>
          <cell r="C55">
            <v>41418101</v>
          </cell>
          <cell r="D55">
            <v>3747266152</v>
          </cell>
          <cell r="E55">
            <v>16.139607993499936</v>
          </cell>
          <cell r="O55">
            <v>4743825</v>
          </cell>
          <cell r="P55">
            <v>1520280000</v>
          </cell>
          <cell r="Q55">
            <v>1.8485510933918683</v>
          </cell>
          <cell r="AA55">
            <v>46161926</v>
          </cell>
          <cell r="AB55">
            <v>5267546152</v>
          </cell>
          <cell r="AC55">
            <v>17.988159086891805</v>
          </cell>
          <cell r="AD55">
            <v>256623959</v>
          </cell>
          <cell r="AE55">
            <v>75.209999999999994</v>
          </cell>
          <cell r="AF55">
            <v>3471838.4544599997</v>
          </cell>
        </row>
        <row r="56">
          <cell r="B56" t="str">
            <v>D I C E N T E  LTDA.</v>
          </cell>
          <cell r="I56">
            <v>400</v>
          </cell>
          <cell r="J56">
            <v>90111376</v>
          </cell>
          <cell r="K56">
            <v>40</v>
          </cell>
          <cell r="L56">
            <v>100</v>
          </cell>
          <cell r="M56">
            <v>22060178</v>
          </cell>
          <cell r="N56">
            <v>10</v>
          </cell>
          <cell r="O56">
            <v>400</v>
          </cell>
          <cell r="P56">
            <v>92920000</v>
          </cell>
          <cell r="Q56">
            <v>40</v>
          </cell>
          <cell r="AA56">
            <v>900</v>
          </cell>
          <cell r="AB56">
            <v>205091554</v>
          </cell>
          <cell r="AC56">
            <v>90</v>
          </cell>
          <cell r="AD56">
            <v>1000</v>
          </cell>
          <cell r="AE56">
            <v>3744716</v>
          </cell>
          <cell r="AF56">
            <v>3370244.4</v>
          </cell>
        </row>
        <row r="57">
          <cell r="B57" t="str">
            <v>OCCIDENTAL DE EMPAQUES  S.A.</v>
          </cell>
          <cell r="C57">
            <v>1075500</v>
          </cell>
          <cell r="D57">
            <v>134612672</v>
          </cell>
          <cell r="E57">
            <v>49.791666666666664</v>
          </cell>
          <cell r="I57">
            <v>2250</v>
          </cell>
          <cell r="J57">
            <v>2222598</v>
          </cell>
          <cell r="K57">
            <v>0.10416666666666667</v>
          </cell>
          <cell r="L57">
            <v>2250</v>
          </cell>
          <cell r="M57">
            <v>3019520</v>
          </cell>
          <cell r="N57">
            <v>0.10416666666666667</v>
          </cell>
          <cell r="AA57">
            <v>1080000</v>
          </cell>
          <cell r="AB57">
            <v>139854790</v>
          </cell>
          <cell r="AC57">
            <v>49.999999999999993</v>
          </cell>
          <cell r="AD57">
            <v>2160000</v>
          </cell>
          <cell r="AE57">
            <v>2820.56</v>
          </cell>
          <cell r="AF57">
            <v>3046204.8</v>
          </cell>
        </row>
        <row r="58">
          <cell r="B58" t="str">
            <v>PROYECTO ENERGÉTICO DEL CAUCA S.A..</v>
          </cell>
          <cell r="O58">
            <v>20776</v>
          </cell>
          <cell r="Q58">
            <v>2.0775999999999999</v>
          </cell>
          <cell r="AA58">
            <v>20776</v>
          </cell>
          <cell r="AB58">
            <v>0</v>
          </cell>
          <cell r="AC58">
            <v>2.0775999999999999</v>
          </cell>
          <cell r="AD58">
            <v>1000000</v>
          </cell>
          <cell r="AE58">
            <v>144397.3815941471</v>
          </cell>
          <cell r="AF58">
            <v>3000000</v>
          </cell>
        </row>
        <row r="59">
          <cell r="B59" t="str">
            <v>ETERNIT PACIFICO  S.A.</v>
          </cell>
          <cell r="C59">
            <v>806313</v>
          </cell>
          <cell r="D59">
            <v>1099479189</v>
          </cell>
          <cell r="E59">
            <v>15.976949020622671</v>
          </cell>
          <cell r="AA59">
            <v>806313</v>
          </cell>
          <cell r="AB59">
            <v>1099479189</v>
          </cell>
          <cell r="AC59">
            <v>15.976949020622671</v>
          </cell>
          <cell r="AD59">
            <v>5046727</v>
          </cell>
          <cell r="AE59">
            <v>3701.07</v>
          </cell>
          <cell r="AF59">
            <v>2984220.8549100002</v>
          </cell>
        </row>
        <row r="60">
          <cell r="B60" t="str">
            <v>REFORESTADORA EL GUASIMO</v>
          </cell>
          <cell r="C60">
            <v>21433751</v>
          </cell>
          <cell r="D60">
            <v>225279169</v>
          </cell>
          <cell r="E60">
            <v>7.5756098579926006</v>
          </cell>
          <cell r="K60">
            <v>0</v>
          </cell>
          <cell r="L60">
            <v>1761591</v>
          </cell>
          <cell r="M60">
            <v>4615047</v>
          </cell>
          <cell r="N60">
            <v>0.62262205739681498</v>
          </cell>
          <cell r="AA60">
            <v>23195342</v>
          </cell>
          <cell r="AB60">
            <v>229894216</v>
          </cell>
          <cell r="AC60">
            <v>8.1982319153894156</v>
          </cell>
          <cell r="AD60">
            <v>282931030</v>
          </cell>
          <cell r="AE60">
            <v>118.37</v>
          </cell>
          <cell r="AF60">
            <v>2745632.6325400001</v>
          </cell>
        </row>
        <row r="61">
          <cell r="B61" t="str">
            <v>REFORESTADORA DEL CARIBE S.A.</v>
          </cell>
          <cell r="F61">
            <v>217244</v>
          </cell>
          <cell r="G61">
            <v>211858747</v>
          </cell>
          <cell r="H61">
            <v>43.448799999999999</v>
          </cell>
          <cell r="R61">
            <v>148000</v>
          </cell>
          <cell r="S61">
            <v>191696345</v>
          </cell>
          <cell r="T61">
            <v>29.599999999999998</v>
          </cell>
          <cell r="X61">
            <v>72443</v>
          </cell>
          <cell r="Z61">
            <v>14.488599999999998</v>
          </cell>
          <cell r="AA61">
            <v>437687</v>
          </cell>
          <cell r="AB61">
            <v>403555092</v>
          </cell>
          <cell r="AC61">
            <v>87.537399999999991</v>
          </cell>
          <cell r="AD61">
            <v>500000</v>
          </cell>
          <cell r="AE61">
            <v>5921.1301531918025</v>
          </cell>
          <cell r="AF61">
            <v>2591601.6933600609</v>
          </cell>
        </row>
        <row r="62">
          <cell r="B62" t="str">
            <v>DISTRIBUÍDORA COL. DE CEMENTO S.A.</v>
          </cell>
          <cell r="F62">
            <v>133067</v>
          </cell>
          <cell r="G62">
            <v>2236821227</v>
          </cell>
          <cell r="H62">
            <v>66.533500000000004</v>
          </cell>
          <cell r="X62">
            <v>66733</v>
          </cell>
          <cell r="Z62">
            <v>33.366500000000002</v>
          </cell>
          <cell r="AA62">
            <v>199800</v>
          </cell>
          <cell r="AB62">
            <v>2236821227</v>
          </cell>
          <cell r="AC62">
            <v>99.9</v>
          </cell>
          <cell r="AD62">
            <v>200000</v>
          </cell>
          <cell r="AE62">
            <v>12505.14</v>
          </cell>
          <cell r="AF62">
            <v>2498526.9720000001</v>
          </cell>
        </row>
        <row r="63">
          <cell r="B63" t="str">
            <v>TRANSATLANTIC CEMENT CARRIER</v>
          </cell>
          <cell r="F63">
            <v>4800</v>
          </cell>
          <cell r="G63">
            <v>527369979</v>
          </cell>
          <cell r="H63">
            <v>48</v>
          </cell>
          <cell r="AA63">
            <v>4800</v>
          </cell>
          <cell r="AB63">
            <v>527369979</v>
          </cell>
          <cell r="AC63">
            <v>48</v>
          </cell>
          <cell r="AD63">
            <v>10000</v>
          </cell>
          <cell r="AE63">
            <v>501552.01583333331</v>
          </cell>
          <cell r="AF63">
            <v>2407449.676</v>
          </cell>
        </row>
        <row r="64">
          <cell r="B64" t="str">
            <v xml:space="preserve">VIAS EN HORMIGON S.A.   </v>
          </cell>
          <cell r="C64">
            <v>638000</v>
          </cell>
          <cell r="D64">
            <v>659145939</v>
          </cell>
          <cell r="E64">
            <v>28.999999999999996</v>
          </cell>
          <cell r="I64">
            <v>638000</v>
          </cell>
          <cell r="J64">
            <v>765633028</v>
          </cell>
          <cell r="K64">
            <v>28.999999999999996</v>
          </cell>
          <cell r="L64">
            <v>220000</v>
          </cell>
          <cell r="M64">
            <v>263104800</v>
          </cell>
          <cell r="N64">
            <v>10</v>
          </cell>
          <cell r="U64">
            <v>638000</v>
          </cell>
          <cell r="V64">
            <v>629601310</v>
          </cell>
          <cell r="W64">
            <v>28.999999999999996</v>
          </cell>
          <cell r="AA64">
            <v>2134000</v>
          </cell>
          <cell r="AB64">
            <v>2317485077</v>
          </cell>
          <cell r="AC64">
            <v>97</v>
          </cell>
          <cell r="AD64">
            <v>2200000</v>
          </cell>
          <cell r="AE64">
            <v>1013.91</v>
          </cell>
          <cell r="AF64">
            <v>2163683.94</v>
          </cell>
        </row>
        <row r="65">
          <cell r="B65" t="str">
            <v>D I S C E M E N T O</v>
          </cell>
          <cell r="F65">
            <v>32500</v>
          </cell>
          <cell r="G65">
            <v>343295773</v>
          </cell>
          <cell r="H65">
            <v>65</v>
          </cell>
          <cell r="L65">
            <v>20</v>
          </cell>
          <cell r="M65">
            <v>73358</v>
          </cell>
          <cell r="N65">
            <v>0.04</v>
          </cell>
          <cell r="X65">
            <v>15000</v>
          </cell>
          <cell r="Z65">
            <v>30</v>
          </cell>
          <cell r="AA65">
            <v>47520</v>
          </cell>
          <cell r="AB65">
            <v>343369131</v>
          </cell>
          <cell r="AC65">
            <v>95.04</v>
          </cell>
          <cell r="AD65">
            <v>50000</v>
          </cell>
          <cell r="AE65">
            <v>43725.7</v>
          </cell>
          <cell r="AF65">
            <v>2077845.2639999997</v>
          </cell>
        </row>
        <row r="66">
          <cell r="B66" t="str">
            <v>PROMOTORA NAL. DE ZONAS FRANCAS S.A.</v>
          </cell>
          <cell r="C66">
            <v>63940688</v>
          </cell>
          <cell r="D66">
            <v>923277448</v>
          </cell>
          <cell r="E66">
            <v>16.7686451487262</v>
          </cell>
          <cell r="O66" t="str">
            <v/>
          </cell>
          <cell r="AA66">
            <v>63940688</v>
          </cell>
          <cell r="AB66">
            <v>923277448</v>
          </cell>
          <cell r="AC66">
            <v>16.7686451487262</v>
          </cell>
          <cell r="AD66">
            <v>381310997</v>
          </cell>
          <cell r="AE66">
            <v>26.54</v>
          </cell>
          <cell r="AF66">
            <v>1696985.8595199999</v>
          </cell>
        </row>
        <row r="67">
          <cell r="B67" t="str">
            <v>URBANIZADORA VILLA SANTOS LTDA</v>
          </cell>
          <cell r="F67">
            <v>9000</v>
          </cell>
          <cell r="G67">
            <v>781801221</v>
          </cell>
          <cell r="H67">
            <v>90</v>
          </cell>
          <cell r="AA67">
            <v>9000</v>
          </cell>
          <cell r="AB67">
            <v>781801221</v>
          </cell>
          <cell r="AC67">
            <v>90</v>
          </cell>
          <cell r="AD67">
            <v>10000</v>
          </cell>
          <cell r="AE67">
            <v>176113.63</v>
          </cell>
          <cell r="AF67">
            <v>1585022.67</v>
          </cell>
        </row>
        <row r="68">
          <cell r="B68" t="str">
            <v xml:space="preserve">C O N C R E N A L   </v>
          </cell>
          <cell r="D68">
            <v>0</v>
          </cell>
          <cell r="L68">
            <v>400000</v>
          </cell>
          <cell r="M68">
            <v>1076206578</v>
          </cell>
          <cell r="N68">
            <v>6.666666666666667</v>
          </cell>
          <cell r="O68">
            <v>800000</v>
          </cell>
          <cell r="P68">
            <v>1106300000</v>
          </cell>
          <cell r="Q68">
            <v>13.333333333333334</v>
          </cell>
          <cell r="U68">
            <v>600000</v>
          </cell>
          <cell r="V68">
            <v>50179509</v>
          </cell>
          <cell r="W68">
            <v>10</v>
          </cell>
          <cell r="AA68">
            <v>1800000</v>
          </cell>
          <cell r="AB68">
            <v>2232686087</v>
          </cell>
          <cell r="AC68">
            <v>30</v>
          </cell>
          <cell r="AD68">
            <v>6000000</v>
          </cell>
          <cell r="AE68">
            <v>878.47</v>
          </cell>
          <cell r="AF68">
            <v>1581246</v>
          </cell>
        </row>
        <row r="69">
          <cell r="B69" t="str">
            <v>ANTIOQUIA CELULAR  S.A. - ANCEL</v>
          </cell>
          <cell r="C69">
            <v>471212</v>
          </cell>
          <cell r="D69">
            <v>1376094451</v>
          </cell>
          <cell r="E69">
            <v>3.1306979976533653</v>
          </cell>
          <cell r="AA69">
            <v>471212</v>
          </cell>
          <cell r="AB69">
            <v>1376094451</v>
          </cell>
          <cell r="AC69">
            <v>3.1306979976533653</v>
          </cell>
          <cell r="AD69">
            <v>15051340</v>
          </cell>
          <cell r="AE69">
            <v>3175.11</v>
          </cell>
          <cell r="AF69">
            <v>1496149.9333200001</v>
          </cell>
        </row>
        <row r="70">
          <cell r="B70" t="str">
            <v>C E M C A R</v>
          </cell>
          <cell r="R70">
            <v>202335</v>
          </cell>
          <cell r="S70">
            <v>881425724</v>
          </cell>
          <cell r="T70">
            <v>90.826046361302133</v>
          </cell>
          <cell r="AA70">
            <v>202335</v>
          </cell>
          <cell r="AB70">
            <v>881425724</v>
          </cell>
          <cell r="AC70">
            <v>90.826046361302133</v>
          </cell>
          <cell r="AD70">
            <v>222772</v>
          </cell>
          <cell r="AE70">
            <v>6613.0649022660436</v>
          </cell>
          <cell r="AF70">
            <v>1338054.487</v>
          </cell>
        </row>
        <row r="71">
          <cell r="B71" t="str">
            <v>CANTERAS  DE COLOMBIA S.A.</v>
          </cell>
          <cell r="C71">
            <v>50000</v>
          </cell>
          <cell r="D71">
            <v>54549428</v>
          </cell>
          <cell r="E71">
            <v>50</v>
          </cell>
          <cell r="AA71">
            <v>50000</v>
          </cell>
          <cell r="AB71">
            <v>54549428</v>
          </cell>
          <cell r="AC71">
            <v>50</v>
          </cell>
          <cell r="AD71">
            <v>100000</v>
          </cell>
          <cell r="AE71">
            <v>24188.41</v>
          </cell>
          <cell r="AF71">
            <v>1209420.5</v>
          </cell>
        </row>
        <row r="72">
          <cell r="B72" t="str">
            <v>SUCROMILES S.A.</v>
          </cell>
          <cell r="O72">
            <v>8716</v>
          </cell>
          <cell r="P72">
            <v>55610000</v>
          </cell>
          <cell r="Q72">
            <v>1.3206060606060606</v>
          </cell>
          <cell r="AA72">
            <v>8716</v>
          </cell>
          <cell r="AB72">
            <v>55610000</v>
          </cell>
          <cell r="AC72">
            <v>1.3206060606060606</v>
          </cell>
          <cell r="AD72">
            <v>660000</v>
          </cell>
          <cell r="AE72">
            <v>131219.81</v>
          </cell>
          <cell r="AF72">
            <v>1143711.86396</v>
          </cell>
        </row>
        <row r="73">
          <cell r="B73" t="str">
            <v>TRANSMETANO</v>
          </cell>
          <cell r="C73">
            <v>31764859</v>
          </cell>
          <cell r="D73">
            <v>1347539600</v>
          </cell>
          <cell r="E73">
            <v>2.1665026312589646</v>
          </cell>
          <cell r="AA73">
            <v>31764859</v>
          </cell>
          <cell r="AB73">
            <v>1347539600</v>
          </cell>
          <cell r="AC73">
            <v>2.1665026312589646</v>
          </cell>
          <cell r="AD73">
            <v>1466181418</v>
          </cell>
          <cell r="AE73">
            <v>27.03</v>
          </cell>
          <cell r="AF73">
            <v>858604.13876999996</v>
          </cell>
        </row>
        <row r="74">
          <cell r="B74" t="str">
            <v>PROELECTRICA S.A.</v>
          </cell>
          <cell r="R74">
            <v>25008</v>
          </cell>
          <cell r="S74">
            <v>307151058</v>
          </cell>
          <cell r="T74">
            <v>13.770015197233661</v>
          </cell>
          <cell r="AA74">
            <v>25008</v>
          </cell>
          <cell r="AB74">
            <v>307151058</v>
          </cell>
          <cell r="AC74">
            <v>13.770015197233661</v>
          </cell>
          <cell r="AD74">
            <v>181612</v>
          </cell>
          <cell r="AE74">
            <v>32861.78</v>
          </cell>
          <cell r="AF74">
            <v>821807.39424000005</v>
          </cell>
        </row>
        <row r="75">
          <cell r="B75" t="str">
            <v>SOCIEDAD REGIONAL DE BUENAVENTURA</v>
          </cell>
          <cell r="I75">
            <v>34715</v>
          </cell>
          <cell r="J75">
            <v>26364319</v>
          </cell>
          <cell r="K75">
            <v>0.19800252158763632</v>
          </cell>
          <cell r="L75">
            <v>59002</v>
          </cell>
          <cell r="M75">
            <v>137360463</v>
          </cell>
          <cell r="N75">
            <v>0.33652728730271403</v>
          </cell>
          <cell r="O75">
            <v>176321</v>
          </cell>
          <cell r="P75">
            <v>81547000</v>
          </cell>
          <cell r="Q75">
            <v>1.0056748555049293</v>
          </cell>
          <cell r="AA75">
            <v>270038</v>
          </cell>
          <cell r="AB75">
            <v>245271782</v>
          </cell>
          <cell r="AC75">
            <v>1.5402046643952796</v>
          </cell>
          <cell r="AD75">
            <v>17532605</v>
          </cell>
          <cell r="AE75">
            <v>3020.01</v>
          </cell>
          <cell r="AF75">
            <v>815517.46038000006</v>
          </cell>
        </row>
        <row r="76">
          <cell r="B76" t="str">
            <v>PIEDRAS Y DERIVADOS</v>
          </cell>
          <cell r="C76">
            <v>99868</v>
          </cell>
          <cell r="D76">
            <v>771858924</v>
          </cell>
          <cell r="E76">
            <v>76.947021296267764</v>
          </cell>
          <cell r="L76">
            <v>650</v>
          </cell>
          <cell r="N76">
            <v>0.50081671649150916</v>
          </cell>
          <cell r="U76">
            <v>1663</v>
          </cell>
          <cell r="V76">
            <v>564483</v>
          </cell>
          <cell r="W76">
            <v>1.2813203069621228</v>
          </cell>
          <cell r="AA76">
            <v>102181</v>
          </cell>
          <cell r="AB76">
            <v>772423407</v>
          </cell>
          <cell r="AC76">
            <v>78.729158319721407</v>
          </cell>
          <cell r="AD76">
            <v>129788</v>
          </cell>
          <cell r="AE76">
            <v>6733.75</v>
          </cell>
          <cell r="AF76">
            <v>688061.30874999997</v>
          </cell>
        </row>
        <row r="77">
          <cell r="B77" t="str">
            <v xml:space="preserve">TABLEROS Y MADERAS DE CALDAS S.A. </v>
          </cell>
          <cell r="C77">
            <v>81866333</v>
          </cell>
          <cell r="D77">
            <v>1769370098</v>
          </cell>
          <cell r="E77">
            <v>5.3180679208482795</v>
          </cell>
          <cell r="L77">
            <v>29462347</v>
          </cell>
          <cell r="M77">
            <v>834366909</v>
          </cell>
          <cell r="N77">
            <v>1.9138851920190505</v>
          </cell>
          <cell r="AA77">
            <v>111328680</v>
          </cell>
          <cell r="AB77">
            <v>2603737007</v>
          </cell>
          <cell r="AC77">
            <v>7.2319531128673304</v>
          </cell>
          <cell r="AD77">
            <v>1539399914</v>
          </cell>
          <cell r="AE77">
            <v>6.01</v>
          </cell>
          <cell r="AF77">
            <v>669085.36679999996</v>
          </cell>
        </row>
        <row r="78">
          <cell r="B78" t="str">
            <v>CORP. FINANCIERA COLOMBIANA  S.A.</v>
          </cell>
          <cell r="F78">
            <v>1176367</v>
          </cell>
          <cell r="G78">
            <v>363598916</v>
          </cell>
          <cell r="H78">
            <v>0.6031173737272939</v>
          </cell>
          <cell r="AA78">
            <v>1176367</v>
          </cell>
          <cell r="AB78">
            <v>363598916</v>
          </cell>
          <cell r="AC78">
            <v>0.6031173737272939</v>
          </cell>
          <cell r="AD78">
            <v>195047772</v>
          </cell>
          <cell r="AE78">
            <v>514.0199997109745</v>
          </cell>
          <cell r="AF78">
            <v>604676.16500000004</v>
          </cell>
        </row>
        <row r="79">
          <cell r="B79" t="str">
            <v>PREDIOS DEL SUR</v>
          </cell>
          <cell r="C79">
            <v>401065661</v>
          </cell>
          <cell r="D79">
            <v>484335980</v>
          </cell>
          <cell r="E79">
            <v>5.2186049218975628</v>
          </cell>
          <cell r="AA79">
            <v>401065661</v>
          </cell>
          <cell r="AB79">
            <v>484335980</v>
          </cell>
          <cell r="AC79">
            <v>5.2186049218975628</v>
          </cell>
          <cell r="AD79">
            <v>7685304157</v>
          </cell>
          <cell r="AE79">
            <v>1.43</v>
          </cell>
          <cell r="AF79">
            <v>573523.89523000002</v>
          </cell>
        </row>
        <row r="80">
          <cell r="B80" t="str">
            <v>MERILECTRICA, 1 S.A. &amp; CIA, SCA, ESP.</v>
          </cell>
          <cell r="C80">
            <v>419919</v>
          </cell>
          <cell r="D80">
            <v>277681050</v>
          </cell>
          <cell r="E80">
            <v>4.950027495634</v>
          </cell>
          <cell r="AA80">
            <v>419919</v>
          </cell>
          <cell r="AB80">
            <v>277681050</v>
          </cell>
          <cell r="AC80">
            <v>4.950027495634</v>
          </cell>
          <cell r="AD80">
            <v>8483165</v>
          </cell>
          <cell r="AE80">
            <v>1336.79</v>
          </cell>
          <cell r="AF80">
            <v>561343.52000999998</v>
          </cell>
        </row>
        <row r="81">
          <cell r="B81" t="str">
            <v>CARBONES NECHI  LTDA.</v>
          </cell>
          <cell r="O81">
            <v>29900</v>
          </cell>
          <cell r="P81">
            <v>455990000</v>
          </cell>
          <cell r="Q81">
            <v>46</v>
          </cell>
          <cell r="AA81">
            <v>29900</v>
          </cell>
          <cell r="AB81">
            <v>455990000</v>
          </cell>
          <cell r="AC81">
            <v>46</v>
          </cell>
          <cell r="AD81">
            <v>65000</v>
          </cell>
          <cell r="AE81">
            <v>18755.886287625421</v>
          </cell>
          <cell r="AF81">
            <v>560801.00000000012</v>
          </cell>
        </row>
        <row r="82">
          <cell r="B82" t="str">
            <v xml:space="preserve">S U I N M O B I  L I A R I A </v>
          </cell>
          <cell r="C82">
            <v>5003884</v>
          </cell>
          <cell r="D82">
            <v>2904114036</v>
          </cell>
          <cell r="E82">
            <v>17.705633550844514</v>
          </cell>
          <cell r="AA82">
            <v>5003884</v>
          </cell>
          <cell r="AB82">
            <v>2904114036</v>
          </cell>
          <cell r="AC82">
            <v>17.705633550844514</v>
          </cell>
          <cell r="AD82">
            <v>28261536</v>
          </cell>
          <cell r="AE82">
            <v>102.26</v>
          </cell>
          <cell r="AF82">
            <v>511697.17784000002</v>
          </cell>
        </row>
        <row r="83">
          <cell r="B83" t="str">
            <v>FLOTA FLUVIAL CARBONERA LTDA</v>
          </cell>
          <cell r="F83">
            <v>247745</v>
          </cell>
          <cell r="G83">
            <v>442097095</v>
          </cell>
          <cell r="H83">
            <v>41.290833333333332</v>
          </cell>
          <cell r="X83">
            <v>4510</v>
          </cell>
          <cell r="Z83">
            <v>0.75166666666666659</v>
          </cell>
          <cell r="AA83">
            <v>252255</v>
          </cell>
          <cell r="AB83">
            <v>442097095</v>
          </cell>
          <cell r="AC83">
            <v>42.042499999999997</v>
          </cell>
          <cell r="AD83">
            <v>600000</v>
          </cell>
          <cell r="AE83">
            <v>1886.1599991927183</v>
          </cell>
          <cell r="AF83">
            <v>475793.29059635912</v>
          </cell>
        </row>
        <row r="84">
          <cell r="B84" t="str">
            <v>PROCARBON DE OCCIDENTE</v>
          </cell>
          <cell r="O84">
            <v>1139924</v>
          </cell>
          <cell r="P84">
            <v>397410000</v>
          </cell>
          <cell r="Q84">
            <v>19.405703273824219</v>
          </cell>
          <cell r="AA84">
            <v>1139924</v>
          </cell>
          <cell r="AB84">
            <v>397410000</v>
          </cell>
          <cell r="AC84">
            <v>19.405703273824219</v>
          </cell>
          <cell r="AD84">
            <v>5874170</v>
          </cell>
          <cell r="AE84">
            <v>414.68</v>
          </cell>
          <cell r="AF84">
            <v>472703.68432</v>
          </cell>
        </row>
        <row r="85">
          <cell r="B85" t="str">
            <v>SOC. COL. DE TRANSP. FERROVIARIO  S.A.</v>
          </cell>
          <cell r="C85">
            <v>3330709</v>
          </cell>
          <cell r="D85">
            <v>440453773</v>
          </cell>
          <cell r="E85">
            <v>2.5795680192887689</v>
          </cell>
          <cell r="F85">
            <v>2715000</v>
          </cell>
          <cell r="G85">
            <v>403905064</v>
          </cell>
          <cell r="H85">
            <v>2.1027136181422659</v>
          </cell>
          <cell r="K85">
            <v>0</v>
          </cell>
          <cell r="AA85">
            <v>6045709</v>
          </cell>
          <cell r="AB85">
            <v>844358837</v>
          </cell>
          <cell r="AC85">
            <v>4.6822816374310348</v>
          </cell>
          <cell r="AD85">
            <v>129118867</v>
          </cell>
          <cell r="AE85">
            <v>76.09</v>
          </cell>
          <cell r="AF85">
            <v>460017.99781000003</v>
          </cell>
        </row>
        <row r="86">
          <cell r="B86" t="str">
            <v>SOC. AGREGADOS CALCAREOS  LTDA</v>
          </cell>
          <cell r="L86">
            <v>4000</v>
          </cell>
          <cell r="M86">
            <v>9660094</v>
          </cell>
          <cell r="N86">
            <v>10</v>
          </cell>
          <cell r="O86">
            <v>16400</v>
          </cell>
          <cell r="P86">
            <v>54660000</v>
          </cell>
          <cell r="Q86">
            <v>41</v>
          </cell>
          <cell r="AA86">
            <v>20400</v>
          </cell>
          <cell r="AB86">
            <v>64320094</v>
          </cell>
          <cell r="AC86">
            <v>51</v>
          </cell>
          <cell r="AD86">
            <v>40000</v>
          </cell>
          <cell r="AE86">
            <v>21230.914634146342</v>
          </cell>
          <cell r="AF86">
            <v>433110.6585365854</v>
          </cell>
        </row>
        <row r="87">
          <cell r="B87" t="str">
            <v>CORPORACIÓN FINANCIERA DEL NORTE  S.A.</v>
          </cell>
          <cell r="F87">
            <v>3126483</v>
          </cell>
          <cell r="G87">
            <v>205850865</v>
          </cell>
          <cell r="H87">
            <v>2.5</v>
          </cell>
          <cell r="R87">
            <v>354540</v>
          </cell>
          <cell r="S87">
            <v>32102701</v>
          </cell>
          <cell r="T87">
            <v>0.28349746344374815</v>
          </cell>
          <cell r="AA87">
            <v>3481023</v>
          </cell>
          <cell r="AB87">
            <v>237953566</v>
          </cell>
          <cell r="AC87">
            <v>2.7834974634437479</v>
          </cell>
          <cell r="AD87">
            <v>125059320</v>
          </cell>
          <cell r="AE87">
            <v>116.58303563460925</v>
          </cell>
          <cell r="AF87">
            <v>405828.22845389438</v>
          </cell>
        </row>
        <row r="88">
          <cell r="B88" t="str">
            <v>ETERNIT ATLANTICO S.A.</v>
          </cell>
          <cell r="C88">
            <v>86753</v>
          </cell>
          <cell r="D88">
            <v>8684294</v>
          </cell>
          <cell r="E88">
            <v>1.4394862564098478</v>
          </cell>
          <cell r="AA88">
            <v>86753</v>
          </cell>
          <cell r="AB88">
            <v>8684294</v>
          </cell>
          <cell r="AC88">
            <v>1.4394862564098478</v>
          </cell>
          <cell r="AD88">
            <v>6026664</v>
          </cell>
          <cell r="AE88">
            <v>4331.63</v>
          </cell>
          <cell r="AF88">
            <v>375781.89739</v>
          </cell>
        </row>
        <row r="89">
          <cell r="B89" t="str">
            <v>OTRAS INVERSIONES</v>
          </cell>
          <cell r="AF89">
            <v>3797976.3994258554</v>
          </cell>
        </row>
        <row r="90">
          <cell r="B90" t="str">
            <v>SUBTOTAL</v>
          </cell>
          <cell r="AF90">
            <v>1046250103.3587524</v>
          </cell>
        </row>
        <row r="91">
          <cell r="B91" t="str">
            <v>T O T A L</v>
          </cell>
          <cell r="AF91">
            <v>2572809243.9527526</v>
          </cell>
        </row>
        <row r="92">
          <cell r="B92" t="str">
            <v>(*) VALORIZADAS A VALOR INTRINSECO, SEGÚN CIRCULAR EXTERNA No. 001 DE 1996 DE LA SUPERINTENDENCIA DE VALORES.</v>
          </cell>
        </row>
        <row r="100">
          <cell r="B100" t="str">
            <v>ALMACENES ÉXITO</v>
          </cell>
          <cell r="D100">
            <v>0</v>
          </cell>
          <cell r="O100">
            <v>76975</v>
          </cell>
          <cell r="P100">
            <v>0</v>
          </cell>
          <cell r="Q100">
            <v>4.0451435178820383E-2</v>
          </cell>
          <cell r="AA100">
            <v>76975</v>
          </cell>
          <cell r="AB100">
            <v>0</v>
          </cell>
          <cell r="AC100">
            <v>4.0451435178820383E-2</v>
          </cell>
          <cell r="AD100">
            <v>190289911</v>
          </cell>
          <cell r="AE100">
            <v>4500</v>
          </cell>
          <cell r="AF100">
            <v>346387.5</v>
          </cell>
        </row>
        <row r="101">
          <cell r="B101" t="str">
            <v>INGENIO LA CABAÑA</v>
          </cell>
          <cell r="O101">
            <v>16204</v>
          </cell>
          <cell r="P101">
            <v>1000000000</v>
          </cell>
          <cell r="Q101">
            <v>0.13999999999999999</v>
          </cell>
          <cell r="AA101">
            <v>16204</v>
          </cell>
          <cell r="AB101">
            <v>1000000000</v>
          </cell>
          <cell r="AC101">
            <v>0.13999999999999999</v>
          </cell>
          <cell r="AD101">
            <v>11574285.714285715</v>
          </cell>
          <cell r="AE101">
            <v>15527.59</v>
          </cell>
          <cell r="AF101">
            <v>251609.06836</v>
          </cell>
        </row>
        <row r="102">
          <cell r="B102" t="str">
            <v>ACERIAS PAZ DEL RIO S.A.</v>
          </cell>
          <cell r="O102">
            <v>9006666</v>
          </cell>
          <cell r="P102">
            <v>219780000</v>
          </cell>
          <cell r="Q102">
            <v>9.4555037793220276E-2</v>
          </cell>
          <cell r="AA102">
            <v>9006666</v>
          </cell>
          <cell r="AB102">
            <v>219780000</v>
          </cell>
          <cell r="AC102">
            <v>9.4555037793220276E-2</v>
          </cell>
          <cell r="AD102">
            <v>9525315848</v>
          </cell>
          <cell r="AE102">
            <v>22.31</v>
          </cell>
          <cell r="AF102">
            <v>200938.71845999997</v>
          </cell>
        </row>
        <row r="103">
          <cell r="B103" t="str">
            <v>PROMOTORA PROY. DEL SUROCCIDENTE S.A.</v>
          </cell>
          <cell r="C103">
            <v>191000</v>
          </cell>
          <cell r="D103">
            <v>274705370</v>
          </cell>
          <cell r="E103">
            <v>20</v>
          </cell>
          <cell r="O103">
            <v>382000</v>
          </cell>
          <cell r="P103">
            <v>706810000</v>
          </cell>
          <cell r="Q103">
            <v>40</v>
          </cell>
          <cell r="AA103">
            <v>573000</v>
          </cell>
          <cell r="AB103">
            <v>981515370</v>
          </cell>
          <cell r="AC103">
            <v>60</v>
          </cell>
          <cell r="AD103">
            <v>955000</v>
          </cell>
          <cell r="AE103">
            <v>342.98</v>
          </cell>
          <cell r="AF103">
            <v>196527.54</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GOTA"/>
      <sheetName val="resumen-mes"/>
      <sheetName val="resumen"/>
      <sheetName val="INVERGPO"/>
      <sheetName val="EMPAQUE"/>
      <sheetName val="Datos"/>
      <sheetName val="Detalle Viaje"/>
      <sheetName val="ResumenViaje"/>
      <sheetName val="VISA"/>
      <sheetName val="AMEX"/>
      <sheetName val="CtaAhorros"/>
      <sheetName val="CtaAhoEDA"/>
      <sheetName val="VisaNew"/>
      <sheetName val="Listas"/>
      <sheetName val="Sheet1"/>
      <sheetName val="Hoja de parametros"/>
      <sheetName val="centros planif"/>
      <sheetName val="Priorid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ERI"/>
      <sheetName val="Listas"/>
    </sheetNames>
    <sheetDataSet>
      <sheetData sheetId="0"/>
      <sheetData sheetId="1">
        <row r="2">
          <cell r="A2" t="str">
            <v>Natural</v>
          </cell>
        </row>
        <row r="3">
          <cell r="A3" t="str">
            <v>Miles</v>
          </cell>
        </row>
        <row r="4">
          <cell r="A4" t="str">
            <v>Millones</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 1999"/>
      <sheetName val="Total org."/>
      <sheetName val="Por destino"/>
      <sheetName val="Negocio con Corfin."/>
      <sheetName val="Alt. 2"/>
      <sheetName val="Alt. 1"/>
      <sheetName val="Ofreci."/>
      <sheetName val="Hospital"/>
      <sheetName val="Hospital 2"/>
      <sheetName val="Flujo"/>
      <sheetName val="Coltabaco"/>
      <sheetName val="Corfinsura"/>
      <sheetName val="Chocolates"/>
      <sheetName val="Sura"/>
    </sheetNames>
    <sheetDataSet>
      <sheetData sheetId="0" refreshError="1">
        <row r="7">
          <cell r="AF7">
            <v>537064634.25182045</v>
          </cell>
        </row>
        <row r="8">
          <cell r="AF8">
            <v>241799904.07949999</v>
          </cell>
        </row>
        <row r="9">
          <cell r="AF9">
            <v>225743747.66940001</v>
          </cell>
        </row>
        <row r="10">
          <cell r="AF10">
            <v>203089101.99944001</v>
          </cell>
        </row>
        <row r="11">
          <cell r="AF11">
            <v>186070040.62151998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ido"/>
      <sheetName val="PYG GA cons. (2)"/>
      <sheetName val="Segmentos Sep"/>
      <sheetName val="PYG GA "/>
      <sheetName val="PYG GA cons."/>
      <sheetName val="MPP sep"/>
      <sheetName val="MPP cons"/>
      <sheetName val="Explicación pres. mens"/>
      <sheetName val="Presup. cons trim."/>
      <sheetName val="Explicación pres. 2Q"/>
      <sheetName val="MPP cons (2)"/>
      <sheetName val="MPP sep (2)"/>
      <sheetName val="Imp. Renta TasaEfec"/>
      <sheetName val="Imp. Renta"/>
      <sheetName val="BG GA cons"/>
      <sheetName val="BG GA separado "/>
      <sheetName val="ORI GA cons"/>
      <sheetName val="Adm.Sep"/>
      <sheetName val="Adm.cias.Sep"/>
      <sheetName val="Otros.Sep"/>
      <sheetName val="Otros.cias.Sep"/>
      <sheetName val="PYG Cementos Sep"/>
      <sheetName val="PYG Celsia Sep"/>
      <sheetName val="PYG Odinsa Sep"/>
      <sheetName val="Anexo financiero Sep"/>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customProperty" Target="../customProperty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17.bin"/><Relationship Id="rId1" Type="http://schemas.openxmlformats.org/officeDocument/2006/relationships/customProperty" Target="../customProperty16.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20.bin"/><Relationship Id="rId1" Type="http://schemas.openxmlformats.org/officeDocument/2006/relationships/customProperty" Target="../customProperty19.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customProperty" Target="../customProperty21.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7" Type="http://schemas.openxmlformats.org/officeDocument/2006/relationships/comments" Target="../comments7.xml"/><Relationship Id="rId2" Type="http://schemas.openxmlformats.org/officeDocument/2006/relationships/customProperty" Target="../customProperty22.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3.xml"/><Relationship Id="rId4"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4.xml"/><Relationship Id="rId7" Type="http://schemas.openxmlformats.org/officeDocument/2006/relationships/comments" Target="../comments8.xml"/><Relationship Id="rId2" Type="http://schemas.openxmlformats.org/officeDocument/2006/relationships/customProperty" Target="../customProperty23.bin"/><Relationship Id="rId1" Type="http://schemas.openxmlformats.org/officeDocument/2006/relationships/printerSettings" Target="../printerSettings/printerSettings3.bin"/><Relationship Id="rId6" Type="http://schemas.openxmlformats.org/officeDocument/2006/relationships/image" Target="../media/image2.emf"/><Relationship Id="rId5" Type="http://schemas.openxmlformats.org/officeDocument/2006/relationships/control" Target="../activeX/activeX4.xml"/><Relationship Id="rId4"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customProperty" Target="../customProperty24.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customProperty" Target="../customProperty26.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customProperty" Target="../customProperty28.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7.bin"/><Relationship Id="rId1" Type="http://schemas.openxmlformats.org/officeDocument/2006/relationships/customProperty" Target="../customProperty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customProperty" Target="../customProperty9.bin"/><Relationship Id="rId7" Type="http://schemas.openxmlformats.org/officeDocument/2006/relationships/control" Target="../activeX/activeX1.xml"/><Relationship Id="rId2" Type="http://schemas.openxmlformats.org/officeDocument/2006/relationships/customProperty" Target="../customProperty8.bin"/><Relationship Id="rId1" Type="http://schemas.openxmlformats.org/officeDocument/2006/relationships/printerSettings" Target="../printerSettings/printerSettings1.bin"/><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customProperty" Target="../customProperty10.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customProperty" Target="../customProperty11.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4.bin"/><Relationship Id="rId7" Type="http://schemas.openxmlformats.org/officeDocument/2006/relationships/image" Target="../media/image1.emf"/><Relationship Id="rId2" Type="http://schemas.openxmlformats.org/officeDocument/2006/relationships/customProperty" Target="../customProperty13.bin"/><Relationship Id="rId1" Type="http://schemas.openxmlformats.org/officeDocument/2006/relationships/customProperty" Target="../customProperty12.bin"/><Relationship Id="rId6" Type="http://schemas.openxmlformats.org/officeDocument/2006/relationships/control" Target="../activeX/activeX2.xml"/><Relationship Id="rId5" Type="http://schemas.openxmlformats.org/officeDocument/2006/relationships/vmlDrawing" Target="../drawings/vmlDrawing4.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24D9-0340-4A24-B019-AA3887835DD2}">
  <sheetPr>
    <tabColor rgb="FF00B0F0"/>
  </sheetPr>
  <dimension ref="A1:G57"/>
  <sheetViews>
    <sheetView workbookViewId="0"/>
  </sheetViews>
  <sheetFormatPr baseColWidth="10" defaultRowHeight="14.5"/>
  <cols>
    <col min="1" max="1" width="33.6328125" bestFit="1" customWidth="1"/>
  </cols>
  <sheetData>
    <row r="1" spans="1:7" ht="19">
      <c r="A1" s="1047" t="s">
        <v>672</v>
      </c>
    </row>
    <row r="2" spans="1:7" ht="19">
      <c r="A2" s="1047"/>
    </row>
    <row r="3" spans="1:7" ht="16">
      <c r="A3" s="1048" t="s">
        <v>541</v>
      </c>
    </row>
    <row r="5" spans="1:7" ht="15" thickBot="1">
      <c r="A5" s="1037" t="s">
        <v>539</v>
      </c>
      <c r="B5" s="1038" t="s">
        <v>629</v>
      </c>
      <c r="C5" s="1038" t="s">
        <v>630</v>
      </c>
      <c r="D5" s="1038" t="s">
        <v>540</v>
      </c>
      <c r="E5" s="1039">
        <v>45901</v>
      </c>
      <c r="F5" s="1039">
        <v>45536</v>
      </c>
      <c r="G5" s="1038" t="s">
        <v>540</v>
      </c>
    </row>
    <row r="6" spans="1:7" ht="15" thickBot="1">
      <c r="A6" s="1040" t="s">
        <v>283</v>
      </c>
      <c r="B6" s="1041">
        <f>+SUM(B7:B9)</f>
        <v>315417</v>
      </c>
      <c r="C6" s="1042">
        <f>+SUM(C7:C9)</f>
        <v>217674</v>
      </c>
      <c r="D6" s="1049">
        <f>+(B6-C6)/C6</f>
        <v>0.4490338763471981</v>
      </c>
      <c r="E6" s="1041">
        <f>+SUM(E7:E9)</f>
        <v>1834809</v>
      </c>
      <c r="F6" s="1042">
        <f>+SUM(F7:F9)</f>
        <v>3153591</v>
      </c>
      <c r="G6" s="1049">
        <f>+(E6-F6)/F6</f>
        <v>-0.41818422236745351</v>
      </c>
    </row>
    <row r="7" spans="1:7">
      <c r="A7" s="1043" t="s">
        <v>123</v>
      </c>
      <c r="B7" s="1044">
        <f>+'ER GA separado Q'!BS12</f>
        <v>7825</v>
      </c>
      <c r="C7" s="1045">
        <f>+'ER GA separado Q'!BN12</f>
        <v>-1842</v>
      </c>
      <c r="D7" s="1050">
        <f>+(B7-C7)/C7</f>
        <v>-5.2480998914223669</v>
      </c>
      <c r="E7" s="1044">
        <f>+'ER GA separado Acum.'!C10</f>
        <v>15344</v>
      </c>
      <c r="F7" s="1045">
        <f>+'ER GA separado Acum.'!E10</f>
        <v>3090</v>
      </c>
      <c r="G7" s="1050">
        <f>+(E7-F7)/F7</f>
        <v>3.965695792880259</v>
      </c>
    </row>
    <row r="8" spans="1:7">
      <c r="A8" s="1043" t="s">
        <v>124</v>
      </c>
      <c r="B8" s="1044">
        <f>+'ER GA separado Q'!BS13</f>
        <v>61724</v>
      </c>
      <c r="C8" s="1045">
        <f>+'ER GA separado Q'!BN13</f>
        <v>46840</v>
      </c>
      <c r="D8" s="1050">
        <f t="shared" ref="D8:D9" si="0">+(B8-C8)/C8</f>
        <v>0.31776259607173357</v>
      </c>
      <c r="E8" s="1044">
        <f>+'ER GA separado Acum.'!C11</f>
        <v>179967</v>
      </c>
      <c r="F8" s="1045">
        <f>+'ER GA separado Acum.'!E11</f>
        <v>70091</v>
      </c>
      <c r="G8" s="1050">
        <f t="shared" ref="G8:G9" si="1">+(E8-F8)/F8</f>
        <v>1.5676192378479405</v>
      </c>
    </row>
    <row r="9" spans="1:7">
      <c r="A9" s="1043" t="s">
        <v>213</v>
      </c>
      <c r="B9" s="1044">
        <f>+'ER GA separado Q'!BS14</f>
        <v>245868</v>
      </c>
      <c r="C9" s="1045">
        <f>+'ER GA separado Q'!BN14</f>
        <v>172676</v>
      </c>
      <c r="D9" s="1050">
        <f t="shared" si="0"/>
        <v>0.42386898005513213</v>
      </c>
      <c r="E9" s="1044">
        <f>+'ER GA separado Acum.'!C12</f>
        <v>1639498</v>
      </c>
      <c r="F9" s="1045">
        <f>+'ER GA separado Acum.'!E12</f>
        <v>3080410</v>
      </c>
      <c r="G9" s="1050">
        <f t="shared" si="1"/>
        <v>-0.46776630383617768</v>
      </c>
    </row>
    <row r="10" spans="1:7">
      <c r="A10" s="1043"/>
      <c r="C10" s="1045"/>
      <c r="D10" s="1050"/>
      <c r="E10" s="1050"/>
      <c r="F10" s="1045"/>
      <c r="G10" s="1050"/>
    </row>
    <row r="11" spans="1:7">
      <c r="A11" s="1063" t="s">
        <v>62</v>
      </c>
      <c r="B11" s="1064">
        <f>+B6-'ER GA separado Q'!BS10</f>
        <v>0</v>
      </c>
      <c r="C11" s="1064">
        <f>+C6-'ER GA separado Q'!BN10</f>
        <v>0</v>
      </c>
      <c r="D11" s="1065"/>
      <c r="E11" s="1064">
        <f>+E6-'ER GA separado Acum.'!C7</f>
        <v>0</v>
      </c>
      <c r="F11" s="1064">
        <f>+F6-'ER GA separado Acum.'!E7</f>
        <v>0</v>
      </c>
      <c r="G11" s="1050"/>
    </row>
    <row r="13" spans="1:7" ht="16">
      <c r="A13" s="1048" t="s">
        <v>542</v>
      </c>
    </row>
    <row r="15" spans="1:7" ht="15" thickBot="1">
      <c r="A15" s="1037" t="s">
        <v>539</v>
      </c>
      <c r="B15" s="1038" t="str">
        <f>+B5</f>
        <v>3T2025</v>
      </c>
      <c r="C15" s="1038" t="str">
        <f>+C5</f>
        <v>3T2024</v>
      </c>
      <c r="D15" s="1038" t="s">
        <v>540</v>
      </c>
      <c r="E15" s="1039">
        <f>+E5</f>
        <v>45901</v>
      </c>
      <c r="F15" s="1039">
        <f>+F5</f>
        <v>45536</v>
      </c>
      <c r="G15" s="1038" t="s">
        <v>540</v>
      </c>
    </row>
    <row r="16" spans="1:7" ht="15" thickBot="1">
      <c r="A16" s="1040" t="s">
        <v>127</v>
      </c>
      <c r="B16" s="1041">
        <f>+SUM(B17:B18)</f>
        <v>25202</v>
      </c>
      <c r="C16" s="1042">
        <f>+SUM(C17:C18)</f>
        <v>22583</v>
      </c>
      <c r="D16" s="1049">
        <f>(B16-C16)/C16</f>
        <v>0.11597219147146083</v>
      </c>
      <c r="E16" s="1041">
        <f>+SUM(E17:E18)</f>
        <v>60229</v>
      </c>
      <c r="F16" s="1042">
        <f>+SUM(F17:F18)</f>
        <v>63209</v>
      </c>
      <c r="G16" s="1049">
        <f>(E16-F16)/F16</f>
        <v>-4.714518502112041E-2</v>
      </c>
    </row>
    <row r="17" spans="1:7">
      <c r="A17" s="1043" t="s">
        <v>285</v>
      </c>
      <c r="B17" s="1044">
        <f>+'ER GA separado Q'!BS17</f>
        <v>7825</v>
      </c>
      <c r="C17" s="1045">
        <f>+'ER GA separado Q'!BN17</f>
        <v>0</v>
      </c>
      <c r="D17" s="1046"/>
      <c r="E17" s="1044">
        <f>+'ER GA separado Acum.'!C15</f>
        <v>15315</v>
      </c>
      <c r="F17" s="1045">
        <f>+'ER GA separado Acum.'!E15</f>
        <v>0</v>
      </c>
      <c r="G17" s="1046"/>
    </row>
    <row r="18" spans="1:7" ht="15" thickBot="1">
      <c r="A18" s="1043" t="s">
        <v>131</v>
      </c>
      <c r="B18" s="1044">
        <f>+'ER GA separado Q'!BS18</f>
        <v>17377</v>
      </c>
      <c r="C18" s="1045">
        <f>+'ER GA separado Q'!BN18</f>
        <v>22583</v>
      </c>
      <c r="D18" s="1050">
        <f>(B18-C18)/C18</f>
        <v>-0.23052738785812338</v>
      </c>
      <c r="E18" s="1044">
        <f>+'ER GA separado Acum.'!C16</f>
        <v>44914</v>
      </c>
      <c r="F18" s="1045">
        <f>+'ER GA separado Acum.'!E16</f>
        <v>63209</v>
      </c>
      <c r="G18" s="1050">
        <f>(E18-F18)/F18</f>
        <v>-0.28943663085952948</v>
      </c>
    </row>
    <row r="19" spans="1:7" ht="15" thickBot="1">
      <c r="A19" s="1052" t="s">
        <v>286</v>
      </c>
      <c r="B19" s="1053">
        <f>+SUM(B20:B22)</f>
        <v>30260</v>
      </c>
      <c r="C19" s="1054">
        <f>+SUM(C20:C22)</f>
        <v>29540</v>
      </c>
      <c r="D19" s="1058">
        <f>(B19-C19)/C19</f>
        <v>2.4373730534867976E-2</v>
      </c>
      <c r="E19" s="1053">
        <f>+SUM(E20:E22)</f>
        <v>133636</v>
      </c>
      <c r="F19" s="1054">
        <f>+SUM(F20:F22)</f>
        <v>144287</v>
      </c>
      <c r="G19" s="1058">
        <f>(E19-F19)/F19</f>
        <v>-7.3818154095656577E-2</v>
      </c>
    </row>
    <row r="20" spans="1:7">
      <c r="A20" s="1043" t="s">
        <v>135</v>
      </c>
      <c r="B20" s="1044">
        <f>+'ER GA separado Q'!BS24</f>
        <v>29239</v>
      </c>
      <c r="C20" s="1045">
        <f>+'ER GA separado Q'!BN24</f>
        <v>28508</v>
      </c>
      <c r="D20" s="1050">
        <f>(B20-C20)/C20</f>
        <v>2.5641925073663533E-2</v>
      </c>
      <c r="E20" s="1044">
        <f>+'ER GA separado Acum.'!C22</f>
        <v>130447</v>
      </c>
      <c r="F20" s="1045">
        <f>+'ER GA separado Acum.'!E22</f>
        <v>141265</v>
      </c>
      <c r="G20" s="1050">
        <f>(E20-F20)/F20</f>
        <v>-7.6579478285491803E-2</v>
      </c>
    </row>
    <row r="21" spans="1:7">
      <c r="A21" s="1043" t="s">
        <v>215</v>
      </c>
      <c r="B21" s="1044">
        <f>+'ER GA separado Q'!BS25</f>
        <v>581</v>
      </c>
      <c r="C21" s="1045">
        <f>+'ER GA separado Q'!BN25</f>
        <v>758</v>
      </c>
      <c r="D21" s="1050">
        <f>(B21-C21)/C21</f>
        <v>-0.23350923482849603</v>
      </c>
      <c r="E21" s="1044">
        <f>+'ER GA separado Acum.'!C23</f>
        <v>1928</v>
      </c>
      <c r="F21" s="1045">
        <f>+'ER GA separado Acum.'!E23</f>
        <v>2116</v>
      </c>
      <c r="G21" s="1050">
        <f>(E21-F21)/F21</f>
        <v>-8.8846880907372403E-2</v>
      </c>
    </row>
    <row r="22" spans="1:7">
      <c r="A22" s="1043" t="s">
        <v>137</v>
      </c>
      <c r="B22" s="1044">
        <f>+'ER GA separado Q'!BS26</f>
        <v>440</v>
      </c>
      <c r="C22" s="1045">
        <f>+'ER GA separado Q'!BN26</f>
        <v>274</v>
      </c>
      <c r="D22" s="1050">
        <f>(B22-C22)/C22</f>
        <v>0.6058394160583942</v>
      </c>
      <c r="E22" s="1055">
        <f>+'ER GA separado Acum.'!C24</f>
        <v>1261</v>
      </c>
      <c r="F22" s="1056">
        <f>+'ER GA separado Acum.'!E24</f>
        <v>906</v>
      </c>
      <c r="G22" s="1050">
        <f>(E22-F22)/F22</f>
        <v>0.39183222958057395</v>
      </c>
    </row>
    <row r="23" spans="1:7">
      <c r="A23" s="1043"/>
      <c r="C23" s="1045"/>
      <c r="D23" s="1050"/>
      <c r="F23" s="1056"/>
      <c r="G23" s="1050"/>
    </row>
    <row r="24" spans="1:7">
      <c r="A24" s="1063" t="s">
        <v>62</v>
      </c>
      <c r="B24" s="1064">
        <f>+B16-'ER GA separado Q'!BS16</f>
        <v>0</v>
      </c>
      <c r="C24" s="1064">
        <f>+C16-'ER GA separado Q'!BN16</f>
        <v>0</v>
      </c>
      <c r="D24" s="1050"/>
      <c r="E24" s="1064">
        <f>+E16-'ER GA separado Acum.'!C14</f>
        <v>0</v>
      </c>
      <c r="F24" s="1064">
        <f>+F16-'ER GA separado Acum.'!E14</f>
        <v>0</v>
      </c>
      <c r="G24" s="1050"/>
    </row>
    <row r="25" spans="1:7">
      <c r="A25" s="1063" t="s">
        <v>62</v>
      </c>
      <c r="B25" s="1064">
        <f>+B19-'ER GA separado Q'!BS23</f>
        <v>0</v>
      </c>
      <c r="C25" s="1064">
        <f>+C19-'ER GA separado Q'!BN23</f>
        <v>0</v>
      </c>
      <c r="D25" s="1050"/>
      <c r="E25" s="1064">
        <f>+E19-'ER GA separado Acum.'!C21</f>
        <v>0</v>
      </c>
      <c r="F25" s="1064">
        <f>+F19-'ER GA separado Acum.'!E21</f>
        <v>0</v>
      </c>
      <c r="G25" s="1050"/>
    </row>
    <row r="26" spans="1:7">
      <c r="A26" s="1043"/>
      <c r="C26" s="1045"/>
      <c r="D26" s="1046"/>
      <c r="F26" s="1056"/>
      <c r="G26" s="1046"/>
    </row>
    <row r="27" spans="1:7" ht="16">
      <c r="A27" s="1057" t="s">
        <v>544</v>
      </c>
      <c r="C27" s="1045"/>
      <c r="D27" s="1046"/>
      <c r="F27" s="1056"/>
      <c r="G27" s="1046"/>
    </row>
    <row r="29" spans="1:7" ht="15" thickBot="1">
      <c r="A29" s="1037" t="s">
        <v>543</v>
      </c>
      <c r="B29" s="1038" t="str">
        <f>+B5</f>
        <v>3T2025</v>
      </c>
      <c r="C29" s="1038" t="str">
        <f>+C5</f>
        <v>3T2024</v>
      </c>
      <c r="D29" s="1038" t="s">
        <v>540</v>
      </c>
      <c r="E29" s="1039">
        <f>+E5</f>
        <v>45901</v>
      </c>
      <c r="F29" s="1039">
        <f>+F5</f>
        <v>45536</v>
      </c>
      <c r="G29" s="1038" t="s">
        <v>540</v>
      </c>
    </row>
    <row r="30" spans="1:7" ht="15" thickBot="1">
      <c r="A30" s="1040" t="s">
        <v>139</v>
      </c>
      <c r="B30" s="1041">
        <f>+SUM(B31:B32)</f>
        <v>-8935</v>
      </c>
      <c r="C30" s="1042">
        <f>+SUM(C31:C32)</f>
        <v>-3750</v>
      </c>
      <c r="D30" s="1049">
        <f>+(B30-C30)/C30</f>
        <v>1.3826666666666667</v>
      </c>
      <c r="E30" s="1041">
        <f>+SUM(E31:E32)</f>
        <v>-13989</v>
      </c>
      <c r="F30" s="1042">
        <f>+SUM(F31:F32)</f>
        <v>64069</v>
      </c>
      <c r="G30" s="1049">
        <f>(E30-F30)/F30</f>
        <v>-1.2183427242504175</v>
      </c>
    </row>
    <row r="31" spans="1:7">
      <c r="A31" s="1043" t="s">
        <v>140</v>
      </c>
      <c r="B31" s="1044">
        <f>+'ER GA separado Q'!BS30</f>
        <v>3009</v>
      </c>
      <c r="C31" s="1045">
        <f>+'ER GA separado Q'!BN30</f>
        <v>623</v>
      </c>
      <c r="D31" s="1050">
        <f t="shared" ref="D31" si="2">+(B31-C31)/C31</f>
        <v>3.8298555377207064</v>
      </c>
      <c r="E31" s="1044">
        <f>+'ER GA separado Acum.'!C28</f>
        <v>4154</v>
      </c>
      <c r="F31" s="1045">
        <f>+'ER GA separado Acum.'!E28</f>
        <v>76739</v>
      </c>
      <c r="G31" s="1050">
        <f t="shared" ref="G31" si="3">+(E31-F31)/F31</f>
        <v>-0.94586846323251539</v>
      </c>
    </row>
    <row r="32" spans="1:7">
      <c r="A32" s="1043" t="s">
        <v>141</v>
      </c>
      <c r="B32" s="1044">
        <f>-'ER GA separado Q'!BS31</f>
        <v>-11944</v>
      </c>
      <c r="C32" s="1045">
        <f>-'ER GA separado Q'!BN31</f>
        <v>-4373</v>
      </c>
      <c r="D32" s="1050">
        <f>-(B32-C32)/C32</f>
        <v>-1.7313057397667506</v>
      </c>
      <c r="E32" s="1044">
        <f>-'ER GA separado Acum.'!C29</f>
        <v>-18143</v>
      </c>
      <c r="F32" s="1045">
        <f>-'ER GA separado Acum.'!E29</f>
        <v>-12670</v>
      </c>
      <c r="G32" s="1050">
        <f>-(E32-F32)/F32</f>
        <v>-0.43196527229676401</v>
      </c>
    </row>
    <row r="33" spans="1:7">
      <c r="A33" s="1043"/>
      <c r="B33" s="1043"/>
      <c r="C33" s="1045"/>
      <c r="D33" s="1050"/>
      <c r="E33" s="1043"/>
      <c r="F33" s="1045"/>
      <c r="G33" s="1051"/>
    </row>
    <row r="34" spans="1:7">
      <c r="A34" s="1063" t="s">
        <v>62</v>
      </c>
      <c r="B34" s="1064">
        <f>+B30-'ER GA separado Q'!BS29</f>
        <v>0</v>
      </c>
      <c r="C34" s="1064">
        <f>+C30-'ER GA separado Q'!BM29</f>
        <v>0</v>
      </c>
      <c r="D34" s="1050"/>
      <c r="E34" s="1064">
        <f>+E30-'ER GA separado Acum.'!C27</f>
        <v>0</v>
      </c>
      <c r="F34" s="1064">
        <f>+F30-'ER GA separado Acum.'!E27</f>
        <v>0</v>
      </c>
      <c r="G34" s="1051"/>
    </row>
    <row r="36" spans="1:7" ht="16">
      <c r="A36" s="1057" t="s">
        <v>545</v>
      </c>
    </row>
    <row r="38" spans="1:7" ht="15" thickBot="1">
      <c r="A38" s="1037" t="s">
        <v>539</v>
      </c>
      <c r="B38" s="1038" t="str">
        <f>+B5</f>
        <v>3T2025</v>
      </c>
      <c r="C38" s="1038" t="str">
        <f>+C5</f>
        <v>3T2024</v>
      </c>
      <c r="D38" s="1038" t="s">
        <v>540</v>
      </c>
      <c r="E38" s="1039">
        <f>+E5</f>
        <v>45901</v>
      </c>
      <c r="F38" s="1039">
        <f>+F5</f>
        <v>45536</v>
      </c>
      <c r="G38" s="1038" t="s">
        <v>540</v>
      </c>
    </row>
    <row r="39" spans="1:7" ht="15" thickBot="1">
      <c r="A39" s="1040" t="s">
        <v>217</v>
      </c>
      <c r="B39" s="1041">
        <f>+SUM(B40:B41)</f>
        <v>-155163</v>
      </c>
      <c r="C39" s="1042">
        <f>+SUM(C40:C41)</f>
        <v>-30941</v>
      </c>
      <c r="D39" s="1049">
        <f>-(B39-C39)/C39</f>
        <v>-4.0148023657929608</v>
      </c>
      <c r="E39" s="1041">
        <f>+SUM(E40:E41)</f>
        <v>-234222</v>
      </c>
      <c r="F39" s="1042">
        <f>+SUM(F40:F41)</f>
        <v>-87078</v>
      </c>
      <c r="G39" s="1049">
        <f>-(E39-F39)/F39</f>
        <v>-1.6897953558878247</v>
      </c>
    </row>
    <row r="40" spans="1:7">
      <c r="A40" s="1043" t="s">
        <v>148</v>
      </c>
      <c r="B40" s="1044">
        <f>+'ER GA separado Q'!BS44</f>
        <v>-149314</v>
      </c>
      <c r="C40" s="1045">
        <f>+'ER GA separado Q'!BN44</f>
        <v>-31869</v>
      </c>
      <c r="D40" s="1050">
        <f>-(B40-C40)/C40</f>
        <v>-3.6852427123536979</v>
      </c>
      <c r="E40" s="1044">
        <f>+'ER GA separado Acum.'!C47</f>
        <v>-216849</v>
      </c>
      <c r="F40" s="1045">
        <f>+'ER GA separado Acum.'!E47</f>
        <v>-89942</v>
      </c>
      <c r="G40" s="1050">
        <f>-(E40-F40)/F40</f>
        <v>-1.4109870805630296</v>
      </c>
    </row>
    <row r="41" spans="1:7">
      <c r="A41" s="1043" t="s">
        <v>149</v>
      </c>
      <c r="B41" s="1044">
        <f>+'ER GA separado Q'!BS46</f>
        <v>-5849</v>
      </c>
      <c r="C41" s="1045">
        <f>+'ER GA separado Q'!BN46</f>
        <v>928</v>
      </c>
      <c r="D41" s="1050">
        <f>-(B41-C41)/C41</f>
        <v>7.3028017241379306</v>
      </c>
      <c r="E41" s="1044">
        <f>+'ER GA separado Acum.'!C49</f>
        <v>-17373</v>
      </c>
      <c r="F41" s="1045">
        <f>+'ER GA separado Acum.'!E49</f>
        <v>2864</v>
      </c>
      <c r="G41" s="1050">
        <f t="shared" ref="G41" si="4">+(E41-F41)/F41</f>
        <v>-7.0659916201117321</v>
      </c>
    </row>
    <row r="42" spans="1:7">
      <c r="A42" s="1043"/>
      <c r="C42" s="1045"/>
      <c r="D42" s="1050"/>
      <c r="F42" s="1045"/>
      <c r="G42" s="1050"/>
    </row>
    <row r="43" spans="1:7">
      <c r="A43" s="1063" t="s">
        <v>62</v>
      </c>
      <c r="B43" s="1064">
        <f>+B39-'ER GA separado Q'!BS43</f>
        <v>0</v>
      </c>
      <c r="C43" s="1064">
        <f>+C39-'ER GA separado Q'!BN43</f>
        <v>0</v>
      </c>
      <c r="D43" s="1050"/>
      <c r="E43" s="1064">
        <f>+E39-'ER GA separado Acum.'!C46</f>
        <v>0</v>
      </c>
      <c r="F43" s="1064">
        <f>+F39-'ER GA separado Acum.'!E46</f>
        <v>0</v>
      </c>
      <c r="G43" s="1050"/>
    </row>
    <row r="45" spans="1:7" ht="16">
      <c r="A45" s="1057" t="s">
        <v>546</v>
      </c>
    </row>
    <row r="47" spans="1:7" ht="15" thickBot="1">
      <c r="A47" s="1037" t="s">
        <v>539</v>
      </c>
      <c r="B47" s="1038" t="str">
        <f>+B5</f>
        <v>3T2025</v>
      </c>
      <c r="C47" s="1038" t="str">
        <f>+C5</f>
        <v>3T2024</v>
      </c>
      <c r="D47" s="1038" t="s">
        <v>540</v>
      </c>
      <c r="E47" s="1039">
        <f>+E5</f>
        <v>45901</v>
      </c>
      <c r="F47" s="1039">
        <f>+F5</f>
        <v>45536</v>
      </c>
      <c r="G47" s="1038" t="s">
        <v>540</v>
      </c>
    </row>
    <row r="48" spans="1:7">
      <c r="A48" s="1059" t="s">
        <v>283</v>
      </c>
      <c r="B48" s="1044">
        <f>+'ER GA separado Q'!BS10</f>
        <v>315417</v>
      </c>
      <c r="C48" s="1045">
        <f>+'ER GA separado Q'!BN10</f>
        <v>217674</v>
      </c>
      <c r="D48" s="1050">
        <f>(B48-C48)/C48</f>
        <v>0.4490338763471981</v>
      </c>
      <c r="E48" s="1044">
        <f>+'ER GA separado Acum.'!C7</f>
        <v>1834809</v>
      </c>
      <c r="F48" s="1045">
        <f>+'ER GA separado Acum.'!E7</f>
        <v>3153591</v>
      </c>
      <c r="G48" s="1050">
        <f>(E48-F48)/F48</f>
        <v>-0.41818422236745351</v>
      </c>
    </row>
    <row r="49" spans="1:7">
      <c r="A49" s="1059" t="s">
        <v>547</v>
      </c>
      <c r="B49" s="1044">
        <f>+'ER GA separado Q'!BS39</f>
        <v>251601</v>
      </c>
      <c r="C49" s="1045">
        <f>+'ER GA separado Q'!BN39</f>
        <v>162559</v>
      </c>
      <c r="D49" s="1050">
        <f>(B49-C49)/C49</f>
        <v>0.54775189315879158</v>
      </c>
      <c r="E49" s="1044">
        <f>+'ER GA separado Acum.'!C36</f>
        <v>1628883</v>
      </c>
      <c r="F49" s="1045">
        <f>+'ER GA separado Acum.'!E36</f>
        <v>3012280</v>
      </c>
      <c r="G49" s="1050">
        <f>(E49-F49)/F49</f>
        <v>-0.45925245993068375</v>
      </c>
    </row>
    <row r="50" spans="1:7">
      <c r="A50" s="1060" t="s">
        <v>548</v>
      </c>
      <c r="B50" s="1062">
        <f>+B49/B48</f>
        <v>0.79767736044664683</v>
      </c>
      <c r="C50" s="1050">
        <f>+C49/C48</f>
        <v>0.74680026094067276</v>
      </c>
      <c r="D50" s="1061"/>
      <c r="E50" s="1062">
        <f>+E49/E48</f>
        <v>0.88776706458274401</v>
      </c>
      <c r="F50" s="1050">
        <f>+F49/F48</f>
        <v>0.9551904479686808</v>
      </c>
      <c r="G50" s="1061"/>
    </row>
    <row r="51" spans="1:7">
      <c r="A51" s="1059" t="s">
        <v>549</v>
      </c>
      <c r="B51" s="1044">
        <f>+'ER GA separado Q'!BS57</f>
        <v>2775466</v>
      </c>
      <c r="C51" s="1045">
        <f>+'ER GA separado Q'!BN57</f>
        <v>124939</v>
      </c>
      <c r="D51" s="1050">
        <f>(B51-C51)/C51</f>
        <v>21.214568709530251</v>
      </c>
      <c r="E51" s="1044">
        <f>+'ER GA separado Acum.'!C61</f>
        <v>4303446</v>
      </c>
      <c r="F51" s="1045">
        <f>+'ER GA separado Acum.'!E61</f>
        <v>2808151</v>
      </c>
      <c r="G51" s="1050">
        <f>(E51-F51)/F51</f>
        <v>0.53248383010742661</v>
      </c>
    </row>
    <row r="52" spans="1:7">
      <c r="A52" s="1060" t="s">
        <v>550</v>
      </c>
      <c r="B52" s="1062">
        <f>+B51/B48</f>
        <v>8.7993545053056739</v>
      </c>
      <c r="C52" s="1050">
        <f>+C51/C48</f>
        <v>0.57397300550364305</v>
      </c>
      <c r="D52" s="1061"/>
      <c r="E52" s="1062">
        <f>+E51/E48</f>
        <v>2.3454463107604115</v>
      </c>
      <c r="F52" s="1050">
        <f>+F51/F48</f>
        <v>0.89046138196107227</v>
      </c>
      <c r="G52" s="1061"/>
    </row>
    <row r="54" spans="1:7">
      <c r="A54" s="1063" t="s">
        <v>62</v>
      </c>
      <c r="B54" s="1064">
        <f>+B48-B6</f>
        <v>0</v>
      </c>
      <c r="C54" s="1064">
        <f>+C48-C6</f>
        <v>0</v>
      </c>
      <c r="D54" s="1064"/>
      <c r="E54" s="1064">
        <f>+E48-E6</f>
        <v>0</v>
      </c>
      <c r="F54" s="1064">
        <f>+F48-F6</f>
        <v>0</v>
      </c>
    </row>
    <row r="55" spans="1:7">
      <c r="A55" s="1063" t="s">
        <v>62</v>
      </c>
      <c r="B55" s="1064">
        <f>+B48-'ER GA separado Q'!BS10</f>
        <v>0</v>
      </c>
      <c r="C55" s="1064">
        <f>+C48-'ER GA separado Q'!BN10</f>
        <v>0</v>
      </c>
      <c r="D55" s="1064"/>
      <c r="E55" s="1064">
        <f>+E48-'ER GA separado Acum.'!C7</f>
        <v>0</v>
      </c>
      <c r="F55" s="1064">
        <f>+F48-'ER GA separado Acum.'!E7</f>
        <v>0</v>
      </c>
    </row>
    <row r="56" spans="1:7">
      <c r="A56" s="1063" t="s">
        <v>62</v>
      </c>
      <c r="B56" s="1064">
        <f>+B49-'ER GA separado Q'!BS39</f>
        <v>0</v>
      </c>
      <c r="C56" s="1064">
        <f>+C49-'ER GA separado Q'!BN39</f>
        <v>0</v>
      </c>
      <c r="D56" s="1064"/>
      <c r="E56" s="1064">
        <f>+E49-'ER GA separado Acum.'!C36</f>
        <v>0</v>
      </c>
      <c r="F56" s="1064">
        <f>+F49-'ER GA separado Acum.'!E36</f>
        <v>0</v>
      </c>
    </row>
    <row r="57" spans="1:7">
      <c r="A57" s="1063" t="s">
        <v>62</v>
      </c>
      <c r="B57" s="1064">
        <f>+B51-'ER GA separado Q'!BS57</f>
        <v>0</v>
      </c>
      <c r="C57" s="1064">
        <f>+C51-'ER GA separado Q'!BN57</f>
        <v>0</v>
      </c>
      <c r="D57" s="1064"/>
      <c r="E57" s="1064">
        <f>+E51-'ER GA separado Acum.'!C61</f>
        <v>0</v>
      </c>
      <c r="F57" s="1064">
        <f>+F51-'ER GA separado Acum.'!E61</f>
        <v>0</v>
      </c>
    </row>
  </sheetData>
  <pageMargins left="0.7" right="0.7" top="0.75" bottom="0.75" header="0.3" footer="0.3"/>
  <customProperties>
    <customPr name="EpmWorksheetKeyString_GUID" r:id="rId1"/>
  </customProperties>
  <ignoredErrors>
    <ignoredError sqref="D6 D30:D31 G31 D39 D19 D16" formula="1"/>
    <ignoredError sqref="B16:C16 E16:F16" formulaRange="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55AF-2663-46A6-A19B-D7516A4015C1}">
  <dimension ref="A1:J128"/>
  <sheetViews>
    <sheetView showGridLines="0" topLeftCell="A105" zoomScale="90" zoomScaleNormal="90" workbookViewId="0">
      <selection activeCell="E105" sqref="E105"/>
    </sheetView>
  </sheetViews>
  <sheetFormatPr baseColWidth="10" defaultColWidth="13" defaultRowHeight="12.5"/>
  <cols>
    <col min="1" max="1" width="2" style="2" customWidth="1"/>
    <col min="2" max="2" width="50.54296875" style="2" customWidth="1"/>
    <col min="3" max="3" width="16.453125" style="10" customWidth="1"/>
    <col min="4" max="4" width="0.54296875" style="10" customWidth="1"/>
    <col min="5" max="5" width="13.453125" style="10" customWidth="1"/>
    <col min="6" max="6" width="10.453125" style="10" hidden="1" customWidth="1"/>
    <col min="7" max="7" width="1.453125" style="2" customWidth="1"/>
    <col min="8" max="8" width="11.81640625" style="2" customWidth="1"/>
    <col min="9" max="9" width="1.453125" style="2" customWidth="1"/>
    <col min="10" max="10" width="9" style="2" bestFit="1" customWidth="1"/>
    <col min="11" max="11" width="1.453125" style="2" customWidth="1"/>
    <col min="12" max="16384" width="13" style="2"/>
  </cols>
  <sheetData>
    <row r="1" spans="1:10" ht="13">
      <c r="B1" s="1193" t="s">
        <v>0</v>
      </c>
      <c r="C1" s="1193"/>
      <c r="D1" s="1193"/>
      <c r="E1" s="1193"/>
      <c r="F1" s="1193"/>
      <c r="G1" s="1193"/>
      <c r="H1" s="1193"/>
      <c r="I1" s="1193"/>
      <c r="J1" s="1193"/>
    </row>
    <row r="2" spans="1:10" ht="13">
      <c r="B2" s="1193" t="s">
        <v>229</v>
      </c>
      <c r="C2" s="1193"/>
      <c r="D2" s="1193"/>
      <c r="E2" s="1193"/>
      <c r="F2" s="1193"/>
      <c r="G2" s="1193"/>
      <c r="H2" s="1193"/>
      <c r="I2" s="1193"/>
      <c r="J2" s="1193"/>
    </row>
    <row r="3" spans="1:10" ht="13" customHeight="1">
      <c r="B3" s="1193" t="s">
        <v>2</v>
      </c>
      <c r="C3" s="1193"/>
      <c r="D3" s="1193"/>
      <c r="E3" s="1193"/>
      <c r="F3" s="1193"/>
      <c r="G3" s="1193"/>
      <c r="H3" s="1193"/>
      <c r="I3" s="1193"/>
      <c r="J3" s="1193"/>
    </row>
    <row r="4" spans="1:10" ht="25.5" customHeight="1">
      <c r="C4" s="2"/>
      <c r="D4" s="2"/>
      <c r="E4" s="2"/>
      <c r="J4" s="189"/>
    </row>
    <row r="5" spans="1:10" ht="15.75" customHeight="1" thickBot="1">
      <c r="C5" s="2"/>
      <c r="D5" s="2"/>
      <c r="E5" s="2"/>
      <c r="F5" s="2"/>
    </row>
    <row r="6" spans="1:10" ht="39.75" customHeight="1" thickTop="1" thickBot="1">
      <c r="C6" s="190">
        <v>45901</v>
      </c>
      <c r="E6" s="190">
        <v>45627</v>
      </c>
      <c r="F6" s="191" t="s">
        <v>232</v>
      </c>
      <c r="H6" s="213" t="s">
        <v>253</v>
      </c>
      <c r="J6" s="190" t="s">
        <v>233</v>
      </c>
    </row>
    <row r="7" spans="1:10" ht="3.75" customHeight="1" thickTop="1" thickBot="1">
      <c r="J7" s="10"/>
    </row>
    <row r="8" spans="1:10" ht="14.9" customHeight="1" thickTop="1">
      <c r="A8" s="14"/>
      <c r="B8" s="192" t="s">
        <v>15</v>
      </c>
      <c r="C8" s="194">
        <v>4458126</v>
      </c>
      <c r="E8" s="193">
        <v>1593758</v>
      </c>
      <c r="F8" s="882">
        <f>+E8/E$35</f>
        <v>3.0736288902038545E-2</v>
      </c>
      <c r="H8" s="194">
        <f>+C8-E8</f>
        <v>2864368</v>
      </c>
      <c r="J8" s="883">
        <f t="shared" ref="J8:J15" si="0">+(C8/E8-1)*100</f>
        <v>179.72414883564505</v>
      </c>
    </row>
    <row r="9" spans="1:10" ht="14.9" customHeight="1">
      <c r="A9" s="14"/>
      <c r="B9" s="192" t="s">
        <v>16</v>
      </c>
      <c r="C9" s="194">
        <v>94272</v>
      </c>
      <c r="E9" s="193">
        <v>12733</v>
      </c>
      <c r="F9" s="886"/>
      <c r="H9" s="193">
        <f t="shared" ref="H9:H15" si="1">+C9-E9</f>
        <v>81539</v>
      </c>
      <c r="J9" s="883">
        <f t="shared" si="0"/>
        <v>640.37540249744757</v>
      </c>
    </row>
    <row r="10" spans="1:10" ht="14.9" customHeight="1">
      <c r="A10" s="14"/>
      <c r="B10" s="192" t="s">
        <v>17</v>
      </c>
      <c r="C10" s="194">
        <v>7800921</v>
      </c>
      <c r="E10" s="193">
        <v>17858</v>
      </c>
      <c r="F10" s="886"/>
      <c r="H10" s="193">
        <f t="shared" si="1"/>
        <v>7783063</v>
      </c>
      <c r="J10" s="883">
        <f t="shared" si="0"/>
        <v>43583.060813080971</v>
      </c>
    </row>
    <row r="11" spans="1:10" ht="14.9" customHeight="1">
      <c r="A11" s="14"/>
      <c r="B11" s="192" t="s">
        <v>18</v>
      </c>
      <c r="C11" s="194">
        <v>3417943</v>
      </c>
      <c r="E11" s="193">
        <v>3705327</v>
      </c>
      <c r="F11" s="887">
        <f>+E11/E$35</f>
        <v>7.1458779280495391E-2</v>
      </c>
      <c r="H11" s="194">
        <f t="shared" si="1"/>
        <v>-287384</v>
      </c>
      <c r="J11" s="883">
        <f t="shared" si="0"/>
        <v>-7.7559686365063047</v>
      </c>
    </row>
    <row r="12" spans="1:10" ht="14.9" customHeight="1">
      <c r="A12" s="14"/>
      <c r="B12" s="192" t="s">
        <v>19</v>
      </c>
      <c r="C12" s="194">
        <v>1751148</v>
      </c>
      <c r="E12" s="193">
        <v>1250085</v>
      </c>
      <c r="F12" s="887"/>
      <c r="H12" s="193">
        <f t="shared" si="1"/>
        <v>501063</v>
      </c>
      <c r="J12" s="883">
        <f t="shared" si="0"/>
        <v>40.082314402620625</v>
      </c>
    </row>
    <row r="13" spans="1:10" ht="14.9" customHeight="1">
      <c r="A13" s="14"/>
      <c r="B13" s="192" t="s">
        <v>20</v>
      </c>
      <c r="C13" s="194">
        <v>5828</v>
      </c>
      <c r="E13" s="193">
        <v>5430</v>
      </c>
      <c r="F13" s="887"/>
      <c r="H13" s="193">
        <f t="shared" si="1"/>
        <v>398</v>
      </c>
      <c r="J13" s="883">
        <f t="shared" si="0"/>
        <v>7.3296500920810415</v>
      </c>
    </row>
    <row r="14" spans="1:10" ht="14.9" customHeight="1">
      <c r="A14" s="14"/>
      <c r="B14" s="192" t="s">
        <v>21</v>
      </c>
      <c r="C14" s="194">
        <v>256878</v>
      </c>
      <c r="E14" s="193">
        <v>298388</v>
      </c>
      <c r="F14" s="887">
        <f>+E14/E$35</f>
        <v>5.754537246496317E-3</v>
      </c>
      <c r="H14" s="194">
        <f t="shared" si="1"/>
        <v>-41510</v>
      </c>
      <c r="J14" s="883">
        <f t="shared" si="0"/>
        <v>-13.911417349223154</v>
      </c>
    </row>
    <row r="15" spans="1:10" ht="15" customHeight="1">
      <c r="A15" s="14"/>
      <c r="B15" s="192" t="s">
        <v>22</v>
      </c>
      <c r="C15" s="194">
        <v>139453</v>
      </c>
      <c r="E15" s="193">
        <v>9337964</v>
      </c>
      <c r="F15" s="887">
        <f>+E15/E$35</f>
        <v>0.18008653714104364</v>
      </c>
      <c r="H15" s="193">
        <f t="shared" si="1"/>
        <v>-9198511</v>
      </c>
      <c r="J15" s="883">
        <f t="shared" si="0"/>
        <v>-98.506601653208349</v>
      </c>
    </row>
    <row r="16" spans="1:10" ht="15" customHeight="1" thickBot="1">
      <c r="B16" s="11"/>
      <c r="C16" s="20"/>
      <c r="E16" s="20"/>
      <c r="F16" s="20"/>
      <c r="J16" s="20"/>
    </row>
    <row r="17" spans="1:10" ht="16.5" customHeight="1" thickTop="1" thickBot="1">
      <c r="B17" s="195" t="s">
        <v>23</v>
      </c>
      <c r="C17" s="196">
        <f>+SUM(C8:C15)</f>
        <v>17924569</v>
      </c>
      <c r="E17" s="196">
        <f>+SUM(E8:E15)</f>
        <v>16221543</v>
      </c>
      <c r="F17" s="890">
        <f>+E17/E$35</f>
        <v>0.31283923411511727</v>
      </c>
      <c r="H17" s="196">
        <f>+SUM(H8:H15)</f>
        <v>1703026</v>
      </c>
      <c r="J17" s="962">
        <f>+(C17/E17-1)*100</f>
        <v>10.498545052095221</v>
      </c>
    </row>
    <row r="18" spans="1:10" ht="4.5" customHeight="1" thickTop="1" thickBot="1">
      <c r="C18" s="20"/>
      <c r="E18" s="20"/>
      <c r="F18" s="20"/>
      <c r="J18" s="20"/>
    </row>
    <row r="19" spans="1:10" ht="13.4" customHeight="1" thickTop="1">
      <c r="A19" s="14"/>
      <c r="B19" s="197" t="s">
        <v>234</v>
      </c>
      <c r="C19" s="193">
        <f>3730807+'[6]PYG GA cons.'!$C$6*0</f>
        <v>3730807</v>
      </c>
      <c r="E19" s="193">
        <v>15158949</v>
      </c>
      <c r="F19" s="882">
        <f>+E19/E$35</f>
        <v>0.29234666487337996</v>
      </c>
      <c r="H19" s="193">
        <f t="shared" ref="H19:H31" si="2">+C19-E19</f>
        <v>-11428142</v>
      </c>
      <c r="J19" s="883">
        <f>+(C19/E19-1)*100</f>
        <v>-75.388748916564069</v>
      </c>
    </row>
    <row r="20" spans="1:10" ht="15.65" customHeight="1">
      <c r="A20" s="14"/>
      <c r="B20" s="197" t="s">
        <v>18</v>
      </c>
      <c r="C20" s="194">
        <v>490264</v>
      </c>
      <c r="E20" s="193">
        <v>597111</v>
      </c>
      <c r="F20" s="887">
        <f>+E20/E$35</f>
        <v>1.1515535107955622E-2</v>
      </c>
      <c r="H20" s="193">
        <f t="shared" si="2"/>
        <v>-106847</v>
      </c>
      <c r="J20" s="883">
        <f>+(C20/E20-1)*100</f>
        <v>-17.893992909191091</v>
      </c>
    </row>
    <row r="21" spans="1:10" ht="13.4" hidden="1" customHeight="1">
      <c r="A21" s="14"/>
      <c r="B21" s="197" t="s">
        <v>19</v>
      </c>
      <c r="C21" s="194">
        <v>0</v>
      </c>
      <c r="E21" s="193">
        <v>0</v>
      </c>
      <c r="F21" s="887"/>
      <c r="H21" s="193">
        <f t="shared" si="2"/>
        <v>0</v>
      </c>
      <c r="J21" s="883" t="s">
        <v>235</v>
      </c>
    </row>
    <row r="22" spans="1:10" ht="13.4" customHeight="1">
      <c r="A22" s="14"/>
      <c r="B22" s="197" t="s">
        <v>25</v>
      </c>
      <c r="C22" s="194">
        <v>138802</v>
      </c>
      <c r="E22" s="193">
        <v>178306</v>
      </c>
      <c r="F22" s="887"/>
      <c r="H22" s="193">
        <f t="shared" si="2"/>
        <v>-39504</v>
      </c>
      <c r="J22" s="883">
        <f>+(C22/E22-1)*100</f>
        <v>-22.155171446838583</v>
      </c>
    </row>
    <row r="23" spans="1:10" ht="13.4" customHeight="1">
      <c r="A23" s="14"/>
      <c r="B23" s="197" t="s">
        <v>471</v>
      </c>
      <c r="C23" s="194">
        <v>1744179</v>
      </c>
      <c r="E23" s="193">
        <v>1827226</v>
      </c>
      <c r="F23" s="887">
        <f>+E23/E$35</f>
        <v>3.5238816824961057E-2</v>
      </c>
      <c r="H23" s="193">
        <f t="shared" si="2"/>
        <v>-83047</v>
      </c>
      <c r="J23" s="883">
        <f>+(C23/E23-1)*100</f>
        <v>-4.544976921300381</v>
      </c>
    </row>
    <row r="24" spans="1:10" ht="13.4" customHeight="1">
      <c r="A24" s="14"/>
      <c r="B24" s="197" t="s">
        <v>27</v>
      </c>
      <c r="C24" s="194">
        <v>14925674</v>
      </c>
      <c r="E24" s="193">
        <v>15569044</v>
      </c>
      <c r="F24" s="887">
        <f>+E24/E$35</f>
        <v>0.30025551828605707</v>
      </c>
      <c r="H24" s="193">
        <f t="shared" si="2"/>
        <v>-643370</v>
      </c>
      <c r="J24" s="883">
        <f>+(C24/E24-1)*100</f>
        <v>-4.1323667657436118</v>
      </c>
    </row>
    <row r="25" spans="1:10" ht="13.4" hidden="1" customHeight="1">
      <c r="A25" s="14"/>
      <c r="B25" s="197" t="s">
        <v>28</v>
      </c>
      <c r="C25" s="194">
        <v>0</v>
      </c>
      <c r="E25" s="193">
        <v>0</v>
      </c>
      <c r="F25" s="887"/>
      <c r="H25" s="193">
        <f t="shared" si="2"/>
        <v>0</v>
      </c>
      <c r="J25" s="883" t="s">
        <v>235</v>
      </c>
    </row>
    <row r="26" spans="1:10" ht="13.4" customHeight="1">
      <c r="A26" s="14"/>
      <c r="B26" s="197" t="s">
        <v>29</v>
      </c>
      <c r="C26" s="194">
        <v>1362231</v>
      </c>
      <c r="E26" s="193">
        <v>1963422</v>
      </c>
      <c r="F26" s="887">
        <f>+E26/E$35</f>
        <v>3.7865413587645252E-2</v>
      </c>
      <c r="H26" s="193">
        <f t="shared" si="2"/>
        <v>-601191</v>
      </c>
      <c r="J26" s="883">
        <f>+(C26/E26-1)*100</f>
        <v>-30.619550967647303</v>
      </c>
    </row>
    <row r="27" spans="1:10" ht="13.4" customHeight="1">
      <c r="A27" s="14"/>
      <c r="B27" s="197" t="s">
        <v>30</v>
      </c>
      <c r="C27" s="194">
        <v>130720</v>
      </c>
      <c r="E27" s="193">
        <v>114560</v>
      </c>
      <c r="F27" s="901">
        <f>+E27/E$35</f>
        <v>2.2093374631641286E-3</v>
      </c>
      <c r="H27" s="193">
        <f t="shared" si="2"/>
        <v>16160</v>
      </c>
      <c r="J27" s="883">
        <f>+(C27/E27-1)*100</f>
        <v>14.10614525139664</v>
      </c>
    </row>
    <row r="28" spans="1:10" ht="13.4" customHeight="1">
      <c r="A28" s="14"/>
      <c r="B28" s="197" t="s">
        <v>20</v>
      </c>
      <c r="C28" s="194">
        <v>61308</v>
      </c>
      <c r="E28" s="193">
        <v>63407</v>
      </c>
      <c r="F28" s="902">
        <f>+E28/E$35</f>
        <v>1.2228304864424573E-3</v>
      </c>
      <c r="H28" s="193">
        <f t="shared" si="2"/>
        <v>-2099</v>
      </c>
      <c r="J28" s="885">
        <f>+(C28/E28-1)*100</f>
        <v>-3.3103600548835321</v>
      </c>
    </row>
    <row r="29" spans="1:10" ht="13.4" customHeight="1">
      <c r="A29" s="14"/>
      <c r="B29" s="197" t="s">
        <v>31</v>
      </c>
      <c r="C29" s="816">
        <v>81745</v>
      </c>
      <c r="E29" s="198">
        <v>146755</v>
      </c>
      <c r="F29" s="902"/>
      <c r="H29" s="193">
        <f t="shared" si="2"/>
        <v>-65010</v>
      </c>
      <c r="J29" s="885">
        <f>+(C29/E29-1)*100</f>
        <v>-44.298320329801363</v>
      </c>
    </row>
    <row r="30" spans="1:10" ht="13.4" hidden="1" customHeight="1">
      <c r="A30" s="14"/>
      <c r="B30" s="197" t="s">
        <v>32</v>
      </c>
      <c r="C30" s="194">
        <v>0</v>
      </c>
      <c r="E30" s="198">
        <v>0</v>
      </c>
      <c r="F30" s="902"/>
      <c r="H30" s="193">
        <f t="shared" si="2"/>
        <v>0</v>
      </c>
      <c r="J30" s="885" t="s">
        <v>235</v>
      </c>
    </row>
    <row r="31" spans="1:10" ht="13.4" customHeight="1" thickBot="1">
      <c r="A31" s="14"/>
      <c r="B31" s="197" t="s">
        <v>21</v>
      </c>
      <c r="C31" s="816">
        <v>21477</v>
      </c>
      <c r="E31" s="198">
        <v>12326</v>
      </c>
      <c r="F31" s="894">
        <f>+E31/E$35</f>
        <v>2.3771205980238348E-4</v>
      </c>
      <c r="H31" s="193">
        <f t="shared" si="2"/>
        <v>9151</v>
      </c>
      <c r="J31" s="885">
        <f>+(C31/E31-1)*100</f>
        <v>74.241440856725617</v>
      </c>
    </row>
    <row r="32" spans="1:10" ht="15.75" customHeight="1" thickTop="1" thickBot="1">
      <c r="B32" s="21"/>
      <c r="C32" s="21"/>
      <c r="E32" s="20"/>
      <c r="F32" s="20"/>
      <c r="J32" s="20"/>
    </row>
    <row r="33" spans="1:10" ht="15.75" customHeight="1" thickTop="1" thickBot="1">
      <c r="B33" s="199" t="s">
        <v>33</v>
      </c>
      <c r="C33" s="200">
        <f>SUM(C19:C31)</f>
        <v>22687207</v>
      </c>
      <c r="E33" s="200">
        <f>SUM(E19:E31)</f>
        <v>35631106</v>
      </c>
      <c r="F33" s="890">
        <f>+E33/E35</f>
        <v>0.68716076588488273</v>
      </c>
      <c r="H33" s="200">
        <f>SUM(H19:H31)</f>
        <v>-12943899</v>
      </c>
      <c r="J33" s="963">
        <f>+(C33/E33-1)*100</f>
        <v>-36.32752516859847</v>
      </c>
    </row>
    <row r="34" spans="1:10" ht="9" customHeight="1" thickTop="1" thickBot="1">
      <c r="B34" s="21"/>
      <c r="C34" s="20"/>
      <c r="E34" s="20"/>
      <c r="F34" s="20"/>
      <c r="J34" s="20"/>
    </row>
    <row r="35" spans="1:10" ht="16.5" customHeight="1" thickTop="1" thickBot="1">
      <c r="B35" s="201" t="s">
        <v>34</v>
      </c>
      <c r="C35" s="202">
        <f>+C17+C33</f>
        <v>40611776</v>
      </c>
      <c r="E35" s="202">
        <f>+E17+E33</f>
        <v>51852649</v>
      </c>
      <c r="F35" s="890">
        <f>+E35/E$35</f>
        <v>1</v>
      </c>
      <c r="H35" s="202">
        <f>+H17+H33</f>
        <v>-11240873</v>
      </c>
      <c r="J35" s="896">
        <f>+(C35/E35-1)*100</f>
        <v>-21.678493224135952</v>
      </c>
    </row>
    <row r="36" spans="1:10" ht="16.5" customHeight="1" thickTop="1" thickBot="1">
      <c r="B36" s="203" t="s">
        <v>35</v>
      </c>
      <c r="C36" s="204">
        <f>+C35/$C$108</f>
        <v>10409.832645099441</v>
      </c>
      <c r="E36" s="204">
        <f>+E35/$E$108</f>
        <v>11760.237007132895</v>
      </c>
      <c r="F36" s="897"/>
      <c r="H36" s="204">
        <f>+C36-E36</f>
        <v>-1350.4043620334542</v>
      </c>
      <c r="J36" s="964">
        <f>+(C36/E36-1)*100</f>
        <v>-11.482798868886723</v>
      </c>
    </row>
    <row r="37" spans="1:10" ht="3.75" customHeight="1" thickTop="1" thickBot="1">
      <c r="B37" s="145"/>
      <c r="C37" s="146"/>
      <c r="D37" s="2"/>
      <c r="E37" s="146"/>
      <c r="F37" s="965"/>
      <c r="J37" s="966"/>
    </row>
    <row r="38" spans="1:10" ht="13.5" customHeight="1" thickTop="1">
      <c r="A38" s="14"/>
      <c r="B38" s="192" t="s">
        <v>36</v>
      </c>
      <c r="C38" s="194">
        <v>3371785</v>
      </c>
      <c r="E38" s="194">
        <v>2171508</v>
      </c>
      <c r="F38" s="882">
        <f>+E38/E$67</f>
        <v>0.11252747753863437</v>
      </c>
      <c r="H38" s="193">
        <f t="shared" ref="H38:H50" si="3">+C38-E38</f>
        <v>1200277</v>
      </c>
      <c r="J38" s="883">
        <f t="shared" ref="J38:J44" si="4">+(C38/E38-1)*100</f>
        <v>55.273892612875471</v>
      </c>
    </row>
    <row r="39" spans="1:10" ht="13.5" customHeight="1">
      <c r="A39" s="14"/>
      <c r="B39" s="192" t="s">
        <v>37</v>
      </c>
      <c r="C39" s="194">
        <v>48916</v>
      </c>
      <c r="E39" s="194">
        <v>51704</v>
      </c>
      <c r="F39" s="886"/>
      <c r="H39" s="193">
        <f t="shared" si="3"/>
        <v>-2788</v>
      </c>
      <c r="J39" s="883">
        <f t="shared" si="4"/>
        <v>-5.392232709268141</v>
      </c>
    </row>
    <row r="40" spans="1:10" ht="13.5" customHeight="1">
      <c r="A40" s="14"/>
      <c r="B40" s="192" t="s">
        <v>38</v>
      </c>
      <c r="C40" s="194">
        <v>834842</v>
      </c>
      <c r="E40" s="194">
        <v>731549</v>
      </c>
      <c r="F40" s="886"/>
      <c r="H40" s="193">
        <f t="shared" si="3"/>
        <v>103293</v>
      </c>
      <c r="J40" s="883">
        <f t="shared" si="4"/>
        <v>14.119765046497236</v>
      </c>
    </row>
    <row r="41" spans="1:10" ht="13.5" customHeight="1">
      <c r="A41" s="14"/>
      <c r="B41" s="192" t="s">
        <v>39</v>
      </c>
      <c r="C41" s="194">
        <v>3484751</v>
      </c>
      <c r="E41" s="194">
        <v>3918438</v>
      </c>
      <c r="F41" s="887">
        <f>+E41/E$67</f>
        <v>0.20305333622143296</v>
      </c>
      <c r="H41" s="193">
        <f t="shared" si="3"/>
        <v>-433687</v>
      </c>
      <c r="J41" s="883">
        <f t="shared" si="4"/>
        <v>-11.067854078589479</v>
      </c>
    </row>
    <row r="42" spans="1:10" ht="13.5" customHeight="1">
      <c r="A42" s="14"/>
      <c r="B42" s="192" t="s">
        <v>40</v>
      </c>
      <c r="C42" s="194">
        <v>53190</v>
      </c>
      <c r="E42" s="194">
        <v>56398</v>
      </c>
      <c r="F42" s="887">
        <f>+E42/E$67</f>
        <v>2.9225426193336158E-3</v>
      </c>
      <c r="H42" s="193">
        <f t="shared" si="3"/>
        <v>-3208</v>
      </c>
      <c r="J42" s="883">
        <f t="shared" si="4"/>
        <v>-5.6881449696797759</v>
      </c>
    </row>
    <row r="43" spans="1:10" ht="13.5" customHeight="1">
      <c r="A43" s="14"/>
      <c r="B43" s="197" t="s">
        <v>41</v>
      </c>
      <c r="C43" s="194">
        <v>337810</v>
      </c>
      <c r="E43" s="194">
        <v>331412</v>
      </c>
      <c r="F43" s="887">
        <f>+E43/E$67</f>
        <v>1.7173759611308775E-2</v>
      </c>
      <c r="H43" s="193">
        <f t="shared" si="3"/>
        <v>6398</v>
      </c>
      <c r="J43" s="883">
        <f t="shared" si="4"/>
        <v>1.9305275608608063</v>
      </c>
    </row>
    <row r="44" spans="1:10" ht="13.5" customHeight="1">
      <c r="A44" s="14"/>
      <c r="B44" s="197" t="s">
        <v>42</v>
      </c>
      <c r="C44" s="193">
        <v>279460</v>
      </c>
      <c r="E44" s="194">
        <v>291976</v>
      </c>
      <c r="F44" s="887">
        <f>+E44/E$67</f>
        <v>1.5130187308460439E-2</v>
      </c>
      <c r="H44" s="193">
        <f t="shared" si="3"/>
        <v>-12516</v>
      </c>
      <c r="J44" s="883">
        <f t="shared" si="4"/>
        <v>-4.28665369756418</v>
      </c>
    </row>
    <row r="45" spans="1:10" ht="13.5" hidden="1" customHeight="1">
      <c r="A45" s="14"/>
      <c r="B45" s="197" t="s">
        <v>43</v>
      </c>
      <c r="C45" s="193">
        <v>0</v>
      </c>
      <c r="E45" s="194">
        <v>0</v>
      </c>
      <c r="F45" s="901"/>
      <c r="H45" s="193">
        <f t="shared" si="3"/>
        <v>0</v>
      </c>
      <c r="J45" s="883" t="s">
        <v>235</v>
      </c>
    </row>
    <row r="46" spans="1:10" ht="13.5" hidden="1" customHeight="1">
      <c r="A46" s="14"/>
      <c r="B46" s="197" t="s">
        <v>44</v>
      </c>
      <c r="C46" s="193">
        <v>0</v>
      </c>
      <c r="D46" s="2"/>
      <c r="E46" s="194">
        <v>0</v>
      </c>
      <c r="F46" s="901"/>
      <c r="H46" s="193">
        <f t="shared" si="3"/>
        <v>0</v>
      </c>
      <c r="J46" s="883" t="s">
        <v>235</v>
      </c>
    </row>
    <row r="47" spans="1:10" ht="13.5" customHeight="1">
      <c r="A47" s="14"/>
      <c r="B47" s="197" t="s">
        <v>189</v>
      </c>
      <c r="C47" s="193">
        <v>0</v>
      </c>
      <c r="D47" s="2"/>
      <c r="E47" s="194">
        <v>89941</v>
      </c>
      <c r="F47" s="901"/>
      <c r="H47" s="193">
        <f t="shared" si="3"/>
        <v>-89941</v>
      </c>
      <c r="J47" s="883">
        <f>+(C47/E47-1)*100</f>
        <v>-100</v>
      </c>
    </row>
    <row r="48" spans="1:10" ht="13.5" customHeight="1" thickBot="1">
      <c r="A48" s="14"/>
      <c r="B48" s="197" t="s">
        <v>51</v>
      </c>
      <c r="C48" s="193">
        <v>444377</v>
      </c>
      <c r="E48" s="194">
        <v>585500</v>
      </c>
      <c r="F48" s="967">
        <f>+E48/E$67</f>
        <v>3.0340591929143446E-2</v>
      </c>
      <c r="H48" s="193">
        <f t="shared" si="3"/>
        <v>-141123</v>
      </c>
      <c r="J48" s="883">
        <f>+(C48/E48-1)*100</f>
        <v>-24.102988898377454</v>
      </c>
    </row>
    <row r="49" spans="1:10" ht="13.5" customHeight="1" thickTop="1" thickBot="1">
      <c r="A49" s="14"/>
      <c r="B49" s="192" t="s">
        <v>31</v>
      </c>
      <c r="C49" s="193">
        <v>182470</v>
      </c>
      <c r="E49" s="194">
        <v>37575</v>
      </c>
      <c r="F49" s="967">
        <f>+E49/E$67</f>
        <v>1.9471353402861914E-3</v>
      </c>
      <c r="H49" s="193">
        <f t="shared" si="3"/>
        <v>144895</v>
      </c>
      <c r="J49" s="883">
        <f>+(C49/E49-1)*100</f>
        <v>385.61543579507651</v>
      </c>
    </row>
    <row r="50" spans="1:10" ht="13.5" customHeight="1" thickTop="1" thickBot="1">
      <c r="A50" s="14"/>
      <c r="B50" s="192" t="s">
        <v>47</v>
      </c>
      <c r="C50" s="193">
        <v>851</v>
      </c>
      <c r="E50" s="193">
        <v>842</v>
      </c>
      <c r="F50" s="967">
        <f>+E50/E$67</f>
        <v>4.3632414012534215E-5</v>
      </c>
      <c r="H50" s="193">
        <f t="shared" si="3"/>
        <v>9</v>
      </c>
      <c r="J50" s="883">
        <f>+(C50/E50-1)*100</f>
        <v>1.0688836104512989</v>
      </c>
    </row>
    <row r="51" spans="1:10" ht="16.5" customHeight="1" thickTop="1" thickBot="1">
      <c r="B51" s="199" t="s">
        <v>48</v>
      </c>
      <c r="C51" s="200">
        <f>+SUM(C38:C50)</f>
        <v>9038452</v>
      </c>
      <c r="E51" s="200">
        <f>+SUM(E38:E50)</f>
        <v>8266843</v>
      </c>
      <c r="F51" s="890">
        <f>+E51/E$67</f>
        <v>0.42838754911237575</v>
      </c>
      <c r="H51" s="200">
        <f>+SUM(H38:H50)</f>
        <v>771609</v>
      </c>
      <c r="J51" s="963">
        <f>+(C51/E51-1)*100</f>
        <v>9.3337807431446365</v>
      </c>
    </row>
    <row r="52" spans="1:10" ht="9" customHeight="1" thickTop="1" thickBot="1">
      <c r="C52" s="2"/>
      <c r="E52" s="2"/>
      <c r="F52" s="20"/>
      <c r="J52" s="20"/>
    </row>
    <row r="53" spans="1:10" ht="15" customHeight="1" thickTop="1">
      <c r="A53" s="14"/>
      <c r="B53" s="197" t="s">
        <v>36</v>
      </c>
      <c r="C53" s="193">
        <v>2773919</v>
      </c>
      <c r="E53" s="194">
        <v>3356071</v>
      </c>
      <c r="F53" s="882">
        <f>+E53/E$67</f>
        <v>0.17391149563831321</v>
      </c>
      <c r="H53" s="193">
        <f t="shared" ref="H53:H63" si="5">+C53-E53</f>
        <v>-582152</v>
      </c>
      <c r="J53" s="883">
        <f t="shared" ref="J53:J63" si="6">+(C53/E53-1)*100</f>
        <v>-17.346236119557656</v>
      </c>
    </row>
    <row r="54" spans="1:10" ht="15" customHeight="1">
      <c r="A54" s="14"/>
      <c r="B54" s="197" t="s">
        <v>37</v>
      </c>
      <c r="C54" s="193">
        <v>92243</v>
      </c>
      <c r="E54" s="194">
        <v>131641</v>
      </c>
      <c r="F54" s="886"/>
      <c r="H54" s="193">
        <f t="shared" si="5"/>
        <v>-39398</v>
      </c>
      <c r="J54" s="883">
        <f t="shared" si="6"/>
        <v>-29.928365782696876</v>
      </c>
    </row>
    <row r="55" spans="1:10">
      <c r="A55" s="14"/>
      <c r="B55" s="197" t="s">
        <v>38</v>
      </c>
      <c r="C55" s="193">
        <v>4574307</v>
      </c>
      <c r="E55" s="194">
        <v>5144207</v>
      </c>
      <c r="F55" s="886"/>
      <c r="H55" s="193">
        <f t="shared" si="5"/>
        <v>-569900</v>
      </c>
      <c r="J55" s="883">
        <f t="shared" si="6"/>
        <v>-11.078481095336945</v>
      </c>
    </row>
    <row r="56" spans="1:10" ht="14.25" customHeight="1">
      <c r="A56" s="14"/>
      <c r="B56" s="197" t="s">
        <v>30</v>
      </c>
      <c r="C56" s="193">
        <v>2969840</v>
      </c>
      <c r="E56" s="194">
        <v>1804928</v>
      </c>
      <c r="F56" s="886"/>
      <c r="H56" s="193">
        <f t="shared" si="5"/>
        <v>1164912</v>
      </c>
      <c r="J56" s="883">
        <f t="shared" si="6"/>
        <v>64.540635415927937</v>
      </c>
    </row>
    <row r="57" spans="1:10" ht="14.25" customHeight="1">
      <c r="A57" s="14"/>
      <c r="B57" s="197" t="s">
        <v>40</v>
      </c>
      <c r="C57" s="193">
        <v>166611</v>
      </c>
      <c r="D57" s="2"/>
      <c r="E57" s="194">
        <v>66002</v>
      </c>
      <c r="F57" s="886"/>
      <c r="H57" s="193">
        <f t="shared" si="5"/>
        <v>100609</v>
      </c>
      <c r="J57" s="883">
        <f t="shared" si="6"/>
        <v>152.43325959819401</v>
      </c>
    </row>
    <row r="58" spans="1:10">
      <c r="A58" s="14"/>
      <c r="B58" s="197" t="s">
        <v>50</v>
      </c>
      <c r="C58" s="193">
        <v>159562</v>
      </c>
      <c r="E58" s="194">
        <v>36098</v>
      </c>
      <c r="F58" s="886"/>
      <c r="H58" s="193">
        <f t="shared" si="5"/>
        <v>123464</v>
      </c>
      <c r="J58" s="883">
        <f t="shared" si="6"/>
        <v>342.02448889135127</v>
      </c>
    </row>
    <row r="59" spans="1:10" ht="14.25" customHeight="1">
      <c r="A59" s="14"/>
      <c r="B59" s="197" t="s">
        <v>42</v>
      </c>
      <c r="C59" s="193">
        <v>329057</v>
      </c>
      <c r="E59" s="194">
        <v>333645</v>
      </c>
      <c r="F59" s="887">
        <f>+E59/E$67</f>
        <v>1.7289473602389523E-2</v>
      </c>
      <c r="H59" s="193">
        <f t="shared" si="5"/>
        <v>-4588</v>
      </c>
      <c r="J59" s="883">
        <f t="shared" si="6"/>
        <v>-1.3751142681592721</v>
      </c>
    </row>
    <row r="60" spans="1:10" ht="14.25" hidden="1" customHeight="1">
      <c r="A60" s="14"/>
      <c r="B60" s="197" t="s">
        <v>43</v>
      </c>
      <c r="C60" s="193">
        <v>0</v>
      </c>
      <c r="E60" s="194">
        <v>0</v>
      </c>
      <c r="F60" s="887"/>
      <c r="H60" s="193">
        <f t="shared" si="5"/>
        <v>0</v>
      </c>
      <c r="J60" s="883" t="s">
        <v>235</v>
      </c>
    </row>
    <row r="61" spans="1:10" ht="14.25" customHeight="1">
      <c r="A61" s="14"/>
      <c r="B61" s="197" t="s">
        <v>31</v>
      </c>
      <c r="C61" s="193">
        <v>74300</v>
      </c>
      <c r="E61" s="194">
        <v>85861</v>
      </c>
      <c r="F61" s="887"/>
      <c r="H61" s="193">
        <f t="shared" si="5"/>
        <v>-11561</v>
      </c>
      <c r="J61" s="883">
        <f t="shared" si="6"/>
        <v>-13.464786107778847</v>
      </c>
    </row>
    <row r="62" spans="1:10" ht="14.25" hidden="1" customHeight="1">
      <c r="A62" s="14"/>
      <c r="B62" s="197" t="s">
        <v>41</v>
      </c>
      <c r="C62" s="193">
        <v>0</v>
      </c>
      <c r="E62" s="194">
        <v>0</v>
      </c>
      <c r="F62" s="887"/>
      <c r="H62" s="193">
        <f t="shared" si="5"/>
        <v>0</v>
      </c>
      <c r="J62" s="883" t="s">
        <v>235</v>
      </c>
    </row>
    <row r="63" spans="1:10" ht="14.25" customHeight="1">
      <c r="A63" s="14"/>
      <c r="B63" s="197" t="s">
        <v>51</v>
      </c>
      <c r="C63" s="194">
        <v>53479</v>
      </c>
      <c r="E63" s="194">
        <v>72284</v>
      </c>
      <c r="F63" s="887"/>
      <c r="H63" s="193">
        <f t="shared" si="5"/>
        <v>-18805</v>
      </c>
      <c r="J63" s="883">
        <f t="shared" si="6"/>
        <v>-26.015439101322556</v>
      </c>
    </row>
    <row r="64" spans="1:10" ht="12" customHeight="1" thickBot="1">
      <c r="B64" s="21"/>
      <c r="C64" s="20"/>
      <c r="E64" s="20"/>
      <c r="F64" s="20"/>
      <c r="J64" s="20"/>
    </row>
    <row r="65" spans="2:10" ht="15.75" customHeight="1" thickTop="1" thickBot="1">
      <c r="B65" s="199" t="s">
        <v>52</v>
      </c>
      <c r="C65" s="205">
        <f>SUM(C53:C64)</f>
        <v>11193318</v>
      </c>
      <c r="E65" s="205">
        <f>SUM(E53:E64)</f>
        <v>11030737</v>
      </c>
      <c r="F65" s="890" t="e">
        <f>+E65/E$77</f>
        <v>#DIV/0!</v>
      </c>
      <c r="H65" s="205">
        <f>SUM(H53:H64)</f>
        <v>162581</v>
      </c>
      <c r="J65" s="963">
        <f>+(C65/E65-1)*100</f>
        <v>1.4738906384949679</v>
      </c>
    </row>
    <row r="66" spans="2:10" ht="3.75" customHeight="1" thickTop="1" thickBot="1">
      <c r="B66" s="21"/>
      <c r="C66" s="20"/>
      <c r="E66" s="20"/>
      <c r="F66" s="20"/>
      <c r="J66" s="20"/>
    </row>
    <row r="67" spans="2:10" ht="16.5" customHeight="1" thickTop="1" thickBot="1">
      <c r="B67" s="201" t="s">
        <v>53</v>
      </c>
      <c r="C67" s="206">
        <f>+C51+C65</f>
        <v>20231770</v>
      </c>
      <c r="E67" s="206">
        <f>+E51+E65</f>
        <v>19297580</v>
      </c>
      <c r="F67" s="890">
        <f>+E67/E$67</f>
        <v>1</v>
      </c>
      <c r="H67" s="206">
        <f>+H51+H65</f>
        <v>934190</v>
      </c>
      <c r="J67" s="968">
        <f>+(C67/E67-1)*100</f>
        <v>4.8409696967184557</v>
      </c>
    </row>
    <row r="68" spans="2:10" ht="16.5" customHeight="1" thickTop="1" thickBot="1">
      <c r="B68" s="203" t="s">
        <v>35</v>
      </c>
      <c r="C68" s="204">
        <f>+C67/$C$108</f>
        <v>5185.9179912285426</v>
      </c>
      <c r="E68" s="204">
        <f>+E67/$E$108</f>
        <v>4376.7120646836693</v>
      </c>
      <c r="F68" s="897"/>
      <c r="H68" s="204">
        <f>+C68-E68</f>
        <v>809.20592654487336</v>
      </c>
      <c r="J68" s="964">
        <f>+(C68/E68-1)*100</f>
        <v>18.488900219744274</v>
      </c>
    </row>
    <row r="69" spans="2:10" ht="5.25" customHeight="1" thickTop="1" thickBot="1">
      <c r="B69" s="145"/>
      <c r="C69" s="146"/>
      <c r="D69" s="2"/>
      <c r="E69" s="146"/>
      <c r="F69" s="965"/>
      <c r="J69" s="969"/>
    </row>
    <row r="70" spans="2:10" ht="16.5" customHeight="1" thickTop="1" thickBot="1">
      <c r="B70" s="201" t="s">
        <v>54</v>
      </c>
      <c r="C70" s="202">
        <f>+C104</f>
        <v>20380006</v>
      </c>
      <c r="E70" s="202">
        <f>+E104</f>
        <v>32555069</v>
      </c>
      <c r="F70" s="890"/>
      <c r="H70" s="206">
        <f>+H104</f>
        <v>-12175063</v>
      </c>
      <c r="J70" s="968">
        <f>+(C70/E70-1)*100</f>
        <v>-37.398363370079167</v>
      </c>
    </row>
    <row r="71" spans="2:10" ht="16.5" customHeight="1" thickTop="1" thickBot="1">
      <c r="B71" s="203" t="s">
        <v>35</v>
      </c>
      <c r="C71" s="204">
        <f>+C70/$C$108</f>
        <v>5223.9146538708992</v>
      </c>
      <c r="E71" s="204">
        <f>+E70/$E$108</f>
        <v>7383.5249424492258</v>
      </c>
      <c r="F71" s="897"/>
      <c r="H71" s="204">
        <f>+C71-E71</f>
        <v>-2159.6102885783266</v>
      </c>
      <c r="J71" s="964">
        <f>+(C71/E71-1)*100</f>
        <v>-29.249041689591039</v>
      </c>
    </row>
    <row r="72" spans="2:10" ht="3.75" customHeight="1" thickTop="1" thickBot="1">
      <c r="B72" s="145"/>
      <c r="C72" s="146"/>
      <c r="D72" s="2"/>
      <c r="E72" s="146"/>
      <c r="F72" s="965"/>
      <c r="J72" s="969"/>
    </row>
    <row r="73" spans="2:10" ht="20.25" customHeight="1" thickTop="1" thickBot="1">
      <c r="B73" s="199" t="s">
        <v>55</v>
      </c>
      <c r="C73" s="200">
        <f>+C67+C70</f>
        <v>40611776</v>
      </c>
      <c r="E73" s="200">
        <f>+E67+E70</f>
        <v>51852649</v>
      </c>
      <c r="F73" s="890"/>
      <c r="H73" s="200">
        <f>+H67+H70</f>
        <v>-11240873</v>
      </c>
      <c r="J73" s="963">
        <f>+(C73/E73-1)*100</f>
        <v>-21.678493224135952</v>
      </c>
    </row>
    <row r="74" spans="2:10" ht="21.75" hidden="1" customHeight="1" thickTop="1" thickBot="1">
      <c r="C74" s="207">
        <v>0</v>
      </c>
      <c r="E74" s="207">
        <v>0</v>
      </c>
      <c r="F74" s="20"/>
    </row>
    <row r="75" spans="2:10" ht="13.5" hidden="1" customHeight="1" thickTop="1">
      <c r="B75" s="2" t="s">
        <v>236</v>
      </c>
      <c r="C75" s="207">
        <v>0</v>
      </c>
      <c r="E75" s="207">
        <v>0</v>
      </c>
      <c r="F75" s="20"/>
    </row>
    <row r="76" spans="2:10" ht="16.5" hidden="1" customHeight="1" thickTop="1">
      <c r="C76" s="208">
        <v>0</v>
      </c>
      <c r="E76" s="208">
        <v>0</v>
      </c>
      <c r="F76" s="20"/>
    </row>
    <row r="77" spans="2:10" ht="16.5" hidden="1" customHeight="1" thickTop="1">
      <c r="B77" s="209" t="s">
        <v>237</v>
      </c>
      <c r="C77" s="210"/>
      <c r="E77" s="210"/>
      <c r="F77" s="20"/>
    </row>
    <row r="78" spans="2:10" ht="16.5" hidden="1" customHeight="1" thickTop="1">
      <c r="B78" s="210" t="s">
        <v>238</v>
      </c>
      <c r="C78" s="211">
        <v>6097553</v>
      </c>
      <c r="E78" s="211">
        <v>6750120</v>
      </c>
      <c r="F78" s="20"/>
    </row>
    <row r="79" spans="2:10" ht="16.5" hidden="1" customHeight="1" thickTop="1">
      <c r="B79" s="210" t="s">
        <v>239</v>
      </c>
      <c r="C79" s="211">
        <v>9584649</v>
      </c>
      <c r="E79" s="211">
        <v>9616672</v>
      </c>
      <c r="F79" s="20"/>
    </row>
    <row r="80" spans="2:10" ht="16.5" hidden="1" customHeight="1" thickTop="1">
      <c r="B80" s="210" t="s">
        <v>240</v>
      </c>
      <c r="C80" s="211">
        <v>20334054</v>
      </c>
      <c r="E80" s="211">
        <v>20684668</v>
      </c>
      <c r="F80" s="20"/>
    </row>
    <row r="81" spans="1:10" ht="16.5" hidden="1" customHeight="1" thickTop="1">
      <c r="B81" s="210" t="s">
        <v>241</v>
      </c>
      <c r="C81" s="211">
        <v>9991546</v>
      </c>
      <c r="E81" s="211">
        <v>10516489</v>
      </c>
      <c r="F81" s="20"/>
    </row>
    <row r="82" spans="1:10" ht="16.5" hidden="1" customHeight="1" thickTop="1">
      <c r="B82" s="210" t="s">
        <v>236</v>
      </c>
      <c r="C82" s="211">
        <v>0</v>
      </c>
      <c r="E82" s="211">
        <v>0</v>
      </c>
      <c r="F82" s="20"/>
    </row>
    <row r="83" spans="1:10" s="10" customFormat="1" ht="16.5" hidden="1" customHeight="1" thickTop="1">
      <c r="B83" s="210"/>
      <c r="C83" s="212"/>
      <c r="E83" s="212"/>
      <c r="J83" s="2"/>
    </row>
    <row r="84" spans="1:10" s="10" customFormat="1" ht="16.5" hidden="1" customHeight="1" thickTop="1">
      <c r="B84" s="209" t="s">
        <v>242</v>
      </c>
      <c r="C84" s="210"/>
      <c r="E84" s="210"/>
      <c r="J84" s="2"/>
    </row>
    <row r="85" spans="1:10" s="10" customFormat="1" ht="16.5" hidden="1" customHeight="1" thickTop="1">
      <c r="B85" s="210" t="s">
        <v>243</v>
      </c>
      <c r="C85" s="211">
        <v>3652825</v>
      </c>
      <c r="E85" s="211">
        <v>2874332</v>
      </c>
      <c r="J85" s="2"/>
    </row>
    <row r="86" spans="1:10" s="10" customFormat="1" ht="16.5" hidden="1" customHeight="1" thickTop="1">
      <c r="B86" s="210" t="s">
        <v>244</v>
      </c>
      <c r="C86" s="211">
        <v>3705299</v>
      </c>
      <c r="E86" s="211">
        <v>4233415</v>
      </c>
      <c r="J86" s="2"/>
    </row>
    <row r="87" spans="1:10" s="10" customFormat="1" ht="16.5" hidden="1" customHeight="1" thickTop="1">
      <c r="B87" s="210" t="s">
        <v>245</v>
      </c>
      <c r="C87" s="211">
        <v>7030591</v>
      </c>
      <c r="E87" s="211">
        <v>6653888</v>
      </c>
      <c r="J87" s="2"/>
    </row>
    <row r="88" spans="1:10" s="10" customFormat="1" ht="16.5" hidden="1" customHeight="1" thickTop="1">
      <c r="B88" s="210" t="s">
        <v>246</v>
      </c>
      <c r="C88" s="211">
        <v>4897792</v>
      </c>
      <c r="E88" s="211">
        <v>6499405</v>
      </c>
      <c r="J88" s="2"/>
    </row>
    <row r="89" spans="1:10" s="10" customFormat="1" ht="16.5" hidden="1" customHeight="1" thickTop="1">
      <c r="B89" s="210" t="s">
        <v>247</v>
      </c>
      <c r="C89" s="211">
        <v>2921111</v>
      </c>
      <c r="E89" s="211">
        <v>2999761</v>
      </c>
      <c r="J89" s="2"/>
    </row>
    <row r="90" spans="1:10" s="10" customFormat="1" ht="16.5" hidden="1" customHeight="1" thickTop="1">
      <c r="B90" s="210" t="s">
        <v>236</v>
      </c>
      <c r="C90" s="211">
        <v>0</v>
      </c>
      <c r="E90" s="211">
        <v>0</v>
      </c>
      <c r="J90" s="2"/>
    </row>
    <row r="91" spans="1:10" s="10" customFormat="1" ht="16.5" customHeight="1" thickTop="1">
      <c r="B91" s="2"/>
      <c r="J91" s="2"/>
    </row>
    <row r="92" spans="1:10" s="10" customFormat="1" ht="16.5" customHeight="1" thickBot="1">
      <c r="B92" s="2"/>
      <c r="J92" s="2"/>
    </row>
    <row r="93" spans="1:10" s="10" customFormat="1" ht="33" customHeight="1" thickTop="1" thickBot="1">
      <c r="B93" s="2"/>
      <c r="C93" s="190">
        <f>+C6</f>
        <v>45901</v>
      </c>
      <c r="E93" s="190">
        <f>+E6</f>
        <v>45627</v>
      </c>
      <c r="F93" s="191" t="s">
        <v>232</v>
      </c>
      <c r="H93" s="213" t="s">
        <v>253</v>
      </c>
      <c r="J93" s="190" t="s">
        <v>233</v>
      </c>
    </row>
    <row r="94" spans="1:10" s="10" customFormat="1" ht="16.5" customHeight="1" thickTop="1" thickBot="1">
      <c r="B94" s="2"/>
      <c r="E94" s="214"/>
    </row>
    <row r="95" spans="1:10" s="10" customFormat="1" ht="15" customHeight="1" thickTop="1">
      <c r="A95" s="14"/>
      <c r="B95" s="197" t="s">
        <v>56</v>
      </c>
      <c r="C95" s="193">
        <v>54934</v>
      </c>
      <c r="E95" s="193">
        <v>54697</v>
      </c>
      <c r="F95" s="882">
        <f>+E95/E$67</f>
        <v>2.8343968518332349E-3</v>
      </c>
      <c r="H95" s="193">
        <f t="shared" ref="H95:H103" si="7">+C95-E95</f>
        <v>237</v>
      </c>
      <c r="J95" s="883">
        <f t="shared" ref="J95:J103" si="8">+(C95/E95-1)*100</f>
        <v>0.43329615883869188</v>
      </c>
    </row>
    <row r="96" spans="1:10" s="10" customFormat="1" ht="14.25" customHeight="1">
      <c r="A96" s="14"/>
      <c r="B96" s="197" t="s">
        <v>57</v>
      </c>
      <c r="C96" s="193">
        <v>0</v>
      </c>
      <c r="E96" s="193">
        <v>1503373</v>
      </c>
      <c r="F96" s="887">
        <f>+E96/E$67</f>
        <v>7.7904742459935394E-2</v>
      </c>
      <c r="H96" s="193">
        <f t="shared" si="7"/>
        <v>-1503373</v>
      </c>
      <c r="J96" s="883">
        <f t="shared" si="8"/>
        <v>-100</v>
      </c>
    </row>
    <row r="97" spans="1:10" s="10" customFormat="1" ht="14.25" customHeight="1">
      <c r="A97" s="14"/>
      <c r="B97" s="197" t="s">
        <v>249</v>
      </c>
      <c r="C97" s="193">
        <v>-525164</v>
      </c>
      <c r="E97" s="193">
        <v>-428360</v>
      </c>
      <c r="F97" s="887"/>
      <c r="H97" s="193">
        <f t="shared" si="7"/>
        <v>-96804</v>
      </c>
      <c r="J97" s="883">
        <f t="shared" si="8"/>
        <v>22.598748716033246</v>
      </c>
    </row>
    <row r="98" spans="1:10" s="10" customFormat="1">
      <c r="A98" s="14"/>
      <c r="B98" s="197" t="s">
        <v>530</v>
      </c>
      <c r="C98" s="194">
        <v>178319</v>
      </c>
      <c r="E98" s="194">
        <v>2374619</v>
      </c>
      <c r="F98" s="887"/>
      <c r="H98" s="193">
        <f t="shared" si="7"/>
        <v>-2196300</v>
      </c>
      <c r="J98" s="883">
        <f t="shared" si="8"/>
        <v>-92.490626917412854</v>
      </c>
    </row>
    <row r="99" spans="1:10" s="10" customFormat="1">
      <c r="A99" s="14"/>
      <c r="B99" s="197" t="s">
        <v>59</v>
      </c>
      <c r="C99" s="194">
        <v>2739886</v>
      </c>
      <c r="E99" s="193">
        <v>3344004</v>
      </c>
      <c r="F99" s="887">
        <f>+E99/E$67</f>
        <v>0.17328618407074878</v>
      </c>
      <c r="H99" s="193">
        <f t="shared" si="7"/>
        <v>-604118</v>
      </c>
      <c r="J99" s="883">
        <f t="shared" si="8"/>
        <v>-18.065708055373143</v>
      </c>
    </row>
    <row r="100" spans="1:10" s="10" customFormat="1" ht="14.25" customHeight="1">
      <c r="A100" s="14"/>
      <c r="B100" s="197" t="s">
        <v>248</v>
      </c>
      <c r="C100" s="194">
        <v>537695</v>
      </c>
      <c r="E100" s="194">
        <v>-1267586</v>
      </c>
      <c r="F100" s="901"/>
      <c r="H100" s="193">
        <f t="shared" si="7"/>
        <v>1805281</v>
      </c>
      <c r="J100" s="883">
        <f t="shared" si="8"/>
        <v>-142.41881813147194</v>
      </c>
    </row>
    <row r="101" spans="1:10">
      <c r="A101" s="14"/>
      <c r="B101" s="215" t="s">
        <v>61</v>
      </c>
      <c r="C101" s="193">
        <v>5188413</v>
      </c>
      <c r="E101" s="194">
        <v>11651505</v>
      </c>
      <c r="F101" s="901"/>
      <c r="H101" s="193">
        <f t="shared" si="7"/>
        <v>-6463092</v>
      </c>
      <c r="J101" s="883">
        <f t="shared" si="8"/>
        <v>-55.470018679990261</v>
      </c>
    </row>
    <row r="102" spans="1:10" ht="15" customHeight="1" thickBot="1">
      <c r="A102" s="14"/>
      <c r="B102" s="197" t="s">
        <v>63</v>
      </c>
      <c r="C102" s="193">
        <f>2643751+('[6]PYG GA cons.'!C6*93.3381023513953%)*0</f>
        <v>2643751</v>
      </c>
      <c r="E102" s="193">
        <v>4544419</v>
      </c>
      <c r="F102" s="967">
        <f>+E102/E$67</f>
        <v>0.23549165232117189</v>
      </c>
      <c r="H102" s="193">
        <f t="shared" si="7"/>
        <v>-1900668</v>
      </c>
      <c r="J102" s="883">
        <f t="shared" si="8"/>
        <v>-41.824224394801625</v>
      </c>
    </row>
    <row r="103" spans="1:10" ht="15.75" customHeight="1" thickTop="1" thickBot="1">
      <c r="A103" s="14"/>
      <c r="B103" s="197" t="s">
        <v>65</v>
      </c>
      <c r="C103" s="193">
        <f>9562172+'[6]PYG GA cons.'!$C$6*(100%-93.3381023513953%)*0</f>
        <v>9562172</v>
      </c>
      <c r="E103" s="193">
        <v>10778398</v>
      </c>
      <c r="F103" s="967">
        <f>+E103/E$67</f>
        <v>0.55853625169580845</v>
      </c>
      <c r="H103" s="193">
        <f t="shared" si="7"/>
        <v>-1216226</v>
      </c>
      <c r="J103" s="883">
        <f t="shared" si="8"/>
        <v>-11.283921785037077</v>
      </c>
    </row>
    <row r="104" spans="1:10" ht="16.5" customHeight="1" thickTop="1" thickBot="1">
      <c r="B104" s="199" t="s">
        <v>54</v>
      </c>
      <c r="C104" s="205">
        <f>+SUM(C95:C103)</f>
        <v>20380006</v>
      </c>
      <c r="E104" s="205">
        <f>+SUM(E95:E103)</f>
        <v>32555069</v>
      </c>
      <c r="F104" s="890"/>
      <c r="H104" s="205">
        <f>+SUM(H95:H103)</f>
        <v>-12175063</v>
      </c>
      <c r="J104" s="963">
        <f>+(C104/E104-1)*100</f>
        <v>-37.398363370079167</v>
      </c>
    </row>
    <row r="105" spans="1:10" ht="16.5" customHeight="1" thickTop="1"/>
    <row r="106" spans="1:10" ht="14.25" customHeight="1">
      <c r="C106" s="208">
        <f>+C35-C67-C104</f>
        <v>0</v>
      </c>
      <c r="E106" s="216">
        <f>+E35-E67-E104</f>
        <v>0</v>
      </c>
      <c r="F106" s="216">
        <f>+F35-F67-F104</f>
        <v>0</v>
      </c>
      <c r="J106" s="14"/>
    </row>
    <row r="107" spans="1:10" ht="14.25" customHeight="1">
      <c r="C107" s="217">
        <f>+C36-C68-C71</f>
        <v>0</v>
      </c>
      <c r="E107" s="216">
        <f>+E36-E68-E71</f>
        <v>0</v>
      </c>
      <c r="F107" s="216">
        <f>+F36-F68-F71</f>
        <v>0</v>
      </c>
    </row>
    <row r="108" spans="1:10" ht="14.25" customHeight="1">
      <c r="B108" s="2" t="s">
        <v>250</v>
      </c>
      <c r="C108" s="217">
        <v>3901.29</v>
      </c>
      <c r="E108" s="217">
        <v>4409.1499999999996</v>
      </c>
      <c r="F108" s="217"/>
      <c r="J108" s="218"/>
    </row>
    <row r="109" spans="1:10" ht="14.25" customHeight="1">
      <c r="J109" s="14"/>
    </row>
    <row r="110" spans="1:10" ht="21" customHeight="1">
      <c r="B110" s="219"/>
      <c r="C110" s="985">
        <f>+C102-'ER GA Cons Acum.'!C65</f>
        <v>0</v>
      </c>
      <c r="D110" s="220"/>
      <c r="E110" s="221"/>
    </row>
    <row r="111" spans="1:10" ht="30.75" customHeight="1"/>
    <row r="112" spans="1:10" ht="16.5" customHeight="1">
      <c r="C112" s="222"/>
      <c r="E112" s="148"/>
      <c r="J112" s="14"/>
    </row>
    <row r="113" spans="1:10">
      <c r="C113" s="222"/>
      <c r="E113" s="214"/>
    </row>
    <row r="114" spans="1:10" ht="14.25" customHeight="1">
      <c r="B114" s="1224"/>
      <c r="C114" s="1197"/>
      <c r="D114" s="1197"/>
      <c r="E114" s="1197"/>
    </row>
    <row r="115" spans="1:10">
      <c r="C115" s="214"/>
      <c r="D115" s="214"/>
      <c r="E115" s="214"/>
    </row>
    <row r="116" spans="1:10">
      <c r="A116" s="95"/>
    </row>
    <row r="117" spans="1:10">
      <c r="E117" s="148"/>
    </row>
    <row r="118" spans="1:10" ht="14.5">
      <c r="B118" s="45"/>
      <c r="C118" s="223"/>
      <c r="D118" s="223"/>
      <c r="E118" s="223"/>
    </row>
    <row r="119" spans="1:10" ht="14.5">
      <c r="B119" s="47"/>
      <c r="C119" s="224"/>
      <c r="D119" s="224"/>
      <c r="E119" s="225"/>
      <c r="J119" s="226"/>
    </row>
    <row r="120" spans="1:10" ht="14.5">
      <c r="B120" s="47"/>
      <c r="C120" s="223"/>
      <c r="D120" s="223"/>
      <c r="E120" s="227"/>
      <c r="J120" s="228"/>
    </row>
    <row r="121" spans="1:10" ht="14.5">
      <c r="B121" s="47"/>
      <c r="C121" s="223"/>
      <c r="D121" s="223"/>
      <c r="E121" s="227"/>
      <c r="J121" s="228"/>
    </row>
    <row r="122" spans="1:10" ht="14.5">
      <c r="B122" s="47"/>
      <c r="C122" s="223"/>
      <c r="D122" s="223"/>
      <c r="E122" s="227"/>
      <c r="J122" s="228"/>
    </row>
    <row r="123" spans="1:10" ht="14.5">
      <c r="B123" s="47"/>
      <c r="C123" s="223"/>
      <c r="D123" s="223"/>
      <c r="E123" s="227"/>
      <c r="J123" s="228"/>
    </row>
    <row r="124" spans="1:10" ht="14.5">
      <c r="B124" s="47"/>
      <c r="C124" s="223"/>
      <c r="D124" s="223"/>
      <c r="E124" s="227"/>
      <c r="J124" s="228"/>
    </row>
    <row r="125" spans="1:10" ht="14.5">
      <c r="B125" s="47"/>
      <c r="C125" s="223"/>
      <c r="D125" s="223"/>
      <c r="E125" s="227"/>
      <c r="J125" s="228"/>
    </row>
    <row r="126" spans="1:10" ht="14.5">
      <c r="B126" s="47"/>
      <c r="C126" s="223"/>
      <c r="D126" s="223"/>
      <c r="E126" s="227"/>
      <c r="J126" s="228"/>
    </row>
    <row r="127" spans="1:10" ht="14.5">
      <c r="B127" s="47"/>
      <c r="C127" s="223"/>
      <c r="D127" s="223"/>
      <c r="E127" s="227"/>
    </row>
    <row r="128" spans="1:10" ht="14.5">
      <c r="B128" s="45"/>
      <c r="C128" s="229"/>
      <c r="D128" s="229"/>
      <c r="E128" s="229"/>
      <c r="J128" s="230"/>
    </row>
  </sheetData>
  <mergeCells count="4">
    <mergeCell ref="B114:E114"/>
    <mergeCell ref="B1:J1"/>
    <mergeCell ref="B2:J2"/>
    <mergeCell ref="B3:J3"/>
  </mergeCells>
  <pageMargins left="0.7" right="0.7" top="0.75" bottom="0.75" header="0.3" footer="0.3"/>
  <customProperties>
    <customPr name="EpmWorksheetKeyString_GUID" r:id="rId1"/>
  </customPropertie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DE54-B2CC-4E76-8285-3EB38A2F0345}">
  <dimension ref="A1:AG120"/>
  <sheetViews>
    <sheetView showGridLines="0" topLeftCell="A58" zoomScale="85" zoomScaleNormal="85" workbookViewId="0">
      <selection activeCell="E60" sqref="E60"/>
    </sheetView>
  </sheetViews>
  <sheetFormatPr baseColWidth="10" defaultColWidth="13" defaultRowHeight="12.5"/>
  <cols>
    <col min="1" max="1" width="4.1796875" style="51" customWidth="1"/>
    <col min="2" max="2" width="46.453125" style="51" customWidth="1"/>
    <col min="3" max="3" width="14.81640625" style="51" customWidth="1"/>
    <col min="4" max="4" width="0.453125" style="51" customWidth="1"/>
    <col min="5" max="5" width="13.453125" style="55" customWidth="1"/>
    <col min="6" max="6" width="10.7265625" style="51" customWidth="1"/>
    <col min="7" max="7" width="11.81640625" style="51" customWidth="1"/>
    <col min="8" max="8" width="72.81640625" style="51" customWidth="1"/>
    <col min="9" max="9" width="13.81640625" style="237" customWidth="1"/>
    <col min="10" max="10" width="13" style="51"/>
    <col min="11" max="11" width="11.1796875" style="51" bestFit="1" customWidth="1"/>
    <col min="12" max="12" width="0.453125" style="51" customWidth="1"/>
    <col min="13" max="13" width="10.81640625" style="51" hidden="1" customWidth="1"/>
    <col min="14" max="14" width="12" style="51" hidden="1" customWidth="1"/>
    <col min="15" max="15" width="3.81640625" style="51" hidden="1" customWidth="1"/>
    <col min="16" max="16" width="14" style="51" hidden="1" customWidth="1"/>
    <col min="17" max="17" width="13" style="51" hidden="1" customWidth="1"/>
    <col min="18" max="18" width="1.453125" style="51" hidden="1" customWidth="1"/>
    <col min="19" max="24" width="13.453125" style="51" hidden="1" customWidth="1"/>
    <col min="25" max="26" width="12.81640625" style="51" hidden="1" customWidth="1"/>
    <col min="27" max="27" width="13.453125" style="51" hidden="1" customWidth="1"/>
    <col min="28" max="28" width="12.7265625" style="99" hidden="1" customWidth="1"/>
    <col min="29" max="16384" width="13" style="51"/>
  </cols>
  <sheetData>
    <row r="1" spans="1:33" ht="16.5" customHeight="1">
      <c r="B1" s="50" t="s">
        <v>0</v>
      </c>
      <c r="C1" s="50"/>
      <c r="D1" s="50"/>
      <c r="E1" s="50"/>
      <c r="F1" s="50"/>
      <c r="G1" s="50"/>
      <c r="H1" s="231"/>
      <c r="I1" s="232"/>
      <c r="J1" s="50"/>
      <c r="K1" s="50"/>
      <c r="L1" s="50"/>
      <c r="M1" s="50"/>
      <c r="N1" s="50"/>
      <c r="O1" s="50"/>
      <c r="P1" s="50"/>
      <c r="Q1" s="50"/>
      <c r="R1" s="50"/>
      <c r="S1" s="233"/>
      <c r="T1" s="50"/>
      <c r="U1" s="50"/>
      <c r="V1" s="50"/>
      <c r="W1" s="50"/>
      <c r="X1" s="50"/>
      <c r="Y1" s="233"/>
      <c r="Z1" s="50"/>
      <c r="AA1" s="50"/>
    </row>
    <row r="2" spans="1:33" ht="12.75" customHeight="1">
      <c r="B2" s="50" t="s">
        <v>70</v>
      </c>
      <c r="C2" s="234"/>
      <c r="D2" s="235"/>
      <c r="E2" s="236"/>
      <c r="F2" s="235"/>
      <c r="G2" s="235"/>
      <c r="K2" s="50"/>
      <c r="L2" s="50"/>
      <c r="M2" s="50"/>
      <c r="N2" s="50"/>
      <c r="O2" s="50"/>
      <c r="P2" s="50"/>
      <c r="Q2" s="50"/>
      <c r="R2" s="50"/>
      <c r="S2" s="50"/>
      <c r="T2" s="231"/>
      <c r="U2" s="231"/>
      <c r="V2" s="50"/>
      <c r="W2" s="50"/>
      <c r="X2" s="50"/>
      <c r="Y2" s="50"/>
      <c r="Z2" s="238"/>
      <c r="AA2" s="50"/>
      <c r="AB2" s="50"/>
    </row>
    <row r="3" spans="1:33" ht="4.5" customHeight="1">
      <c r="B3" s="53"/>
      <c r="C3" s="53"/>
      <c r="D3" s="53"/>
      <c r="F3" s="53"/>
      <c r="G3" s="53"/>
      <c r="K3" s="53"/>
      <c r="L3" s="53"/>
      <c r="M3" s="53"/>
      <c r="N3" s="53"/>
      <c r="O3" s="53"/>
      <c r="P3" s="53"/>
      <c r="Q3" s="53"/>
      <c r="R3" s="50"/>
      <c r="S3" s="50"/>
      <c r="T3" s="53"/>
      <c r="U3" s="239"/>
      <c r="V3" s="53"/>
      <c r="W3" s="50"/>
      <c r="X3" s="50"/>
      <c r="Y3" s="50"/>
      <c r="Z3" s="50"/>
      <c r="AA3" s="50"/>
    </row>
    <row r="4" spans="1:33" ht="12.75" customHeight="1">
      <c r="B4" s="53" t="s">
        <v>192</v>
      </c>
      <c r="C4" s="240"/>
      <c r="D4" s="53"/>
      <c r="E4" s="240"/>
      <c r="F4" s="128"/>
      <c r="G4" s="240"/>
      <c r="K4" s="53"/>
      <c r="L4" s="53"/>
      <c r="M4" s="241"/>
      <c r="N4" s="53"/>
      <c r="O4" s="53"/>
      <c r="P4" s="53"/>
      <c r="Q4" s="53"/>
      <c r="R4" s="50"/>
      <c r="S4" s="50"/>
      <c r="T4" s="240"/>
      <c r="U4" s="240"/>
      <c r="V4" s="242"/>
      <c r="W4" s="50"/>
      <c r="X4" s="231"/>
      <c r="Y4" s="231"/>
      <c r="Z4" s="50"/>
      <c r="AA4" s="50"/>
      <c r="AB4" s="50"/>
      <c r="AE4" s="167"/>
      <c r="AF4" s="167"/>
    </row>
    <row r="5" spans="1:33" ht="12.75" customHeight="1">
      <c r="B5" s="53"/>
      <c r="C5" s="243"/>
      <c r="D5" s="53"/>
      <c r="E5" s="240"/>
      <c r="F5" s="60"/>
      <c r="H5" s="242"/>
      <c r="I5" s="244"/>
      <c r="J5" s="53"/>
      <c r="K5" s="53"/>
      <c r="L5" s="53"/>
      <c r="M5" s="241"/>
      <c r="N5" s="53"/>
      <c r="O5" s="53"/>
      <c r="P5" s="53"/>
      <c r="Q5" s="53"/>
      <c r="R5" s="50"/>
      <c r="S5" s="50"/>
      <c r="T5" s="233"/>
      <c r="U5" s="233"/>
      <c r="V5" s="233"/>
      <c r="W5" s="50"/>
      <c r="X5" s="233"/>
      <c r="Y5" s="233"/>
      <c r="Z5" s="50"/>
      <c r="AA5" s="50"/>
      <c r="AB5" s="50"/>
      <c r="AE5" s="245"/>
      <c r="AF5" s="167"/>
    </row>
    <row r="6" spans="1:33" ht="14.5">
      <c r="B6" s="1189"/>
      <c r="C6" s="1190"/>
      <c r="D6" s="878"/>
      <c r="E6" s="879"/>
      <c r="F6" s="240"/>
      <c r="G6" s="240"/>
      <c r="H6" s="240"/>
      <c r="I6" s="246"/>
      <c r="J6" s="240"/>
      <c r="K6" s="240"/>
      <c r="L6" s="240"/>
      <c r="M6" s="247"/>
      <c r="N6" s="240"/>
      <c r="O6" s="240"/>
      <c r="P6" s="247"/>
      <c r="Q6" s="247"/>
      <c r="R6" s="50"/>
      <c r="S6" s="50"/>
      <c r="T6" s="233"/>
      <c r="U6" s="233"/>
      <c r="V6" s="233"/>
      <c r="W6" s="50"/>
      <c r="X6" s="233"/>
      <c r="Y6" s="233"/>
      <c r="Z6" s="233"/>
      <c r="AA6" s="50"/>
    </row>
    <row r="7" spans="1:33" ht="13.5" thickBot="1">
      <c r="B7" s="240"/>
      <c r="C7" s="248"/>
      <c r="D7" s="248"/>
      <c r="E7" s="248"/>
      <c r="F7" s="248"/>
      <c r="G7" s="248"/>
      <c r="H7" s="248"/>
      <c r="I7" s="249"/>
      <c r="J7" s="248"/>
      <c r="K7" s="250"/>
      <c r="M7" s="251"/>
      <c r="N7" s="252"/>
      <c r="O7" s="252"/>
      <c r="P7" s="253"/>
      <c r="Q7" s="253"/>
      <c r="R7" s="50"/>
      <c r="S7" s="254"/>
      <c r="T7" s="1225" t="s">
        <v>251</v>
      </c>
      <c r="U7" s="1225"/>
      <c r="V7" s="1225"/>
      <c r="W7" s="1225"/>
      <c r="X7" s="1225"/>
      <c r="Y7" s="1225"/>
      <c r="Z7" s="1225"/>
      <c r="AA7" s="1225"/>
    </row>
    <row r="8" spans="1:33" ht="29.25" customHeight="1" thickTop="1" thickBot="1">
      <c r="B8" s="165"/>
      <c r="C8" s="157" t="s">
        <v>589</v>
      </c>
      <c r="D8" s="255"/>
      <c r="E8" s="157" t="s">
        <v>590</v>
      </c>
      <c r="F8" s="7" t="s">
        <v>252</v>
      </c>
      <c r="G8" s="7" t="s">
        <v>253</v>
      </c>
      <c r="H8" s="256" t="s">
        <v>254</v>
      </c>
      <c r="I8" s="257"/>
      <c r="J8" s="7" t="s">
        <v>591</v>
      </c>
      <c r="K8" s="7" t="s">
        <v>255</v>
      </c>
      <c r="M8" s="7" t="s">
        <v>256</v>
      </c>
      <c r="N8" s="157" t="s">
        <v>257</v>
      </c>
      <c r="P8" s="258" t="s">
        <v>258</v>
      </c>
      <c r="Q8" s="7" t="s">
        <v>259</v>
      </c>
      <c r="R8" s="50"/>
      <c r="S8" s="259" t="s">
        <v>260</v>
      </c>
      <c r="T8" s="259" t="s">
        <v>162</v>
      </c>
      <c r="U8" s="259" t="s">
        <v>159</v>
      </c>
      <c r="V8" s="259" t="s">
        <v>161</v>
      </c>
      <c r="W8" s="259" t="s">
        <v>230</v>
      </c>
      <c r="X8" s="259" t="s">
        <v>231</v>
      </c>
      <c r="Y8" s="259" t="s">
        <v>261</v>
      </c>
      <c r="Z8" s="259" t="s">
        <v>262</v>
      </c>
      <c r="AA8" s="260"/>
      <c r="AB8" s="261" t="s">
        <v>263</v>
      </c>
    </row>
    <row r="9" spans="1:33" ht="4.5" customHeight="1" thickTop="1">
      <c r="B9" s="60"/>
      <c r="E9" s="51"/>
      <c r="H9" s="95"/>
      <c r="I9" s="257"/>
      <c r="R9" s="50"/>
    </row>
    <row r="10" spans="1:33" ht="17.25" customHeight="1">
      <c r="A10" s="60"/>
      <c r="B10" s="262" t="s">
        <v>264</v>
      </c>
      <c r="C10" s="263">
        <f>SUM(C11:C15)-C16</f>
        <v>8934700</v>
      </c>
      <c r="D10" s="264"/>
      <c r="E10" s="263">
        <f>SUM(E11:E15)-E16</f>
        <v>9100801</v>
      </c>
      <c r="F10" s="265">
        <f>IF(E10&lt;0,-((C10/E10)-1),(C10/E10)-1)*100</f>
        <v>-1.8251250631675209</v>
      </c>
      <c r="G10" s="263">
        <f>+C10-E10</f>
        <v>-166101</v>
      </c>
      <c r="H10" s="266"/>
      <c r="I10" s="267">
        <f>+E10+G10-C10</f>
        <v>0</v>
      </c>
      <c r="J10" s="263">
        <f>SUM(J11:J14)-J16</f>
        <v>8604575</v>
      </c>
      <c r="K10" s="268">
        <f>IF(ISERR(1+(C10-J10)/ABS(J10)),"N/A",1+(C10-J10)/ABS(J10))*100</f>
        <v>103.83662179712536</v>
      </c>
      <c r="L10" s="269"/>
      <c r="M10" s="270">
        <f t="shared" ref="M10:M16" si="0">+C10-N10</f>
        <v>-1477165</v>
      </c>
      <c r="N10" s="263">
        <f>SUM(N11:N15)-N16</f>
        <v>10411865</v>
      </c>
      <c r="O10" s="165"/>
      <c r="P10" s="270">
        <f t="shared" ref="P10:P16" si="1">+J10-Q10</f>
        <v>-1656662</v>
      </c>
      <c r="Q10" s="263">
        <f>SUM(Q11:Q14)-Q16</f>
        <v>10261237</v>
      </c>
      <c r="R10" s="50"/>
      <c r="S10" s="271">
        <f>SUM(S11:S14)-S16</f>
        <v>-166101</v>
      </c>
      <c r="T10" s="271">
        <f>SUM(T11:T14)-T16</f>
        <v>326781</v>
      </c>
      <c r="U10" s="271">
        <f t="shared" ref="U10:AA10" si="2">SUM(U11:U15)-U16</f>
        <v>596747</v>
      </c>
      <c r="V10" s="271">
        <f t="shared" si="2"/>
        <v>265477</v>
      </c>
      <c r="W10" s="271" t="e">
        <f t="shared" si="2"/>
        <v>#REF!</v>
      </c>
      <c r="X10" s="272" t="e">
        <f t="shared" si="2"/>
        <v>#REF!</v>
      </c>
      <c r="Y10" s="271">
        <f t="shared" si="2"/>
        <v>-48810</v>
      </c>
      <c r="Z10" s="271">
        <f t="shared" si="2"/>
        <v>-80880</v>
      </c>
      <c r="AA10" s="271" t="e">
        <f t="shared" si="2"/>
        <v>#REF!</v>
      </c>
      <c r="AB10" s="110" t="e">
        <f t="shared" ref="AB10:AB16" si="3">+S10-AA10</f>
        <v>#REF!</v>
      </c>
    </row>
    <row r="11" spans="1:33" ht="13">
      <c r="B11" s="273" t="s">
        <v>122</v>
      </c>
      <c r="C11" s="274">
        <v>8162918</v>
      </c>
      <c r="D11" s="275"/>
      <c r="E11" s="274">
        <v>8962942</v>
      </c>
      <c r="F11" s="276">
        <f>IF(E11&lt;0,-((C11/E11)-1),(C11/E11)-1)*100</f>
        <v>-8.9259084796041286</v>
      </c>
      <c r="G11" s="274">
        <f t="shared" ref="G11:G66" si="4">+C11-E11</f>
        <v>-800024</v>
      </c>
      <c r="H11" s="277" t="s">
        <v>592</v>
      </c>
      <c r="I11" s="267">
        <f t="shared" ref="I11:I52" si="5">+E11+G11-C11</f>
        <v>0</v>
      </c>
      <c r="J11" s="274">
        <v>8357458</v>
      </c>
      <c r="K11" s="278">
        <f>IF(ISERR(1+(C11-J11)/ABS(J11)),"N/A",1+(C11-J11)/ABS(J11))*100</f>
        <v>97.672258717902025</v>
      </c>
      <c r="L11" s="165"/>
      <c r="M11" s="279">
        <f>+C11-N11</f>
        <v>-1690148</v>
      </c>
      <c r="N11" s="274">
        <v>9853066</v>
      </c>
      <c r="O11" s="165"/>
      <c r="P11" s="279">
        <f t="shared" si="1"/>
        <v>-1338638</v>
      </c>
      <c r="Q11" s="279">
        <v>9696096</v>
      </c>
      <c r="R11" s="50"/>
      <c r="S11" s="280">
        <f t="shared" ref="S11:S16" si="6">+C11-E11</f>
        <v>-800024</v>
      </c>
      <c r="T11" s="280">
        <v>0</v>
      </c>
      <c r="U11" s="280">
        <v>629858</v>
      </c>
      <c r="V11" s="280">
        <v>259617</v>
      </c>
      <c r="W11" s="281">
        <v>97523</v>
      </c>
      <c r="X11" s="282">
        <v>132267</v>
      </c>
      <c r="Y11" s="282">
        <f>-(11800-7005)</f>
        <v>-4795</v>
      </c>
      <c r="Z11" s="282"/>
      <c r="AA11" s="279">
        <f>+SUM(T11:Z11)</f>
        <v>1114470</v>
      </c>
      <c r="AB11" s="110">
        <f t="shared" si="3"/>
        <v>-1914494</v>
      </c>
      <c r="AC11" s="167"/>
    </row>
    <row r="12" spans="1:33" ht="13">
      <c r="B12" s="273" t="s">
        <v>123</v>
      </c>
      <c r="C12" s="274">
        <v>492877</v>
      </c>
      <c r="D12" s="275"/>
      <c r="E12" s="274">
        <v>15392</v>
      </c>
      <c r="F12" s="276">
        <f>IF(E12&lt;0,-((C12/E12)-1),(C12/E12)-1)*100</f>
        <v>3102.1634615384614</v>
      </c>
      <c r="G12" s="274">
        <f t="shared" si="4"/>
        <v>477485</v>
      </c>
      <c r="H12" s="277" t="s">
        <v>593</v>
      </c>
      <c r="I12" s="267">
        <f t="shared" si="5"/>
        <v>0</v>
      </c>
      <c r="J12" s="274">
        <v>0</v>
      </c>
      <c r="K12" s="278" t="str">
        <f>IFERROR(IF(ISERR(1+(C16-J16)/ABS(J16)),"N/A",1+(C16-J16)/ABS(J16))*100,"N/A")</f>
        <v>N/A</v>
      </c>
      <c r="L12" s="165"/>
      <c r="M12" s="279">
        <f t="shared" si="0"/>
        <v>310824</v>
      </c>
      <c r="N12" s="274">
        <v>182053</v>
      </c>
      <c r="O12" s="165"/>
      <c r="P12" s="279">
        <f t="shared" si="1"/>
        <v>-190091</v>
      </c>
      <c r="Q12" s="279">
        <v>190091</v>
      </c>
      <c r="R12" s="50"/>
      <c r="S12" s="280">
        <f>+C12-E12</f>
        <v>477485</v>
      </c>
      <c r="T12" s="280">
        <v>-37693</v>
      </c>
      <c r="U12" s="280">
        <v>-840</v>
      </c>
      <c r="V12" s="283">
        <v>-41</v>
      </c>
      <c r="W12" s="284">
        <v>5980</v>
      </c>
      <c r="X12" s="282">
        <v>0</v>
      </c>
      <c r="Y12" s="282">
        <f>-13263+1256</f>
        <v>-12007</v>
      </c>
      <c r="Z12" s="282">
        <f>-(78274-82244)</f>
        <v>3970</v>
      </c>
      <c r="AA12" s="279">
        <f>+SUM(T12:Z12)</f>
        <v>-40631</v>
      </c>
      <c r="AB12" s="110">
        <f>+S12-AA12</f>
        <v>518116</v>
      </c>
      <c r="AC12" s="167"/>
    </row>
    <row r="13" spans="1:33" ht="13">
      <c r="B13" s="273" t="s">
        <v>124</v>
      </c>
      <c r="C13" s="274">
        <v>172429</v>
      </c>
      <c r="D13" s="275"/>
      <c r="E13" s="274">
        <v>60882</v>
      </c>
      <c r="F13" s="276">
        <f>IF(E13&lt;0,-((C13/E13)-1),(C13/E13)-1)*100</f>
        <v>183.21835682139218</v>
      </c>
      <c r="G13" s="274">
        <f t="shared" si="4"/>
        <v>111547</v>
      </c>
      <c r="H13" s="277" t="s">
        <v>594</v>
      </c>
      <c r="I13" s="267">
        <f t="shared" si="5"/>
        <v>0</v>
      </c>
      <c r="J13" s="274">
        <v>164482</v>
      </c>
      <c r="K13" s="278">
        <f>IF(ISERR(1+(C13-J13)/ABS(J13)),"N/A",1+(C13-J13)/ABS(J13))*100</f>
        <v>104.83153171775635</v>
      </c>
      <c r="L13" s="285"/>
      <c r="M13" s="279">
        <f>+C13-N13</f>
        <v>-199978</v>
      </c>
      <c r="N13" s="274">
        <v>372407</v>
      </c>
      <c r="O13" s="165"/>
      <c r="P13" s="279">
        <f t="shared" si="1"/>
        <v>-169834</v>
      </c>
      <c r="Q13" s="279">
        <v>334316</v>
      </c>
      <c r="R13" s="50"/>
      <c r="S13" s="280">
        <f t="shared" si="6"/>
        <v>111547</v>
      </c>
      <c r="T13" s="280">
        <v>85554</v>
      </c>
      <c r="U13" s="280">
        <v>-1780</v>
      </c>
      <c r="V13" s="280">
        <v>0</v>
      </c>
      <c r="W13" s="281">
        <v>8261</v>
      </c>
      <c r="X13" s="282">
        <v>52481</v>
      </c>
      <c r="Y13" s="282"/>
      <c r="Z13" s="282"/>
      <c r="AA13" s="279">
        <f>+SUM(T13:Z13)</f>
        <v>144516</v>
      </c>
      <c r="AB13" s="110">
        <f>+S13-AA13</f>
        <v>-32969</v>
      </c>
    </row>
    <row r="14" spans="1:33" s="289" customFormat="1" ht="13">
      <c r="A14" s="60"/>
      <c r="B14" s="286" t="s">
        <v>265</v>
      </c>
      <c r="C14" s="274">
        <v>228599</v>
      </c>
      <c r="D14" s="275"/>
      <c r="E14" s="274">
        <v>216404</v>
      </c>
      <c r="F14" s="276">
        <f>IF(E14&lt;0,-((C14/E14)-1),(C14/E14)-1)*100</f>
        <v>5.6352932478142659</v>
      </c>
      <c r="G14" s="274">
        <f t="shared" si="4"/>
        <v>12195</v>
      </c>
      <c r="H14" s="277" t="s">
        <v>439</v>
      </c>
      <c r="I14" s="267">
        <f t="shared" si="5"/>
        <v>0</v>
      </c>
      <c r="J14" s="274">
        <v>82635</v>
      </c>
      <c r="K14" s="278">
        <f>IF(ISERR(1+(C14-J14)/ABS(J14)),"N/A",1+(C14-J14)/ABS(J14))*100</f>
        <v>276.63701821262174</v>
      </c>
      <c r="L14" s="285"/>
      <c r="M14" s="279">
        <f t="shared" si="0"/>
        <v>77848</v>
      </c>
      <c r="N14" s="274">
        <v>150751</v>
      </c>
      <c r="O14" s="287"/>
      <c r="P14" s="288">
        <f>+J14-Q14</f>
        <v>41901</v>
      </c>
      <c r="Q14" s="279">
        <v>40734</v>
      </c>
      <c r="R14" s="50"/>
      <c r="S14" s="280">
        <f>+C14-E14</f>
        <v>12195</v>
      </c>
      <c r="T14" s="280">
        <v>278920</v>
      </c>
      <c r="U14" s="280">
        <v>-3862</v>
      </c>
      <c r="V14" s="280">
        <v>5901</v>
      </c>
      <c r="W14" s="284">
        <v>54536</v>
      </c>
      <c r="X14" s="282">
        <v>0</v>
      </c>
      <c r="Y14" s="282">
        <v>-32008</v>
      </c>
      <c r="Z14" s="282">
        <v>-84850</v>
      </c>
      <c r="AA14" s="279">
        <f>+SUM(T14:Z14)</f>
        <v>218637</v>
      </c>
      <c r="AB14" s="110">
        <f t="shared" si="3"/>
        <v>-206442</v>
      </c>
      <c r="AD14" s="245"/>
      <c r="AE14" s="290"/>
      <c r="AG14" s="51"/>
    </row>
    <row r="15" spans="1:33" ht="13" hidden="1">
      <c r="B15" s="273" t="s">
        <v>266</v>
      </c>
      <c r="C15" s="274"/>
      <c r="D15" s="291"/>
      <c r="E15" s="274"/>
      <c r="F15" s="276" t="e">
        <f>IF(#REF!&lt;0,-((C15/#REF!)-1),(C15/#REF!)-1)*100</f>
        <v>#REF!</v>
      </c>
      <c r="G15" s="274">
        <f t="shared" si="4"/>
        <v>0</v>
      </c>
      <c r="H15" s="277"/>
      <c r="I15" s="267">
        <f t="shared" si="5"/>
        <v>0</v>
      </c>
      <c r="J15" s="274"/>
      <c r="K15" s="278" t="s">
        <v>267</v>
      </c>
      <c r="L15" s="285"/>
      <c r="M15" s="279">
        <f t="shared" si="0"/>
        <v>0</v>
      </c>
      <c r="N15" s="274"/>
      <c r="O15" s="165"/>
      <c r="P15" s="279">
        <f t="shared" si="1"/>
        <v>0</v>
      </c>
      <c r="Q15" s="279"/>
      <c r="R15" s="50"/>
      <c r="S15" s="280">
        <f t="shared" si="6"/>
        <v>0</v>
      </c>
      <c r="T15" s="280">
        <v>0</v>
      </c>
      <c r="U15" s="280"/>
      <c r="V15" s="280"/>
      <c r="W15" s="284" t="e">
        <v>#REF!</v>
      </c>
      <c r="X15" s="292" t="e">
        <v>#REF!</v>
      </c>
      <c r="Y15" s="292"/>
      <c r="Z15" s="292"/>
      <c r="AA15" s="279" t="e">
        <f>+SUM(T15:X15)</f>
        <v>#REF!</v>
      </c>
      <c r="AB15" s="110" t="e">
        <f t="shared" si="3"/>
        <v>#REF!</v>
      </c>
    </row>
    <row r="16" spans="1:33" ht="13">
      <c r="A16" s="60"/>
      <c r="B16" s="293" t="s">
        <v>126</v>
      </c>
      <c r="C16" s="294">
        <v>122123</v>
      </c>
      <c r="D16" s="275"/>
      <c r="E16" s="294">
        <v>154819</v>
      </c>
      <c r="F16" s="295">
        <f>IF(E16&lt;0,-((C16/E16)-1),(C16/E16)-1)*100</f>
        <v>-21.118854920907637</v>
      </c>
      <c r="G16" s="294">
        <f t="shared" si="4"/>
        <v>-32696</v>
      </c>
      <c r="H16" s="941" t="s">
        <v>595</v>
      </c>
      <c r="I16" s="267">
        <f t="shared" si="5"/>
        <v>0</v>
      </c>
      <c r="J16" s="294">
        <v>0</v>
      </c>
      <c r="K16" s="296" t="str">
        <f>IFERROR(IF(ISERR(1+(C16-J16)/ABS(J16)),"N/A",1+(C16-J16)/ABS(J16))*100,"N/A")</f>
        <v>N/A</v>
      </c>
      <c r="L16" s="285"/>
      <c r="M16" s="297">
        <f t="shared" si="0"/>
        <v>-24289</v>
      </c>
      <c r="N16" s="294">
        <v>146412</v>
      </c>
      <c r="O16" s="165"/>
      <c r="P16" s="297">
        <f t="shared" si="1"/>
        <v>0</v>
      </c>
      <c r="Q16" s="297">
        <v>0</v>
      </c>
      <c r="R16" s="50"/>
      <c r="S16" s="298">
        <f t="shared" si="6"/>
        <v>-32696</v>
      </c>
      <c r="T16" s="298">
        <v>0</v>
      </c>
      <c r="U16" s="298">
        <v>26629</v>
      </c>
      <c r="V16" s="298">
        <v>0</v>
      </c>
      <c r="W16" s="298">
        <v>0</v>
      </c>
      <c r="X16" s="299">
        <v>0</v>
      </c>
      <c r="Y16" s="299"/>
      <c r="Z16" s="299"/>
      <c r="AA16" s="297">
        <f>+SUM(T16:X16)</f>
        <v>26629</v>
      </c>
      <c r="AB16" s="110">
        <f t="shared" si="3"/>
        <v>-59325</v>
      </c>
      <c r="AE16" s="167"/>
    </row>
    <row r="17" spans="1:31" ht="3.75" customHeight="1">
      <c r="D17" s="275"/>
      <c r="E17" s="51"/>
      <c r="H17" s="300"/>
      <c r="I17" s="267">
        <f t="shared" si="5"/>
        <v>0</v>
      </c>
      <c r="K17" s="301"/>
      <c r="R17" s="50"/>
      <c r="AA17" s="302"/>
      <c r="AB17" s="110"/>
    </row>
    <row r="18" spans="1:31" ht="16.5" customHeight="1">
      <c r="B18" s="303" t="s">
        <v>127</v>
      </c>
      <c r="C18" s="263">
        <f>SUM(C19:C22)</f>
        <v>6295275</v>
      </c>
      <c r="D18" s="264"/>
      <c r="E18" s="263">
        <f>SUM(E19:E22)</f>
        <v>6681255</v>
      </c>
      <c r="F18" s="304">
        <f>IF(E18&lt;0,-((C18/E18)-1),(C18/E18)-1)*100</f>
        <v>-5.7770583520611041</v>
      </c>
      <c r="G18" s="263">
        <f>+C18-E18</f>
        <v>-385980</v>
      </c>
      <c r="H18" s="305"/>
      <c r="I18" s="267">
        <f t="shared" si="5"/>
        <v>0</v>
      </c>
      <c r="J18" s="263">
        <f>SUM(J19:J22)</f>
        <v>6107054</v>
      </c>
      <c r="K18" s="306">
        <f>IF(ISERR(1+(C18-J18)/ABS(J18)),"N/A",1+(C18-J18)/ABS(J18))*100</f>
        <v>103.08202612912871</v>
      </c>
      <c r="L18" s="269"/>
      <c r="M18" s="270">
        <f>+C18-N18</f>
        <v>-1396468</v>
      </c>
      <c r="N18" s="263">
        <f>SUM(N19:N22)</f>
        <v>7691743</v>
      </c>
      <c r="O18" s="165"/>
      <c r="P18" s="270">
        <f>+J18-Q18</f>
        <v>-1521424</v>
      </c>
      <c r="Q18" s="270">
        <f>SUM(Q19:Q22)</f>
        <v>7628478</v>
      </c>
      <c r="R18" s="50"/>
      <c r="S18" s="307">
        <f>SUM(S19:S22)</f>
        <v>-385980</v>
      </c>
      <c r="T18" s="307">
        <f>SUM(T20:T22)</f>
        <v>42273</v>
      </c>
      <c r="U18" s="307">
        <f t="shared" ref="U18:AA18" si="7">SUM(U19:U22)</f>
        <v>332916</v>
      </c>
      <c r="V18" s="307">
        <f t="shared" si="7"/>
        <v>223754</v>
      </c>
      <c r="W18" s="307">
        <f t="shared" si="7"/>
        <v>42844</v>
      </c>
      <c r="X18" s="308">
        <f>SUM(X19:X22)</f>
        <v>101713</v>
      </c>
      <c r="Y18" s="308">
        <f>SUM(Y19:Y22)</f>
        <v>-19504</v>
      </c>
      <c r="Z18" s="308">
        <f t="shared" si="7"/>
        <v>0</v>
      </c>
      <c r="AA18" s="309">
        <f t="shared" si="7"/>
        <v>723996</v>
      </c>
      <c r="AB18" s="110">
        <f t="shared" ref="AB18:AB33" si="8">+S18-AA18</f>
        <v>-1109976</v>
      </c>
    </row>
    <row r="19" spans="1:31" ht="16.5" customHeight="1">
      <c r="B19" s="310" t="s">
        <v>128</v>
      </c>
      <c r="C19" s="274">
        <v>5131041</v>
      </c>
      <c r="D19" s="275"/>
      <c r="E19" s="274">
        <v>6058858</v>
      </c>
      <c r="F19" s="311">
        <f>IF(E19&lt;0,-((C19/E19)-1),(C19/E19)-1)*100</f>
        <v>-15.3133973431957</v>
      </c>
      <c r="G19" s="274">
        <f t="shared" si="4"/>
        <v>-927817</v>
      </c>
      <c r="H19" s="277" t="s">
        <v>596</v>
      </c>
      <c r="I19" s="267">
        <f t="shared" si="5"/>
        <v>0</v>
      </c>
      <c r="J19" s="274">
        <v>5500778</v>
      </c>
      <c r="K19" s="312">
        <f>IF(ISERR(1+(C19-J19)/ABS(J19)),"N/A",1+(C19-J19)/ABS(J19))*100</f>
        <v>93.278459883311044</v>
      </c>
      <c r="L19" s="165"/>
      <c r="M19" s="279">
        <f>+C19-N19</f>
        <v>-1482169</v>
      </c>
      <c r="N19" s="274">
        <v>6613210</v>
      </c>
      <c r="O19" s="165"/>
      <c r="P19" s="279">
        <f>+J19-Q19</f>
        <v>-1080440</v>
      </c>
      <c r="Q19" s="279">
        <v>6581218</v>
      </c>
      <c r="R19" s="50"/>
      <c r="S19" s="313">
        <f>+C19-E19</f>
        <v>-927817</v>
      </c>
      <c r="T19" s="313">
        <v>0</v>
      </c>
      <c r="U19" s="313">
        <v>353638</v>
      </c>
      <c r="V19" s="313">
        <v>208028</v>
      </c>
      <c r="W19" s="313">
        <v>23446</v>
      </c>
      <c r="X19" s="292">
        <v>106558</v>
      </c>
      <c r="Y19" s="292"/>
      <c r="Z19" s="292"/>
      <c r="AA19" s="314">
        <f>+SUM(T19:Z19)</f>
        <v>691670</v>
      </c>
      <c r="AB19" s="110">
        <f t="shared" si="8"/>
        <v>-1619487</v>
      </c>
      <c r="AC19" s="315"/>
    </row>
    <row r="20" spans="1:31" ht="13">
      <c r="B20" s="310" t="s">
        <v>129</v>
      </c>
      <c r="C20" s="274">
        <v>570347</v>
      </c>
      <c r="D20" s="275"/>
      <c r="E20" s="274">
        <v>559312</v>
      </c>
      <c r="F20" s="311">
        <f>IF(E20&lt;0,-((C20/E20)-1),(C20/E20)-1)*100</f>
        <v>1.9729596361243829</v>
      </c>
      <c r="G20" s="274">
        <f t="shared" si="4"/>
        <v>11035</v>
      </c>
      <c r="H20" s="277" t="s">
        <v>597</v>
      </c>
      <c r="I20" s="267">
        <f t="shared" si="5"/>
        <v>0</v>
      </c>
      <c r="J20" s="274">
        <v>561736</v>
      </c>
      <c r="K20" s="312">
        <f>IF(ISERR(1+(C20-J20)/ABS(J20)),"N/A",1+(C20-J20)/ABS(J20))*100</f>
        <v>101.5329264992808</v>
      </c>
      <c r="L20" s="165"/>
      <c r="M20" s="279">
        <f>+C20-N20</f>
        <v>-412515</v>
      </c>
      <c r="N20" s="274">
        <v>982862</v>
      </c>
      <c r="O20" s="165"/>
      <c r="P20" s="279">
        <f>+J20-Q20</f>
        <v>-350777</v>
      </c>
      <c r="Q20" s="279">
        <v>912513</v>
      </c>
      <c r="R20" s="50"/>
      <c r="S20" s="313">
        <f>+C20-E20</f>
        <v>11035</v>
      </c>
      <c r="T20" s="313">
        <v>0</v>
      </c>
      <c r="U20" s="313">
        <v>-20722</v>
      </c>
      <c r="V20" s="313">
        <v>15726</v>
      </c>
      <c r="W20" s="313">
        <v>16536</v>
      </c>
      <c r="X20" s="292">
        <v>-2493</v>
      </c>
      <c r="Y20" s="292"/>
      <c r="Z20" s="292"/>
      <c r="AA20" s="314">
        <f>+SUM(T20:Z20)</f>
        <v>9047</v>
      </c>
      <c r="AB20" s="110">
        <f t="shared" si="8"/>
        <v>1988</v>
      </c>
      <c r="AC20" s="119"/>
      <c r="AD20" s="119"/>
    </row>
    <row r="21" spans="1:31" ht="13">
      <c r="B21" s="310" t="s">
        <v>130</v>
      </c>
      <c r="C21" s="274">
        <v>548983</v>
      </c>
      <c r="D21" s="275"/>
      <c r="E21" s="274">
        <v>0</v>
      </c>
      <c r="F21" s="311" t="s">
        <v>267</v>
      </c>
      <c r="G21" s="274">
        <f t="shared" si="4"/>
        <v>548983</v>
      </c>
      <c r="H21" s="277" t="s">
        <v>598</v>
      </c>
      <c r="I21" s="267">
        <f t="shared" si="5"/>
        <v>0</v>
      </c>
      <c r="J21" s="274">
        <v>0</v>
      </c>
      <c r="K21" s="316" t="s">
        <v>267</v>
      </c>
      <c r="L21" s="165"/>
      <c r="M21" s="279">
        <f>+C21-N21</f>
        <v>548074</v>
      </c>
      <c r="N21" s="274">
        <v>909</v>
      </c>
      <c r="O21" s="165"/>
      <c r="P21" s="279">
        <f>+J21-Q21</f>
        <v>0</v>
      </c>
      <c r="Q21" s="279">
        <v>0</v>
      </c>
      <c r="R21" s="50"/>
      <c r="S21" s="313">
        <f>+C21-E21</f>
        <v>548983</v>
      </c>
      <c r="T21" s="313">
        <v>-22642</v>
      </c>
      <c r="U21" s="313">
        <v>0</v>
      </c>
      <c r="V21" s="313">
        <v>0</v>
      </c>
      <c r="W21" s="313">
        <v>-1056</v>
      </c>
      <c r="X21" s="292">
        <v>0</v>
      </c>
      <c r="Y21" s="292">
        <f>-20322-238+1056</f>
        <v>-19504</v>
      </c>
      <c r="Z21" s="292"/>
      <c r="AA21" s="314">
        <f>+SUM(T21:Z21)</f>
        <v>-43202</v>
      </c>
      <c r="AB21" s="110">
        <f t="shared" si="8"/>
        <v>592185</v>
      </c>
      <c r="AD21" s="167"/>
    </row>
    <row r="22" spans="1:31" ht="13">
      <c r="B22" s="317" t="s">
        <v>131</v>
      </c>
      <c r="C22" s="294">
        <v>44904</v>
      </c>
      <c r="D22" s="275"/>
      <c r="E22" s="294">
        <v>63085</v>
      </c>
      <c r="F22" s="318">
        <f>IF(E22&lt;0,-((C22/E22)-1),(C22/E22)-1)*100</f>
        <v>-28.819846239201073</v>
      </c>
      <c r="G22" s="294">
        <f t="shared" si="4"/>
        <v>-18181</v>
      </c>
      <c r="H22" s="941" t="s">
        <v>599</v>
      </c>
      <c r="I22" s="267">
        <f t="shared" si="5"/>
        <v>0</v>
      </c>
      <c r="J22" s="294">
        <v>44540</v>
      </c>
      <c r="K22" s="319">
        <f>IF(ISERR(1+(C22-J22)/ABS(J22)),"N/A",1+(C22-J22)/ABS(J22))*100</f>
        <v>100.81724292770544</v>
      </c>
      <c r="L22" s="165"/>
      <c r="M22" s="297">
        <f>+C22-N22</f>
        <v>-49858</v>
      </c>
      <c r="N22" s="294">
        <v>94762</v>
      </c>
      <c r="O22" s="165"/>
      <c r="P22" s="297">
        <f>+J22-Q22</f>
        <v>-90207</v>
      </c>
      <c r="Q22" s="297">
        <v>134747</v>
      </c>
      <c r="R22" s="50"/>
      <c r="S22" s="320">
        <f>+C22-E22</f>
        <v>-18181</v>
      </c>
      <c r="T22" s="320">
        <v>64915</v>
      </c>
      <c r="U22" s="320">
        <v>0</v>
      </c>
      <c r="V22" s="320">
        <v>0</v>
      </c>
      <c r="W22" s="320">
        <v>3918</v>
      </c>
      <c r="X22" s="321">
        <v>-2352</v>
      </c>
      <c r="Y22" s="321"/>
      <c r="Z22" s="321"/>
      <c r="AA22" s="322">
        <f>+SUM(T22:Z22)</f>
        <v>66481</v>
      </c>
      <c r="AB22" s="110">
        <f t="shared" si="8"/>
        <v>-84662</v>
      </c>
      <c r="AE22" s="167"/>
    </row>
    <row r="23" spans="1:31" ht="6" customHeight="1">
      <c r="D23" s="275"/>
      <c r="E23" s="51"/>
      <c r="H23" s="300"/>
      <c r="I23" s="267"/>
      <c r="K23" s="301"/>
      <c r="R23" s="50"/>
      <c r="AA23" s="302"/>
      <c r="AB23" s="110"/>
    </row>
    <row r="24" spans="1:31" s="56" customFormat="1" ht="16.5" customHeight="1">
      <c r="A24" s="323"/>
      <c r="B24" s="303" t="s">
        <v>132</v>
      </c>
      <c r="C24" s="324">
        <f>+C10-C18</f>
        <v>2639425</v>
      </c>
      <c r="D24" s="325"/>
      <c r="E24" s="324">
        <f>+E10-E18</f>
        <v>2419546</v>
      </c>
      <c r="F24" s="304">
        <f>IF(E24&lt;0,-((C24/E24)-1),(C24/E24)-1)*100</f>
        <v>9.087613957329177</v>
      </c>
      <c r="G24" s="263">
        <f t="shared" si="4"/>
        <v>219879</v>
      </c>
      <c r="H24" s="326"/>
      <c r="I24" s="267">
        <f t="shared" si="5"/>
        <v>0</v>
      </c>
      <c r="J24" s="324">
        <f>+J10-J18</f>
        <v>2497521</v>
      </c>
      <c r="K24" s="942">
        <f>IF(ISERR(1+(C24-J24)/ABS(J24)),"N/A",1+(C24-J24)/ABS(J24))*100</f>
        <v>105.68179406699683</v>
      </c>
      <c r="L24" s="327"/>
      <c r="M24" s="324">
        <f>+C24-N24</f>
        <v>-80697</v>
      </c>
      <c r="N24" s="324">
        <f>+N10-N18</f>
        <v>2720122</v>
      </c>
      <c r="P24" s="324">
        <f>+J24-Q24</f>
        <v>-135238</v>
      </c>
      <c r="Q24" s="324">
        <f>+Q10-Q18</f>
        <v>2632759</v>
      </c>
      <c r="R24" s="50"/>
      <c r="S24" s="328">
        <f t="shared" ref="S24:Z24" si="9">+S10-S18</f>
        <v>219879</v>
      </c>
      <c r="T24" s="328">
        <f t="shared" si="9"/>
        <v>284508</v>
      </c>
      <c r="U24" s="328">
        <f t="shared" si="9"/>
        <v>263831</v>
      </c>
      <c r="V24" s="328">
        <f t="shared" si="9"/>
        <v>41723</v>
      </c>
      <c r="W24" s="328" t="e">
        <f t="shared" si="9"/>
        <v>#REF!</v>
      </c>
      <c r="X24" s="328" t="e">
        <f t="shared" si="9"/>
        <v>#REF!</v>
      </c>
      <c r="Y24" s="328">
        <f>+Y10-Y18</f>
        <v>-29306</v>
      </c>
      <c r="Z24" s="328">
        <f t="shared" si="9"/>
        <v>-80880</v>
      </c>
      <c r="AA24" s="324" t="e">
        <f>+AA10-AA18</f>
        <v>#REF!</v>
      </c>
      <c r="AB24" s="110" t="e">
        <f t="shared" si="8"/>
        <v>#REF!</v>
      </c>
    </row>
    <row r="25" spans="1:31" ht="16.5" customHeight="1">
      <c r="A25" s="323"/>
      <c r="B25" s="329" t="s">
        <v>133</v>
      </c>
      <c r="C25" s="880">
        <f>+C24/C10</f>
        <v>0.29541282863442531</v>
      </c>
      <c r="D25" s="166"/>
      <c r="E25" s="880">
        <f>+E24/E10</f>
        <v>0.2658607742329494</v>
      </c>
      <c r="F25" s="943"/>
      <c r="G25" s="880">
        <f t="shared" si="4"/>
        <v>2.9552054401475902E-2</v>
      </c>
      <c r="H25" s="944"/>
      <c r="I25" s="267">
        <f t="shared" si="5"/>
        <v>0</v>
      </c>
      <c r="J25" s="880">
        <f>+J24/J$10</f>
        <v>0.29025500968961282</v>
      </c>
      <c r="K25" s="945"/>
      <c r="L25" s="331"/>
      <c r="M25" s="332">
        <f>+M24/M10</f>
        <v>5.4629645300288049E-2</v>
      </c>
      <c r="N25" s="330">
        <f>+N24/N10</f>
        <v>0.26125213878589476</v>
      </c>
      <c r="O25" s="99"/>
      <c r="P25" s="332"/>
      <c r="Q25" s="332">
        <f>+Q24/Q$10</f>
        <v>0.25657325720086183</v>
      </c>
      <c r="R25" s="50"/>
      <c r="S25" s="333"/>
      <c r="T25" s="333"/>
      <c r="U25" s="333"/>
      <c r="V25" s="333"/>
      <c r="W25" s="333"/>
      <c r="X25" s="334"/>
      <c r="Y25" s="334"/>
      <c r="Z25" s="334"/>
      <c r="AA25" s="332"/>
      <c r="AB25" s="110">
        <f t="shared" si="8"/>
        <v>0</v>
      </c>
    </row>
    <row r="26" spans="1:31" ht="4.5" customHeight="1">
      <c r="A26" s="323"/>
      <c r="E26" s="51"/>
      <c r="H26" s="300"/>
      <c r="I26" s="267"/>
      <c r="K26" s="301"/>
      <c r="R26" s="50"/>
      <c r="AA26" s="302"/>
      <c r="AB26" s="110"/>
    </row>
    <row r="27" spans="1:31" ht="15" customHeight="1">
      <c r="A27" s="323"/>
      <c r="B27" s="303" t="s">
        <v>134</v>
      </c>
      <c r="C27" s="335">
        <f>SUM(C28:C33)</f>
        <v>983252</v>
      </c>
      <c r="D27" s="264"/>
      <c r="E27" s="335">
        <f>SUM(E28:E33)</f>
        <v>1031438</v>
      </c>
      <c r="F27" s="336">
        <f t="shared" ref="F27:F32" si="10">IF(E27&lt;0,-((C27/E27)-1),(C27/E27)-1)*100</f>
        <v>-4.6717301476191464</v>
      </c>
      <c r="G27" s="335">
        <f>+C27-E27</f>
        <v>-48186</v>
      </c>
      <c r="H27" s="326"/>
      <c r="I27" s="267">
        <f t="shared" si="5"/>
        <v>0</v>
      </c>
      <c r="J27" s="335">
        <f>SUM(J28:J33)</f>
        <v>1039516</v>
      </c>
      <c r="K27" s="306">
        <f>IF(ISERR(1+(C27-J27)/ABS(J27)),"N/A",1+(C27-J27)/ABS(J27))*100</f>
        <v>94.587481096972041</v>
      </c>
      <c r="L27" s="269"/>
      <c r="M27" s="337">
        <f t="shared" ref="M27:M33" si="11">+C27-N27</f>
        <v>-148270</v>
      </c>
      <c r="N27" s="335">
        <f>SUM(N28:N33)</f>
        <v>1131522</v>
      </c>
      <c r="O27" s="165"/>
      <c r="P27" s="337">
        <f t="shared" ref="P27:P33" si="12">+J27-Q27</f>
        <v>-152611</v>
      </c>
      <c r="Q27" s="337">
        <f>SUM(Q28:Q33)</f>
        <v>1192127</v>
      </c>
      <c r="R27" s="50"/>
      <c r="S27" s="338">
        <f t="shared" ref="S27:AA27" si="13">SUM(S28:S33)</f>
        <v>-48186</v>
      </c>
      <c r="T27" s="338">
        <f t="shared" si="13"/>
        <v>2787</v>
      </c>
      <c r="U27" s="338">
        <f t="shared" si="13"/>
        <v>38831</v>
      </c>
      <c r="V27" s="338">
        <f t="shared" si="13"/>
        <v>-21980</v>
      </c>
      <c r="W27" s="338" t="e">
        <f t="shared" si="13"/>
        <v>#REF!</v>
      </c>
      <c r="X27" s="339" t="e">
        <f t="shared" si="13"/>
        <v>#REF!</v>
      </c>
      <c r="Y27" s="339">
        <f t="shared" si="13"/>
        <v>0</v>
      </c>
      <c r="Z27" s="339">
        <f t="shared" si="13"/>
        <v>0</v>
      </c>
      <c r="AA27" s="340" t="e">
        <f t="shared" si="13"/>
        <v>#REF!</v>
      </c>
      <c r="AB27" s="110" t="e">
        <f t="shared" si="8"/>
        <v>#REF!</v>
      </c>
    </row>
    <row r="28" spans="1:31" ht="14.5">
      <c r="A28" s="341"/>
      <c r="B28" s="310" t="s">
        <v>135</v>
      </c>
      <c r="C28" s="282">
        <v>774177</v>
      </c>
      <c r="D28" s="275"/>
      <c r="E28" s="282">
        <v>814017</v>
      </c>
      <c r="F28" s="342">
        <f t="shared" si="10"/>
        <v>-4.8942466803518876</v>
      </c>
      <c r="G28" s="282">
        <f>+C28-E28</f>
        <v>-39840</v>
      </c>
      <c r="H28" s="343" t="s">
        <v>600</v>
      </c>
      <c r="I28" s="267">
        <f t="shared" si="5"/>
        <v>0</v>
      </c>
      <c r="J28" s="282">
        <v>822605</v>
      </c>
      <c r="K28" s="312">
        <f>IF(ISERR(1+(C28-J28)/ABS(J28)),"N/A",1+(C28-J28)/ABS(J28))*100</f>
        <v>94.112848815652711</v>
      </c>
      <c r="L28" s="165"/>
      <c r="M28" s="281">
        <f t="shared" si="11"/>
        <v>-29188</v>
      </c>
      <c r="N28" s="282">
        <v>803365</v>
      </c>
      <c r="O28" s="165"/>
      <c r="P28" s="281">
        <f t="shared" si="12"/>
        <v>-24513</v>
      </c>
      <c r="Q28" s="344">
        <v>847118</v>
      </c>
      <c r="R28" s="50"/>
      <c r="S28" s="280">
        <f>+C28-E28</f>
        <v>-39840</v>
      </c>
      <c r="T28" s="280">
        <v>3415</v>
      </c>
      <c r="U28" s="280">
        <v>36530</v>
      </c>
      <c r="V28" s="280">
        <v>-18606</v>
      </c>
      <c r="W28" s="345">
        <v>7651</v>
      </c>
      <c r="X28" s="345">
        <v>-3553</v>
      </c>
      <c r="Y28" s="345"/>
      <c r="Z28" s="345"/>
      <c r="AA28" s="279">
        <f>+SUM(T28:X28)</f>
        <v>25437</v>
      </c>
      <c r="AB28" s="110">
        <f t="shared" si="8"/>
        <v>-65277</v>
      </c>
    </row>
    <row r="29" spans="1:31" ht="14.5">
      <c r="A29" s="341"/>
      <c r="B29" s="310" t="s">
        <v>136</v>
      </c>
      <c r="C29" s="282">
        <v>59849</v>
      </c>
      <c r="D29" s="275"/>
      <c r="E29" s="282">
        <v>57785</v>
      </c>
      <c r="F29" s="342">
        <f t="shared" si="10"/>
        <v>3.5718612096564906</v>
      </c>
      <c r="G29" s="282">
        <f>+C29-E29</f>
        <v>2064</v>
      </c>
      <c r="H29" s="343" t="s">
        <v>601</v>
      </c>
      <c r="I29" s="267">
        <f t="shared" si="5"/>
        <v>0</v>
      </c>
      <c r="J29" s="282">
        <v>57465</v>
      </c>
      <c r="K29" s="312">
        <f>IF(ISERR(1+(C29-J29)/ABS(J29)),"N/A",1+(C29-J29)/ABS(J29))*100</f>
        <v>104.14861219872967</v>
      </c>
      <c r="L29" s="165"/>
      <c r="M29" s="281">
        <f t="shared" si="11"/>
        <v>-80438</v>
      </c>
      <c r="N29" s="282">
        <v>140287</v>
      </c>
      <c r="O29" s="165"/>
      <c r="P29" s="281">
        <f t="shared" si="12"/>
        <v>-91970</v>
      </c>
      <c r="Q29" s="281">
        <v>149435</v>
      </c>
      <c r="R29" s="50"/>
      <c r="S29" s="280">
        <f>+C29-E29</f>
        <v>2064</v>
      </c>
      <c r="T29" s="280">
        <v>-709</v>
      </c>
      <c r="U29" s="280">
        <v>-14042</v>
      </c>
      <c r="V29" s="280">
        <v>-3374</v>
      </c>
      <c r="W29" s="345">
        <v>-3848</v>
      </c>
      <c r="X29" s="345">
        <v>751</v>
      </c>
      <c r="Y29" s="345"/>
      <c r="Z29" s="345"/>
      <c r="AA29" s="279">
        <f>+SUM(T29:X29)</f>
        <v>-21222</v>
      </c>
      <c r="AB29" s="110">
        <f t="shared" si="8"/>
        <v>23286</v>
      </c>
    </row>
    <row r="30" spans="1:31" ht="14.5" hidden="1">
      <c r="A30" s="341"/>
      <c r="B30" s="864" t="s">
        <v>268</v>
      </c>
      <c r="C30" s="282"/>
      <c r="D30" s="275"/>
      <c r="E30" s="282"/>
      <c r="F30" s="346" t="e">
        <f t="shared" si="10"/>
        <v>#DIV/0!</v>
      </c>
      <c r="G30" s="282">
        <f t="shared" si="4"/>
        <v>0</v>
      </c>
      <c r="H30" s="343" t="s">
        <v>493</v>
      </c>
      <c r="I30" s="267">
        <f t="shared" si="5"/>
        <v>0</v>
      </c>
      <c r="J30" s="282"/>
      <c r="K30" s="347" t="s">
        <v>267</v>
      </c>
      <c r="L30" s="165"/>
      <c r="M30" s="281">
        <f t="shared" si="11"/>
        <v>0</v>
      </c>
      <c r="N30" s="282"/>
      <c r="O30" s="165"/>
      <c r="P30" s="281">
        <f t="shared" si="12"/>
        <v>0</v>
      </c>
      <c r="Q30" s="281"/>
      <c r="R30" s="50"/>
      <c r="S30" s="280">
        <f>+C30-E30</f>
        <v>0</v>
      </c>
      <c r="T30" s="280"/>
      <c r="U30" s="280"/>
      <c r="V30" s="280"/>
      <c r="W30" s="345" t="e">
        <v>#REF!</v>
      </c>
      <c r="X30" s="345" t="e">
        <v>#REF!</v>
      </c>
      <c r="Y30" s="345"/>
      <c r="Z30" s="345"/>
      <c r="AA30" s="279" t="e">
        <f>+SUM(T30:X30)</f>
        <v>#REF!</v>
      </c>
      <c r="AB30" s="110" t="e">
        <f t="shared" si="8"/>
        <v>#REF!</v>
      </c>
    </row>
    <row r="31" spans="1:31" ht="14.5">
      <c r="A31" s="341"/>
      <c r="B31" s="310" t="s">
        <v>137</v>
      </c>
      <c r="C31" s="282">
        <v>117545</v>
      </c>
      <c r="D31" s="275"/>
      <c r="E31" s="282">
        <v>127100</v>
      </c>
      <c r="F31" s="342">
        <f t="shared" si="10"/>
        <v>-7.5177025963808042</v>
      </c>
      <c r="G31" s="282">
        <f t="shared" si="4"/>
        <v>-9555</v>
      </c>
      <c r="H31" s="343" t="s">
        <v>601</v>
      </c>
      <c r="I31" s="267">
        <f t="shared" si="5"/>
        <v>0</v>
      </c>
      <c r="J31" s="282">
        <v>126016</v>
      </c>
      <c r="K31" s="342">
        <f>IF(ISERR(1+(C31-J31)/ABS(J31)),"N/A",1+(C31-J31)/ABS(J31))*100</f>
        <v>93.277837734890809</v>
      </c>
      <c r="L31" s="166"/>
      <c r="M31" s="282">
        <f t="shared" si="11"/>
        <v>-40989</v>
      </c>
      <c r="N31" s="282">
        <v>158534</v>
      </c>
      <c r="O31" s="166"/>
      <c r="P31" s="282">
        <f t="shared" si="12"/>
        <v>-42307</v>
      </c>
      <c r="Q31" s="282">
        <v>168323</v>
      </c>
      <c r="R31" s="50"/>
      <c r="S31" s="280">
        <f>+C31-E31</f>
        <v>-9555</v>
      </c>
      <c r="T31" s="280">
        <v>81</v>
      </c>
      <c r="U31" s="280">
        <v>15116</v>
      </c>
      <c r="V31" s="280">
        <v>0</v>
      </c>
      <c r="W31" s="345">
        <v>0</v>
      </c>
      <c r="X31" s="345">
        <v>0</v>
      </c>
      <c r="Y31" s="345"/>
      <c r="Z31" s="345"/>
      <c r="AA31" s="279">
        <f>+SUM(T31:X31)</f>
        <v>15197</v>
      </c>
      <c r="AB31" s="110">
        <f t="shared" si="8"/>
        <v>-24752</v>
      </c>
    </row>
    <row r="32" spans="1:31" ht="14.5">
      <c r="A32" s="341"/>
      <c r="B32" s="317" t="s">
        <v>138</v>
      </c>
      <c r="C32" s="348">
        <v>31681</v>
      </c>
      <c r="D32" s="275"/>
      <c r="E32" s="348">
        <v>32536</v>
      </c>
      <c r="F32" s="349">
        <f t="shared" si="10"/>
        <v>-2.6278583722645688</v>
      </c>
      <c r="G32" s="348">
        <f t="shared" si="4"/>
        <v>-855</v>
      </c>
      <c r="H32" s="343" t="s">
        <v>601</v>
      </c>
      <c r="I32" s="267">
        <f t="shared" si="5"/>
        <v>0</v>
      </c>
      <c r="J32" s="348">
        <v>33430</v>
      </c>
      <c r="K32" s="349">
        <f>IF(ISERR(1+(C32-J32)/ABS(J32)),"N/A",1+(C32-J32)/ABS(J32))*100</f>
        <v>94.768172300329041</v>
      </c>
      <c r="L32" s="166"/>
      <c r="M32" s="350">
        <f t="shared" si="11"/>
        <v>2345</v>
      </c>
      <c r="N32" s="348">
        <v>29336</v>
      </c>
      <c r="O32" s="166"/>
      <c r="P32" s="350">
        <f t="shared" si="12"/>
        <v>6179</v>
      </c>
      <c r="Q32" s="348">
        <v>27251</v>
      </c>
      <c r="R32" s="50"/>
      <c r="S32" s="351">
        <f>+C32-E32</f>
        <v>-855</v>
      </c>
      <c r="T32" s="352">
        <v>0</v>
      </c>
      <c r="U32" s="352">
        <v>1227</v>
      </c>
      <c r="V32" s="352">
        <v>0</v>
      </c>
      <c r="W32" s="353">
        <v>0</v>
      </c>
      <c r="X32" s="353">
        <v>0</v>
      </c>
      <c r="Y32" s="353"/>
      <c r="Z32" s="353"/>
      <c r="AA32" s="297">
        <f>+SUM(T32:X32)</f>
        <v>1227</v>
      </c>
      <c r="AB32" s="110">
        <f t="shared" si="8"/>
        <v>-2082</v>
      </c>
    </row>
    <row r="33" spans="1:28" ht="14.5" hidden="1">
      <c r="A33" s="323"/>
      <c r="B33" s="293" t="s">
        <v>269</v>
      </c>
      <c r="C33" s="354">
        <v>0</v>
      </c>
      <c r="D33" s="275"/>
      <c r="E33" s="354">
        <v>0</v>
      </c>
      <c r="F33" s="946" t="s">
        <v>267</v>
      </c>
      <c r="G33" s="354">
        <f t="shared" si="4"/>
        <v>0</v>
      </c>
      <c r="H33" s="947"/>
      <c r="I33" s="267">
        <f t="shared" si="5"/>
        <v>0</v>
      </c>
      <c r="J33" s="354">
        <v>0</v>
      </c>
      <c r="K33" s="355"/>
      <c r="L33" s="356"/>
      <c r="M33" s="354">
        <f t="shared" si="11"/>
        <v>0</v>
      </c>
      <c r="N33" s="354">
        <v>0</v>
      </c>
      <c r="P33" s="357">
        <f t="shared" si="12"/>
        <v>0</v>
      </c>
      <c r="Q33" s="354">
        <v>0</v>
      </c>
      <c r="R33" s="50"/>
      <c r="S33" s="357"/>
      <c r="T33" s="357"/>
      <c r="U33" s="357"/>
      <c r="V33" s="357"/>
      <c r="W33" s="345">
        <v>0</v>
      </c>
      <c r="X33" s="357"/>
      <c r="Y33" s="357"/>
      <c r="Z33" s="357"/>
      <c r="AA33" s="354"/>
      <c r="AB33" s="110">
        <f t="shared" si="8"/>
        <v>0</v>
      </c>
    </row>
    <row r="34" spans="1:28" ht="6" customHeight="1">
      <c r="A34" s="323"/>
      <c r="D34" s="275"/>
      <c r="E34" s="51"/>
      <c r="H34" s="300"/>
      <c r="I34" s="267"/>
      <c r="K34" s="301"/>
      <c r="R34" s="50"/>
      <c r="AA34" s="302"/>
      <c r="AB34" s="110"/>
    </row>
    <row r="35" spans="1:28" ht="15" customHeight="1">
      <c r="A35" s="323"/>
      <c r="B35" s="303" t="s">
        <v>139</v>
      </c>
      <c r="C35" s="263">
        <f>+C36-C37-C38</f>
        <v>-8007</v>
      </c>
      <c r="D35" s="264"/>
      <c r="E35" s="263">
        <f>+E36-E37-E38</f>
        <v>49635</v>
      </c>
      <c r="F35" s="265">
        <f>IF(E35&lt;0,-((C35/E35)-1),(C35/E35)-1)*100</f>
        <v>-116.1317618615896</v>
      </c>
      <c r="G35" s="263">
        <f>(+C35-E35)</f>
        <v>-57642</v>
      </c>
      <c r="H35" s="326"/>
      <c r="I35" s="267">
        <f t="shared" si="5"/>
        <v>0</v>
      </c>
      <c r="J35" s="263">
        <f>+J36-J37-J38</f>
        <v>-39466</v>
      </c>
      <c r="K35" s="358">
        <f>IF(ISERR(1+(C35-J35)/ABS(J35)),"N/A",1+(C35-J35)/ABS(J35))*100</f>
        <v>179.71165053463741</v>
      </c>
      <c r="L35" s="325"/>
      <c r="M35" s="263">
        <f>+C35-N35</f>
        <v>-203408</v>
      </c>
      <c r="N35" s="263">
        <f>+N36-N37-N38</f>
        <v>195401</v>
      </c>
      <c r="O35" s="166"/>
      <c r="P35" s="263">
        <f>+J35-Q35</f>
        <v>-10647</v>
      </c>
      <c r="Q35" s="263">
        <f>+Q36-Q37-Q38</f>
        <v>-28819</v>
      </c>
      <c r="R35" s="50"/>
      <c r="S35" s="263">
        <f t="shared" ref="S35:X35" si="14">+S36-S37-S38</f>
        <v>-57642</v>
      </c>
      <c r="T35" s="263">
        <f t="shared" si="14"/>
        <v>5051</v>
      </c>
      <c r="U35" s="263">
        <f t="shared" si="14"/>
        <v>182193</v>
      </c>
      <c r="V35" s="263">
        <f t="shared" si="14"/>
        <v>-35213</v>
      </c>
      <c r="W35" s="263">
        <f t="shared" si="14"/>
        <v>1975</v>
      </c>
      <c r="X35" s="263">
        <f t="shared" si="14"/>
        <v>575</v>
      </c>
      <c r="Y35" s="272">
        <f t="shared" ref="Y35:Z35" si="15">SUM(Y36:Y38)</f>
        <v>12007</v>
      </c>
      <c r="Z35" s="272">
        <f t="shared" si="15"/>
        <v>0</v>
      </c>
      <c r="AA35" s="263">
        <f>+AA36-AA37-AA38</f>
        <v>166588</v>
      </c>
      <c r="AB35" s="110">
        <f>+S35-AA35</f>
        <v>-224230</v>
      </c>
    </row>
    <row r="36" spans="1:28" s="289" customFormat="1" ht="14.5">
      <c r="A36" s="341"/>
      <c r="B36" s="359" t="s">
        <v>140</v>
      </c>
      <c r="C36" s="282">
        <v>157681</v>
      </c>
      <c r="D36" s="275"/>
      <c r="E36" s="282">
        <v>158524</v>
      </c>
      <c r="F36" s="276">
        <f>IF(E36&lt;0,-((C36/E36)-1),(C36/E36)-1)*100</f>
        <v>-0.53178067674295448</v>
      </c>
      <c r="G36" s="282">
        <f t="shared" si="4"/>
        <v>-843</v>
      </c>
      <c r="H36" s="343" t="s">
        <v>602</v>
      </c>
      <c r="I36" s="267">
        <f t="shared" si="5"/>
        <v>0</v>
      </c>
      <c r="J36" s="360">
        <v>9870</v>
      </c>
      <c r="K36" s="342">
        <f>IF(ISERR(1+(C36-J36)/ABS(J36)),"N/A",1+(C36-J36)/ABS(J36))*100</f>
        <v>1597.5785207700101</v>
      </c>
      <c r="L36" s="166"/>
      <c r="M36" s="274">
        <f>+C36-N36</f>
        <v>-121283</v>
      </c>
      <c r="N36" s="282">
        <v>278964</v>
      </c>
      <c r="O36" s="166"/>
      <c r="P36" s="274">
        <f>+J36-Q36</f>
        <v>-24159</v>
      </c>
      <c r="Q36" s="360">
        <v>34029</v>
      </c>
      <c r="R36" s="50"/>
      <c r="S36" s="280">
        <f>+C36-E36</f>
        <v>-843</v>
      </c>
      <c r="T36" s="280">
        <v>5204</v>
      </c>
      <c r="U36" s="280">
        <v>176800</v>
      </c>
      <c r="V36" s="280">
        <v>-21621</v>
      </c>
      <c r="W36" s="345">
        <v>3050</v>
      </c>
      <c r="X36" s="345">
        <v>1816</v>
      </c>
      <c r="Y36" s="345">
        <f>-Y12</f>
        <v>12007</v>
      </c>
      <c r="Z36" s="345"/>
      <c r="AA36" s="279">
        <f>+SUM(T36:Z36)</f>
        <v>177256</v>
      </c>
      <c r="AB36" s="110">
        <f>+S36-AA36</f>
        <v>-178099</v>
      </c>
    </row>
    <row r="37" spans="1:28" s="289" customFormat="1" ht="14.5">
      <c r="A37" s="341"/>
      <c r="B37" s="310" t="s">
        <v>141</v>
      </c>
      <c r="C37" s="282">
        <v>165688</v>
      </c>
      <c r="D37" s="275"/>
      <c r="E37" s="282">
        <v>108889</v>
      </c>
      <c r="F37" s="276">
        <f>IF(E37&lt;0,-((C37/E37)-1),(C37/E37)-1)*100</f>
        <v>52.162293711945182</v>
      </c>
      <c r="G37" s="282">
        <f>+C37-E37</f>
        <v>56799</v>
      </c>
      <c r="H37" s="343" t="s">
        <v>603</v>
      </c>
      <c r="I37" s="267">
        <f t="shared" si="5"/>
        <v>0</v>
      </c>
      <c r="J37" s="274">
        <v>49336</v>
      </c>
      <c r="K37" s="361">
        <f>IF(ISERR(1+(C37-J37)/ABS(J37)),"N/A",1+(C37-J37)/ABS(J37))*100</f>
        <v>335.83590076212096</v>
      </c>
      <c r="L37" s="166"/>
      <c r="M37" s="274">
        <f>+C37-N37</f>
        <v>82125</v>
      </c>
      <c r="N37" s="282">
        <v>83563</v>
      </c>
      <c r="O37" s="166"/>
      <c r="P37" s="274">
        <f>+J37-Q37</f>
        <v>-13512</v>
      </c>
      <c r="Q37" s="274">
        <v>62848</v>
      </c>
      <c r="R37" s="50"/>
      <c r="S37" s="280">
        <f>+C37-E37</f>
        <v>56799</v>
      </c>
      <c r="T37" s="280">
        <v>153</v>
      </c>
      <c r="U37" s="280">
        <v>-5393</v>
      </c>
      <c r="V37" s="280">
        <v>13592</v>
      </c>
      <c r="W37" s="345">
        <v>1075</v>
      </c>
      <c r="X37" s="345">
        <v>1241</v>
      </c>
      <c r="Y37" s="345"/>
      <c r="Z37" s="345"/>
      <c r="AA37" s="279">
        <f>+SUM(T37:X37)</f>
        <v>10668</v>
      </c>
      <c r="AB37" s="110">
        <f t="shared" ref="AB37:AB65" si="16">+S37-AA37</f>
        <v>46131</v>
      </c>
    </row>
    <row r="38" spans="1:28" ht="14.5" hidden="1">
      <c r="A38" s="323"/>
      <c r="B38" s="317" t="s">
        <v>142</v>
      </c>
      <c r="C38" s="294">
        <v>0</v>
      </c>
      <c r="D38" s="275"/>
      <c r="E38" s="294">
        <v>0</v>
      </c>
      <c r="F38" s="362" t="s">
        <v>267</v>
      </c>
      <c r="G38" s="294">
        <f t="shared" si="4"/>
        <v>0</v>
      </c>
      <c r="H38" s="363" t="s">
        <v>270</v>
      </c>
      <c r="I38" s="267">
        <f t="shared" si="5"/>
        <v>0</v>
      </c>
      <c r="J38" s="294">
        <v>0</v>
      </c>
      <c r="K38" s="316" t="s">
        <v>267</v>
      </c>
      <c r="L38" s="165"/>
      <c r="M38" s="297">
        <f>+C38-N38</f>
        <v>0</v>
      </c>
      <c r="N38" s="294">
        <v>0</v>
      </c>
      <c r="O38" s="165"/>
      <c r="P38" s="297">
        <f>+J38-Q38</f>
        <v>0</v>
      </c>
      <c r="Q38" s="297">
        <v>0</v>
      </c>
      <c r="R38" s="50"/>
      <c r="S38" s="298">
        <f>+C38-E38</f>
        <v>0</v>
      </c>
      <c r="T38" s="298">
        <v>0</v>
      </c>
      <c r="U38" s="298">
        <v>0</v>
      </c>
      <c r="V38" s="299">
        <v>0</v>
      </c>
      <c r="W38" s="299">
        <v>0</v>
      </c>
      <c r="X38" s="299">
        <v>0</v>
      </c>
      <c r="Y38" s="299"/>
      <c r="Z38" s="299"/>
      <c r="AA38" s="297">
        <f>+SUM(T38:X38)</f>
        <v>0</v>
      </c>
      <c r="AB38" s="110">
        <f t="shared" si="16"/>
        <v>0</v>
      </c>
    </row>
    <row r="39" spans="1:28" ht="6" customHeight="1">
      <c r="A39" s="323"/>
      <c r="D39" s="275"/>
      <c r="E39" s="51"/>
      <c r="H39" s="300"/>
      <c r="I39" s="267"/>
      <c r="R39" s="50"/>
      <c r="AA39" s="302"/>
      <c r="AB39" s="110"/>
    </row>
    <row r="40" spans="1:28" s="56" customFormat="1" ht="13">
      <c r="A40" s="364"/>
      <c r="B40" s="303" t="s">
        <v>143</v>
      </c>
      <c r="C40" s="324">
        <f>+C24-C27+C35</f>
        <v>1648166</v>
      </c>
      <c r="D40" s="264"/>
      <c r="E40" s="324">
        <f>+E24-E27+E35</f>
        <v>1437743</v>
      </c>
      <c r="F40" s="265">
        <f>IF(E40&lt;0,-((C40/E40)-1),(C40/E40)-1)*100</f>
        <v>14.635647678340291</v>
      </c>
      <c r="G40" s="263">
        <f t="shared" si="4"/>
        <v>210423</v>
      </c>
      <c r="H40" s="326"/>
      <c r="I40" s="267">
        <f t="shared" si="5"/>
        <v>0</v>
      </c>
      <c r="J40" s="324">
        <f>+J24-J27+J35</f>
        <v>1418539</v>
      </c>
      <c r="K40" s="365">
        <f>IF(ISERR(1+(C40-J40)/ABS(J40)),"N/A",1+(C40-J40)/ABS(J40))*100</f>
        <v>116.18757045100627</v>
      </c>
      <c r="L40" s="327"/>
      <c r="M40" s="324">
        <f>+C40-N40</f>
        <v>-135835</v>
      </c>
      <c r="N40" s="324">
        <f>+N24-N27+N35</f>
        <v>1784001</v>
      </c>
      <c r="P40" s="324">
        <f>+J40-Q40</f>
        <v>6726</v>
      </c>
      <c r="Q40" s="324">
        <f>+Q24-Q27+Q35</f>
        <v>1411813</v>
      </c>
      <c r="R40" s="50"/>
      <c r="S40" s="328">
        <f t="shared" ref="S40:AA40" si="17">+S24-S27+S35</f>
        <v>210423</v>
      </c>
      <c r="T40" s="328">
        <f t="shared" si="17"/>
        <v>286772</v>
      </c>
      <c r="U40" s="328">
        <f>+U24-U27+U35</f>
        <v>407193</v>
      </c>
      <c r="V40" s="328">
        <f t="shared" si="17"/>
        <v>28490</v>
      </c>
      <c r="W40" s="328" t="e">
        <f t="shared" si="17"/>
        <v>#REF!</v>
      </c>
      <c r="X40" s="328" t="e">
        <f>+X24-X27+X35</f>
        <v>#REF!</v>
      </c>
      <c r="Y40" s="328">
        <f>+Y24-Y27+Y35</f>
        <v>-17299</v>
      </c>
      <c r="Z40" s="328">
        <f>+Z24-Z27+Z35</f>
        <v>-80880</v>
      </c>
      <c r="AA40" s="324" t="e">
        <f t="shared" si="17"/>
        <v>#REF!</v>
      </c>
      <c r="AB40" s="110" t="e">
        <f t="shared" si="16"/>
        <v>#REF!</v>
      </c>
    </row>
    <row r="41" spans="1:28" ht="16.5" customHeight="1">
      <c r="A41" s="323"/>
      <c r="B41" s="329" t="s">
        <v>144</v>
      </c>
      <c r="C41" s="880">
        <f>+C40/C$10</f>
        <v>0.18446797318320704</v>
      </c>
      <c r="D41" s="948"/>
      <c r="E41" s="880">
        <f>+E40/E$10</f>
        <v>0.15797983056656223</v>
      </c>
      <c r="F41" s="943"/>
      <c r="G41" s="920">
        <f t="shared" si="4"/>
        <v>2.6488142616644811E-2</v>
      </c>
      <c r="H41" s="944"/>
      <c r="I41" s="267">
        <f t="shared" si="5"/>
        <v>0</v>
      </c>
      <c r="J41" s="880">
        <f>+J40/J$10</f>
        <v>0.16485869435736222</v>
      </c>
      <c r="K41" s="949">
        <f>+K40/K$10</f>
        <v>1.1189459791749776</v>
      </c>
      <c r="L41" s="367"/>
      <c r="M41" s="332">
        <f>+M40/M$10</f>
        <v>9.1956551908554562E-2</v>
      </c>
      <c r="N41" s="330">
        <f>+N40/N$10</f>
        <v>0.17134307830537565</v>
      </c>
      <c r="O41" s="99"/>
      <c r="P41" s="332"/>
      <c r="Q41" s="332">
        <f>+Q40/Q$10</f>
        <v>0.13758701801741838</v>
      </c>
      <c r="R41" s="50"/>
      <c r="S41" s="333"/>
      <c r="T41" s="333"/>
      <c r="U41" s="334"/>
      <c r="V41" s="334"/>
      <c r="W41" s="334"/>
      <c r="X41" s="334"/>
      <c r="Y41" s="334"/>
      <c r="Z41" s="334"/>
      <c r="AA41" s="332"/>
      <c r="AB41" s="110">
        <f t="shared" si="16"/>
        <v>0</v>
      </c>
    </row>
    <row r="42" spans="1:28" ht="4.5" customHeight="1">
      <c r="A42" s="323"/>
      <c r="B42" s="368"/>
      <c r="C42" s="369"/>
      <c r="D42" s="167"/>
      <c r="E42" s="369"/>
      <c r="F42" s="950"/>
      <c r="G42" s="369"/>
      <c r="H42" s="951"/>
      <c r="I42" s="267">
        <f t="shared" si="5"/>
        <v>0</v>
      </c>
      <c r="J42" s="369"/>
      <c r="K42" s="952"/>
      <c r="M42" s="369"/>
      <c r="N42" s="369"/>
      <c r="P42" s="369"/>
      <c r="Q42" s="369"/>
      <c r="R42" s="50"/>
      <c r="S42" s="369"/>
      <c r="T42" s="369"/>
      <c r="U42" s="369"/>
      <c r="V42" s="369"/>
      <c r="W42" s="369"/>
      <c r="X42" s="369"/>
      <c r="Y42" s="369"/>
      <c r="Z42" s="369"/>
      <c r="AA42" s="370"/>
      <c r="AB42" s="110"/>
    </row>
    <row r="43" spans="1:28" s="56" customFormat="1" ht="16.5" customHeight="1">
      <c r="A43" s="323"/>
      <c r="B43" s="371" t="s">
        <v>145</v>
      </c>
      <c r="C43" s="372">
        <f>+C40+C20+C29+C32-C38</f>
        <v>2310043</v>
      </c>
      <c r="D43" s="109"/>
      <c r="E43" s="372">
        <f>+E40+E20+E29+E32-E38</f>
        <v>2087376</v>
      </c>
      <c r="F43" s="265">
        <f>IF(E43&lt;0,-((C43/E43)-1),(C43/E43)-1)*100</f>
        <v>10.667316286093165</v>
      </c>
      <c r="G43" s="263">
        <f t="shared" si="4"/>
        <v>222667</v>
      </c>
      <c r="H43" s="326"/>
      <c r="I43" s="267">
        <f t="shared" si="5"/>
        <v>0</v>
      </c>
      <c r="J43" s="372">
        <f>+J40+J20+J29+J32-J38</f>
        <v>2071170</v>
      </c>
      <c r="K43" s="365">
        <f>IF(ISERR(1+(C43-J43)/ABS(J43)),"N/A",1+(C43-J43)/ABS(J43))*100</f>
        <v>111.5332396664687</v>
      </c>
      <c r="L43" s="327"/>
      <c r="M43" s="372">
        <f>+M40+M20+M29+M32-M38</f>
        <v>-626443</v>
      </c>
      <c r="N43" s="372">
        <f>+N40+N20+N29+N32-N38</f>
        <v>2936486</v>
      </c>
      <c r="P43" s="372">
        <f>+P40+P20+P29+P32-P38</f>
        <v>-429842</v>
      </c>
      <c r="Q43" s="372">
        <f>+Q40+Q20+Q29+Q32-Q38</f>
        <v>2501012</v>
      </c>
      <c r="R43" s="50"/>
      <c r="S43" s="372">
        <f t="shared" ref="S43:AA43" si="18">+S40+S20+S29+S32-S38</f>
        <v>222667</v>
      </c>
      <c r="T43" s="372">
        <f t="shared" si="18"/>
        <v>286063</v>
      </c>
      <c r="U43" s="372">
        <f t="shared" si="18"/>
        <v>373656</v>
      </c>
      <c r="V43" s="372">
        <f t="shared" si="18"/>
        <v>40842</v>
      </c>
      <c r="W43" s="372" t="e">
        <f t="shared" si="18"/>
        <v>#REF!</v>
      </c>
      <c r="X43" s="372" t="e">
        <f>+X40+X20+X29+X32-X38</f>
        <v>#REF!</v>
      </c>
      <c r="Y43" s="372">
        <f>+Y40+Y20+Y29+Y32-Y38</f>
        <v>-17299</v>
      </c>
      <c r="Z43" s="372">
        <f>+Z40+Z20+Z29+Z32-Z38</f>
        <v>-80880</v>
      </c>
      <c r="AA43" s="372" t="e">
        <f t="shared" si="18"/>
        <v>#REF!</v>
      </c>
      <c r="AB43" s="110" t="e">
        <f t="shared" si="16"/>
        <v>#REF!</v>
      </c>
    </row>
    <row r="44" spans="1:28" s="56" customFormat="1" ht="16.5" customHeight="1">
      <c r="A44" s="323"/>
      <c r="B44" s="373" t="s">
        <v>146</v>
      </c>
      <c r="C44" s="880">
        <f>+C43/C$10</f>
        <v>0.25854734909957805</v>
      </c>
      <c r="D44" s="948"/>
      <c r="E44" s="880">
        <f>+E43/E$10</f>
        <v>0.22936178914361494</v>
      </c>
      <c r="F44" s="943"/>
      <c r="G44" s="880">
        <f t="shared" si="4"/>
        <v>2.9185559955963114E-2</v>
      </c>
      <c r="H44" s="944"/>
      <c r="I44" s="267">
        <f t="shared" si="5"/>
        <v>0</v>
      </c>
      <c r="J44" s="880">
        <f>+J43/J10</f>
        <v>0.2407056711110078</v>
      </c>
      <c r="K44" s="949">
        <f>+K43/K10</f>
        <v>1.0741223831836604</v>
      </c>
      <c r="L44" s="367"/>
      <c r="M44" s="332">
        <f>+M43/M$10</f>
        <v>0.42408464863437734</v>
      </c>
      <c r="N44" s="330">
        <f>+N43/N$10</f>
        <v>0.28203266177577219</v>
      </c>
      <c r="O44" s="77"/>
      <c r="P44" s="332"/>
      <c r="Q44" s="332">
        <f>+Q43/Q10</f>
        <v>0.2437339669671405</v>
      </c>
      <c r="R44" s="50"/>
      <c r="S44" s="333"/>
      <c r="T44" s="333"/>
      <c r="U44" s="334"/>
      <c r="V44" s="334"/>
      <c r="W44" s="334"/>
      <c r="X44" s="334"/>
      <c r="Y44" s="334"/>
      <c r="Z44" s="334"/>
      <c r="AA44" s="332"/>
      <c r="AB44" s="110">
        <f t="shared" si="16"/>
        <v>0</v>
      </c>
    </row>
    <row r="45" spans="1:28" ht="8.25" customHeight="1">
      <c r="A45" s="323"/>
      <c r="E45" s="51"/>
      <c r="H45" s="300"/>
      <c r="I45" s="267">
        <f t="shared" si="5"/>
        <v>0</v>
      </c>
      <c r="L45" s="356"/>
      <c r="R45" s="50"/>
      <c r="AA45" s="302"/>
      <c r="AB45" s="110"/>
    </row>
    <row r="46" spans="1:28" ht="16.5" customHeight="1">
      <c r="A46" s="323"/>
      <c r="B46" s="262" t="s">
        <v>147</v>
      </c>
      <c r="C46" s="263">
        <f>SUM(C47:C50)</f>
        <v>-625819</v>
      </c>
      <c r="D46" s="264"/>
      <c r="E46" s="263">
        <f>SUM(E47:E50)</f>
        <v>-977578</v>
      </c>
      <c r="F46" s="265">
        <f>-IF(E46&lt;0,-((C46/E46)-1),(C46/E46)-1)*100</f>
        <v>-35.982704193424972</v>
      </c>
      <c r="G46" s="263">
        <f>-(+C46-E46)</f>
        <v>-351759</v>
      </c>
      <c r="H46" s="305"/>
      <c r="I46" s="267">
        <f>+E46-G46-C46</f>
        <v>0</v>
      </c>
      <c r="J46" s="263">
        <f>SUM(J47:J50)</f>
        <v>-770776</v>
      </c>
      <c r="K46" s="374">
        <f>IF(ISERR(1+(C46-J46)/ABS(J46)),"N/A",1+(C46-J46)/ABS(J46))*100</f>
        <v>118.80663123916678</v>
      </c>
      <c r="L46" s="269"/>
      <c r="M46" s="270">
        <f>+C46-N46</f>
        <v>72676</v>
      </c>
      <c r="N46" s="263">
        <f>SUM(N47:N50)</f>
        <v>-698495</v>
      </c>
      <c r="O46" s="165"/>
      <c r="P46" s="271">
        <f>+J46-Q46</f>
        <v>-99917</v>
      </c>
      <c r="Q46" s="270">
        <f>SUM(Q47:Q50)</f>
        <v>-670859</v>
      </c>
      <c r="R46" s="50"/>
      <c r="S46" s="272">
        <f>-(SUM(S48:S50)-S47)</f>
        <v>-351759</v>
      </c>
      <c r="T46" s="272">
        <v>-15759</v>
      </c>
      <c r="U46" s="272">
        <f>-U49+U47</f>
        <v>-29210</v>
      </c>
      <c r="V46" s="272">
        <f>-(SUM(V48:V50)-V47)</f>
        <v>-34229</v>
      </c>
      <c r="W46" s="272">
        <v>-28680</v>
      </c>
      <c r="X46" s="272">
        <v>-36933</v>
      </c>
      <c r="Y46" s="272">
        <f>SUM(Y47:Y50)</f>
        <v>0</v>
      </c>
      <c r="Z46" s="272">
        <f>SUM(Z47:Z50)</f>
        <v>0</v>
      </c>
      <c r="AA46" s="272">
        <f>+SUM(T46:Z46)</f>
        <v>-144811</v>
      </c>
      <c r="AB46" s="110">
        <f t="shared" si="16"/>
        <v>-206948</v>
      </c>
    </row>
    <row r="47" spans="1:28" s="289" customFormat="1" ht="14.5">
      <c r="A47" s="323"/>
      <c r="B47" s="375" t="s">
        <v>148</v>
      </c>
      <c r="C47" s="274">
        <v>-745138</v>
      </c>
      <c r="D47" s="275"/>
      <c r="E47" s="274">
        <v>-1019424</v>
      </c>
      <c r="F47" s="276">
        <f>-IF(E47&lt;0,-((C47/E47)-1),(C47/E47)-1)*100</f>
        <v>-26.905978277929499</v>
      </c>
      <c r="G47" s="274">
        <f>-(+C47-E47)</f>
        <v>-274286</v>
      </c>
      <c r="H47" s="277" t="s">
        <v>604</v>
      </c>
      <c r="I47" s="267">
        <f>+E47-G47-C47</f>
        <v>0</v>
      </c>
      <c r="J47" s="274">
        <v>-779335</v>
      </c>
      <c r="K47" s="376">
        <f>IF(ISERR(1+(C47-J47)/ABS(J47)),"N/A",1+(C47-J47)/ABS(J47))*100</f>
        <v>104.38797179646751</v>
      </c>
      <c r="L47" s="165"/>
      <c r="M47" s="279">
        <f>+C47-N47</f>
        <v>-91187</v>
      </c>
      <c r="N47" s="274">
        <v>-653951</v>
      </c>
      <c r="O47" s="287"/>
      <c r="P47" s="377">
        <f>+J47-Q47</f>
        <v>-96961</v>
      </c>
      <c r="Q47" s="279">
        <v>-682374</v>
      </c>
      <c r="R47" s="50"/>
      <c r="S47" s="345">
        <f>-(C47-E47)</f>
        <v>-274286</v>
      </c>
      <c r="T47" s="345">
        <v>-16100</v>
      </c>
      <c r="U47" s="345">
        <v>-58535</v>
      </c>
      <c r="V47" s="345">
        <v>-63918</v>
      </c>
      <c r="W47" s="378">
        <v>-27526</v>
      </c>
      <c r="X47" s="345">
        <v>-6379</v>
      </c>
      <c r="Y47" s="345"/>
      <c r="Z47" s="345"/>
      <c r="AA47" s="274">
        <f>+SUM(T47:Z47)</f>
        <v>-172458</v>
      </c>
      <c r="AB47" s="110">
        <f t="shared" si="16"/>
        <v>-101828</v>
      </c>
    </row>
    <row r="48" spans="1:28" ht="14.5" hidden="1">
      <c r="A48" s="323"/>
      <c r="B48" s="379" t="s">
        <v>271</v>
      </c>
      <c r="C48" s="274">
        <v>0</v>
      </c>
      <c r="D48" s="275"/>
      <c r="E48" s="274">
        <v>0</v>
      </c>
      <c r="F48" s="380" t="s">
        <v>267</v>
      </c>
      <c r="G48" s="274">
        <f t="shared" si="4"/>
        <v>0</v>
      </c>
      <c r="H48" s="277" t="s">
        <v>270</v>
      </c>
      <c r="I48" s="267">
        <f t="shared" si="5"/>
        <v>0</v>
      </c>
      <c r="J48" s="274">
        <v>0</v>
      </c>
      <c r="K48" s="381" t="s">
        <v>235</v>
      </c>
      <c r="L48" s="165"/>
      <c r="M48" s="279">
        <f>+C48-N48</f>
        <v>0</v>
      </c>
      <c r="N48" s="274">
        <v>0</v>
      </c>
      <c r="O48" s="165"/>
      <c r="P48" s="280">
        <f>+J48-Q48</f>
        <v>0</v>
      </c>
      <c r="Q48" s="279">
        <v>0</v>
      </c>
      <c r="R48" s="50"/>
      <c r="S48" s="345">
        <f>+C48-E48</f>
        <v>0</v>
      </c>
      <c r="T48" s="345"/>
      <c r="U48" s="345">
        <v>0</v>
      </c>
      <c r="V48" s="345">
        <v>0</v>
      </c>
      <c r="W48" s="345">
        <v>0</v>
      </c>
      <c r="X48" s="345"/>
      <c r="Y48" s="345"/>
      <c r="Z48" s="345"/>
      <c r="AA48" s="274">
        <f>+SUM(T48:Z48)</f>
        <v>0</v>
      </c>
      <c r="AB48" s="110">
        <f t="shared" si="16"/>
        <v>0</v>
      </c>
    </row>
    <row r="49" spans="1:29" ht="14.5">
      <c r="A49" s="323"/>
      <c r="B49" s="382" t="s">
        <v>149</v>
      </c>
      <c r="C49" s="274">
        <v>119319</v>
      </c>
      <c r="D49" s="275"/>
      <c r="E49" s="274">
        <v>41846</v>
      </c>
      <c r="F49" s="276">
        <f>-IF(E49&lt;0,-((C49/E49)-1),(C49/E49)-1)*100</f>
        <v>-185.13836447928119</v>
      </c>
      <c r="G49" s="274">
        <f>(+C49-E49)</f>
        <v>77473</v>
      </c>
      <c r="H49" s="277" t="s">
        <v>605</v>
      </c>
      <c r="I49" s="267">
        <f t="shared" si="5"/>
        <v>0</v>
      </c>
      <c r="J49" s="274">
        <v>8559</v>
      </c>
      <c r="K49" s="376">
        <f>IF(ISERR(1+(C49-J49)/ABS(J49)),"N/A",1+(C49-J49)/ABS(J49))*100</f>
        <v>1394.0764107956538</v>
      </c>
      <c r="L49" s="165"/>
      <c r="M49" s="279">
        <f>+C49-N49</f>
        <v>163863</v>
      </c>
      <c r="N49" s="274">
        <v>-44544</v>
      </c>
      <c r="O49" s="165"/>
      <c r="P49" s="280">
        <f>+J49-Q49</f>
        <v>-2956</v>
      </c>
      <c r="Q49" s="279">
        <v>11515</v>
      </c>
      <c r="R49" s="50"/>
      <c r="S49" s="345">
        <f>+C49-E49</f>
        <v>77473</v>
      </c>
      <c r="T49" s="345">
        <v>-341</v>
      </c>
      <c r="U49" s="345">
        <v>-29325</v>
      </c>
      <c r="V49" s="345">
        <v>-29689</v>
      </c>
      <c r="W49" s="345">
        <v>1154</v>
      </c>
      <c r="X49" s="345">
        <v>30554</v>
      </c>
      <c r="Y49" s="345"/>
      <c r="Z49" s="345"/>
      <c r="AA49" s="274">
        <f>+SUM(T49:Z49)</f>
        <v>-27647</v>
      </c>
      <c r="AB49" s="110">
        <f>+S49-AA49</f>
        <v>105120</v>
      </c>
    </row>
    <row r="50" spans="1:29" ht="14.5" hidden="1">
      <c r="A50" s="323"/>
      <c r="B50" s="383" t="s">
        <v>272</v>
      </c>
      <c r="C50" s="384">
        <v>0</v>
      </c>
      <c r="D50" s="385"/>
      <c r="E50" s="384">
        <v>0</v>
      </c>
      <c r="F50" s="362" t="s">
        <v>267</v>
      </c>
      <c r="G50" s="384">
        <f t="shared" si="4"/>
        <v>0</v>
      </c>
      <c r="H50" s="386" t="s">
        <v>270</v>
      </c>
      <c r="I50" s="267">
        <f t="shared" si="5"/>
        <v>0</v>
      </c>
      <c r="J50" s="384">
        <v>0</v>
      </c>
      <c r="K50" s="387" t="s">
        <v>235</v>
      </c>
      <c r="L50" s="165"/>
      <c r="M50" s="388">
        <f>+C50-N50</f>
        <v>0</v>
      </c>
      <c r="N50" s="384">
        <v>0</v>
      </c>
      <c r="O50" s="389"/>
      <c r="P50" s="320">
        <f>+J50-Q50</f>
        <v>0</v>
      </c>
      <c r="Q50" s="388">
        <v>0</v>
      </c>
      <c r="R50" s="50"/>
      <c r="S50" s="321">
        <f>+C50-E50</f>
        <v>0</v>
      </c>
      <c r="T50" s="321">
        <v>0</v>
      </c>
      <c r="U50" s="321">
        <v>0</v>
      </c>
      <c r="V50" s="321">
        <v>0</v>
      </c>
      <c r="W50" s="321"/>
      <c r="X50" s="321"/>
      <c r="Y50" s="321"/>
      <c r="Z50" s="321"/>
      <c r="AA50" s="294">
        <f>+SUM(T50:X50)</f>
        <v>0</v>
      </c>
      <c r="AB50" s="110">
        <f t="shared" si="16"/>
        <v>0</v>
      </c>
    </row>
    <row r="51" spans="1:29" ht="9.75" customHeight="1">
      <c r="A51" s="323"/>
      <c r="D51" s="275"/>
      <c r="E51" s="51"/>
      <c r="H51" s="300"/>
      <c r="I51" s="257"/>
      <c r="R51" s="50"/>
      <c r="AA51" s="302"/>
      <c r="AB51" s="110"/>
    </row>
    <row r="52" spans="1:29" ht="16.5" customHeight="1">
      <c r="A52" s="323"/>
      <c r="B52" s="390" t="s">
        <v>150</v>
      </c>
      <c r="C52" s="391">
        <f>+C40+C46</f>
        <v>1022347</v>
      </c>
      <c r="D52" s="264"/>
      <c r="E52" s="391">
        <f>+E40+E46</f>
        <v>460165</v>
      </c>
      <c r="F52" s="392">
        <f>IF(E52&lt;0,-((C52/E52)-1),(C52/E52)-1)*100</f>
        <v>122.16965653624246</v>
      </c>
      <c r="G52" s="391">
        <f t="shared" si="4"/>
        <v>562182</v>
      </c>
      <c r="H52" s="393"/>
      <c r="I52" s="267">
        <f t="shared" si="5"/>
        <v>0</v>
      </c>
      <c r="J52" s="391">
        <f>+J40+J46</f>
        <v>647763</v>
      </c>
      <c r="K52" s="953">
        <f>IF(ISERR(1+(C52-J52)/ABS(J52)),"N/A",1+(C52-J52)/ABS(J52))*100</f>
        <v>157.82732264732627</v>
      </c>
      <c r="L52" s="327"/>
      <c r="M52" s="394">
        <f>+C52-N52</f>
        <v>-63159</v>
      </c>
      <c r="N52" s="391">
        <f>+N40+N46</f>
        <v>1085506</v>
      </c>
      <c r="P52" s="394">
        <f>+J52-Q52</f>
        <v>-93191</v>
      </c>
      <c r="Q52" s="394">
        <f>+Q40+Q46</f>
        <v>740954</v>
      </c>
      <c r="R52" s="50"/>
      <c r="S52" s="395">
        <f>+S40-S46</f>
        <v>562182</v>
      </c>
      <c r="T52" s="395">
        <f>+T40-T46</f>
        <v>302531</v>
      </c>
      <c r="U52" s="395">
        <f t="shared" ref="U52:AA52" si="19">+U40-U46</f>
        <v>436403</v>
      </c>
      <c r="V52" s="395">
        <f t="shared" si="19"/>
        <v>62719</v>
      </c>
      <c r="W52" s="395" t="e">
        <f t="shared" si="19"/>
        <v>#REF!</v>
      </c>
      <c r="X52" s="395" t="e">
        <f t="shared" si="19"/>
        <v>#REF!</v>
      </c>
      <c r="Y52" s="395">
        <f t="shared" si="19"/>
        <v>-17299</v>
      </c>
      <c r="Z52" s="395">
        <f t="shared" si="19"/>
        <v>-80880</v>
      </c>
      <c r="AA52" s="395" t="e">
        <f t="shared" si="19"/>
        <v>#REF!</v>
      </c>
      <c r="AB52" s="110" t="e">
        <f t="shared" si="16"/>
        <v>#REF!</v>
      </c>
    </row>
    <row r="53" spans="1:29" s="323" customFormat="1" ht="17.25" customHeight="1">
      <c r="B53" s="986"/>
      <c r="C53" s="51"/>
      <c r="D53" s="275"/>
      <c r="E53" s="51"/>
      <c r="G53" s="51"/>
      <c r="H53" s="396"/>
      <c r="I53" s="397"/>
      <c r="J53" s="60"/>
      <c r="M53" s="51"/>
      <c r="N53" s="51"/>
      <c r="O53" s="51"/>
      <c r="P53" s="51"/>
      <c r="Q53" s="60"/>
      <c r="R53" s="50"/>
      <c r="S53" s="51"/>
      <c r="T53" s="51"/>
      <c r="U53" s="51"/>
      <c r="V53" s="51"/>
      <c r="W53" s="51"/>
      <c r="X53" s="51"/>
      <c r="Y53" s="51"/>
      <c r="Z53" s="51"/>
      <c r="AA53" s="302"/>
      <c r="AB53" s="110">
        <f t="shared" si="16"/>
        <v>0</v>
      </c>
      <c r="AC53" s="51"/>
    </row>
    <row r="54" spans="1:29" s="323" customFormat="1" ht="7.5" customHeight="1">
      <c r="B54" s="398"/>
      <c r="C54" s="399"/>
      <c r="D54" s="275"/>
      <c r="E54" s="399"/>
      <c r="F54" s="400"/>
      <c r="G54" s="399"/>
      <c r="H54" s="401"/>
      <c r="I54" s="402"/>
      <c r="J54" s="399"/>
      <c r="K54" s="403"/>
      <c r="L54" s="404"/>
      <c r="M54" s="405"/>
      <c r="N54" s="399"/>
      <c r="O54" s="406"/>
      <c r="P54" s="405"/>
      <c r="Q54" s="405"/>
      <c r="R54" s="50"/>
      <c r="S54" s="407"/>
      <c r="T54" s="407"/>
      <c r="U54" s="408"/>
      <c r="V54" s="408"/>
      <c r="W54" s="408"/>
      <c r="X54" s="408"/>
      <c r="Y54" s="408"/>
      <c r="Z54" s="408"/>
      <c r="AA54" s="405"/>
      <c r="AB54" s="110"/>
      <c r="AC54" s="51"/>
    </row>
    <row r="55" spans="1:29" s="424" customFormat="1" ht="13">
      <c r="A55" s="51"/>
      <c r="B55" s="409" t="s">
        <v>151</v>
      </c>
      <c r="C55" s="410">
        <v>525185</v>
      </c>
      <c r="D55" s="411"/>
      <c r="E55" s="410">
        <v>290073</v>
      </c>
      <c r="F55" s="412">
        <f>IF(E55&lt;0,-((C55/E55)-1),(C55/E55)-1)*100</f>
        <v>81.052700527108684</v>
      </c>
      <c r="G55" s="410">
        <f>+C55-E55</f>
        <v>235112</v>
      </c>
      <c r="H55" s="413" t="s">
        <v>273</v>
      </c>
      <c r="I55" s="267">
        <f>+E55+G55-C55</f>
        <v>0</v>
      </c>
      <c r="J55" s="410">
        <v>328779</v>
      </c>
      <c r="K55" s="414">
        <f>IF(ISERR(1+(C55-J55)/ABS(J55)),"N/A",1+(C55-J55)/ABS(J55))*100</f>
        <v>159.73800029807256</v>
      </c>
      <c r="L55" s="415"/>
      <c r="M55" s="416">
        <f>+C55-N55</f>
        <v>173170</v>
      </c>
      <c r="N55" s="410">
        <v>352015</v>
      </c>
      <c r="O55" s="417"/>
      <c r="P55" s="418">
        <f>+J55-Q55</f>
        <v>43709</v>
      </c>
      <c r="Q55" s="419">
        <v>285070</v>
      </c>
      <c r="R55" s="50"/>
      <c r="S55" s="420">
        <f>+C55-E55</f>
        <v>235112</v>
      </c>
      <c r="T55" s="420">
        <v>-27927</v>
      </c>
      <c r="U55" s="421">
        <v>163965</v>
      </c>
      <c r="V55" s="421">
        <v>5870</v>
      </c>
      <c r="W55" s="422">
        <v>13059</v>
      </c>
      <c r="X55" s="421">
        <v>31868</v>
      </c>
      <c r="Y55" s="421"/>
      <c r="Z55" s="421"/>
      <c r="AA55" s="416">
        <f>+SUM(T55:X55)</f>
        <v>186835</v>
      </c>
      <c r="AB55" s="423">
        <f t="shared" si="16"/>
        <v>48277</v>
      </c>
    </row>
    <row r="56" spans="1:29" ht="3.75" customHeight="1">
      <c r="E56" s="51"/>
      <c r="H56" s="300"/>
      <c r="I56" s="257"/>
      <c r="K56" s="301"/>
      <c r="R56" s="50"/>
      <c r="AA56" s="302"/>
      <c r="AB56" s="110"/>
    </row>
    <row r="57" spans="1:29" s="56" customFormat="1" ht="15.5">
      <c r="B57" s="303" t="s">
        <v>669</v>
      </c>
      <c r="C57" s="263">
        <f>+C52-C55-C54</f>
        <v>497162</v>
      </c>
      <c r="D57" s="264"/>
      <c r="E57" s="263">
        <f>+E52-E55-E54</f>
        <v>170092</v>
      </c>
      <c r="F57" s="265">
        <f>IF(E57&lt;0,-((C57/E57)-1),(C57/E57)-1)*100</f>
        <v>192.29005479387627</v>
      </c>
      <c r="G57" s="263">
        <f>(+C57-E57)</f>
        <v>327070</v>
      </c>
      <c r="H57" s="425"/>
      <c r="I57" s="267">
        <f>+E57+G57-C57</f>
        <v>0</v>
      </c>
      <c r="J57" s="263">
        <f>+J52-J55-J54</f>
        <v>318984</v>
      </c>
      <c r="K57" s="374">
        <f>IF(ISERR(1+(C57-J57)/ABS(J57)),"N/A",1+(C57-J57)/ABS(J57))*100</f>
        <v>155.85797406766483</v>
      </c>
      <c r="L57" s="269"/>
      <c r="M57" s="270">
        <f>+C57-N57</f>
        <v>-236329</v>
      </c>
      <c r="N57" s="263">
        <f>+N52-N55-N54</f>
        <v>733491</v>
      </c>
      <c r="O57" s="269"/>
      <c r="P57" s="270">
        <f>+J57-Q57</f>
        <v>-136900</v>
      </c>
      <c r="Q57" s="270">
        <f>+Q52-Q55-Q54</f>
        <v>455884</v>
      </c>
      <c r="R57" s="50"/>
      <c r="S57" s="271">
        <f t="shared" ref="S57:AA57" si="20">+S52-S55-S54</f>
        <v>327070</v>
      </c>
      <c r="T57" s="271">
        <f t="shared" si="20"/>
        <v>330458</v>
      </c>
      <c r="U57" s="272">
        <f t="shared" si="20"/>
        <v>272438</v>
      </c>
      <c r="V57" s="272">
        <f>+V52-V55-V54</f>
        <v>56849</v>
      </c>
      <c r="W57" s="272" t="e">
        <f t="shared" si="20"/>
        <v>#REF!</v>
      </c>
      <c r="X57" s="272" t="e">
        <f>+X52-X55-X54</f>
        <v>#REF!</v>
      </c>
      <c r="Y57" s="272">
        <f>+Y52-Y55-Y54</f>
        <v>-17299</v>
      </c>
      <c r="Z57" s="272">
        <f>+Z52-Z55-Z54</f>
        <v>-80880</v>
      </c>
      <c r="AA57" s="270" t="e">
        <f t="shared" si="20"/>
        <v>#REF!</v>
      </c>
      <c r="AB57" s="426" t="e">
        <f t="shared" si="16"/>
        <v>#REF!</v>
      </c>
    </row>
    <row r="58" spans="1:29" s="56" customFormat="1" ht="16.5" customHeight="1">
      <c r="B58" s="427" t="s">
        <v>667</v>
      </c>
      <c r="C58" s="274">
        <v>1986031</v>
      </c>
      <c r="D58" s="275"/>
      <c r="E58" s="274">
        <v>5484808</v>
      </c>
      <c r="F58" s="380" t="s">
        <v>267</v>
      </c>
      <c r="G58" s="274">
        <f t="shared" si="4"/>
        <v>-3498777</v>
      </c>
      <c r="H58" s="277" t="s">
        <v>670</v>
      </c>
      <c r="I58" s="267">
        <f>+E58+G58-C58</f>
        <v>0</v>
      </c>
      <c r="J58" s="360">
        <v>1835369</v>
      </c>
      <c r="K58" s="381" t="s">
        <v>235</v>
      </c>
      <c r="L58" s="269"/>
      <c r="M58" s="279">
        <f>+C58-N58</f>
        <v>1986031</v>
      </c>
      <c r="N58" s="274">
        <v>0</v>
      </c>
      <c r="O58" s="269"/>
      <c r="P58" s="428">
        <f>+J58-Q58</f>
        <v>1835369</v>
      </c>
      <c r="Q58" s="428">
        <v>0</v>
      </c>
      <c r="R58" s="50"/>
      <c r="S58" s="280">
        <f>+C58-E58</f>
        <v>-3498777</v>
      </c>
      <c r="T58" s="280">
        <v>0</v>
      </c>
      <c r="U58" s="345">
        <v>0</v>
      </c>
      <c r="V58" s="345">
        <v>0</v>
      </c>
      <c r="W58" s="345">
        <v>0</v>
      </c>
      <c r="X58" s="345">
        <v>0</v>
      </c>
      <c r="Y58" s="345"/>
      <c r="Z58" s="345"/>
      <c r="AA58" s="279"/>
      <c r="AB58" s="110">
        <f t="shared" si="16"/>
        <v>-3498777</v>
      </c>
    </row>
    <row r="59" spans="1:29" s="56" customFormat="1" ht="16.5" customHeight="1">
      <c r="A59" s="98"/>
      <c r="B59" s="427" t="s">
        <v>668</v>
      </c>
      <c r="C59" s="274">
        <v>1627092</v>
      </c>
      <c r="D59" s="275"/>
      <c r="E59" s="274">
        <v>1684718</v>
      </c>
      <c r="F59" s="380" t="s">
        <v>267</v>
      </c>
      <c r="G59" s="274">
        <f t="shared" si="4"/>
        <v>-57626</v>
      </c>
      <c r="H59" s="277" t="s">
        <v>671</v>
      </c>
      <c r="I59" s="267"/>
      <c r="J59" s="360">
        <v>0</v>
      </c>
      <c r="K59" s="381" t="s">
        <v>235</v>
      </c>
      <c r="L59" s="269"/>
      <c r="M59" s="433">
        <f>+C59-N59</f>
        <v>893601</v>
      </c>
      <c r="N59" s="430">
        <f>+N57+N58</f>
        <v>733491</v>
      </c>
      <c r="O59" s="269"/>
      <c r="P59" s="433">
        <f>+J59-Q59</f>
        <v>-455884</v>
      </c>
      <c r="Q59" s="433">
        <f>+Q57+Q58</f>
        <v>455884</v>
      </c>
      <c r="R59" s="50"/>
      <c r="S59" s="434">
        <f t="shared" ref="S59:AA59" si="21">+S57+S58</f>
        <v>-3171707</v>
      </c>
      <c r="T59" s="434">
        <f t="shared" si="21"/>
        <v>330458</v>
      </c>
      <c r="U59" s="435">
        <f t="shared" si="21"/>
        <v>272438</v>
      </c>
      <c r="V59" s="435">
        <f t="shared" si="21"/>
        <v>56849</v>
      </c>
      <c r="W59" s="435" t="e">
        <f t="shared" si="21"/>
        <v>#REF!</v>
      </c>
      <c r="X59" s="435" t="e">
        <f>+X57+X58</f>
        <v>#REF!</v>
      </c>
      <c r="Y59" s="435">
        <f>+Y57+Y58</f>
        <v>-17299</v>
      </c>
      <c r="Z59" s="435">
        <f>+Z57+Z58</f>
        <v>-80880</v>
      </c>
      <c r="AA59" s="433" t="e">
        <f t="shared" si="21"/>
        <v>#REF!</v>
      </c>
      <c r="AB59" s="110" t="e">
        <f t="shared" si="16"/>
        <v>#REF!</v>
      </c>
    </row>
    <row r="60" spans="1:29" s="99" customFormat="1" ht="16.5" customHeight="1">
      <c r="B60" s="429" t="s">
        <v>152</v>
      </c>
      <c r="C60" s="430">
        <f>+C57+C58+C59</f>
        <v>4110285</v>
      </c>
      <c r="D60" s="264"/>
      <c r="E60" s="430">
        <f>+E57+E58+E59</f>
        <v>7339618</v>
      </c>
      <c r="F60" s="431">
        <f>IF(E60&lt;0,-((C60/E60)-1),(C60/E60)-1)*100</f>
        <v>-43.998652245934323</v>
      </c>
      <c r="G60" s="430">
        <f>(+C60-E60)</f>
        <v>-3229333</v>
      </c>
      <c r="H60" s="277"/>
      <c r="I60" s="267">
        <f>+E60+G60-C60</f>
        <v>0</v>
      </c>
      <c r="J60" s="430">
        <f>+J57+J58+J59</f>
        <v>2154353</v>
      </c>
      <c r="K60" s="432">
        <f>IF(ISERR(1+(C60-J60)/ABS(J60)),"N/A",1+(C60-J60)/ABS(J60))*100</f>
        <v>190.78976379451277</v>
      </c>
      <c r="L60" s="367"/>
      <c r="M60" s="332">
        <f>+M59/M10</f>
        <v>-0.60494325278489536</v>
      </c>
      <c r="N60" s="330">
        <f>+N59/N10</f>
        <v>7.0447609530088995E-2</v>
      </c>
      <c r="P60" s="332"/>
      <c r="Q60" s="332">
        <f>+Q59/Q$10</f>
        <v>4.4427781952604738E-2</v>
      </c>
      <c r="R60" s="50"/>
      <c r="S60" s="333"/>
      <c r="T60" s="333"/>
      <c r="U60" s="334"/>
      <c r="V60" s="334"/>
      <c r="W60" s="334"/>
      <c r="X60" s="334"/>
      <c r="Y60" s="334"/>
      <c r="Z60" s="334"/>
      <c r="AA60" s="332"/>
      <c r="AB60" s="110">
        <f t="shared" si="16"/>
        <v>0</v>
      </c>
    </row>
    <row r="61" spans="1:29" ht="13">
      <c r="B61" s="329" t="s">
        <v>153</v>
      </c>
      <c r="C61" s="880">
        <f>+C60/C10</f>
        <v>0.46003615118582603</v>
      </c>
      <c r="D61" s="948"/>
      <c r="E61" s="880">
        <f>+E60/E10</f>
        <v>0.80648044056781376</v>
      </c>
      <c r="F61" s="954"/>
      <c r="G61" s="880">
        <f t="shared" si="4"/>
        <v>-0.34644428938198774</v>
      </c>
      <c r="H61" s="955"/>
      <c r="I61" s="257"/>
      <c r="J61" s="880">
        <f>+J60/J$10</f>
        <v>0.25037297019318211</v>
      </c>
      <c r="K61" s="956"/>
      <c r="M61" s="437"/>
      <c r="N61" s="436"/>
      <c r="O61" s="437"/>
      <c r="P61" s="437"/>
      <c r="Q61" s="437"/>
      <c r="R61" s="50"/>
      <c r="S61" s="437"/>
      <c r="T61" s="437"/>
      <c r="U61" s="436"/>
      <c r="V61" s="436"/>
      <c r="W61" s="436"/>
      <c r="X61" s="436"/>
      <c r="Y61" s="436"/>
      <c r="Z61" s="436"/>
      <c r="AA61" s="438"/>
      <c r="AB61" s="110"/>
    </row>
    <row r="62" spans="1:29" ht="13">
      <c r="B62" s="100"/>
      <c r="C62" s="881"/>
      <c r="D62" s="881"/>
      <c r="E62" s="881"/>
      <c r="G62" s="881"/>
      <c r="H62" s="95"/>
      <c r="I62" s="257"/>
      <c r="J62" s="881"/>
      <c r="K62" s="301"/>
      <c r="L62" s="327"/>
      <c r="M62" s="324"/>
      <c r="N62" s="324"/>
      <c r="P62" s="324"/>
      <c r="Q62" s="324"/>
      <c r="R62" s="50"/>
      <c r="S62" s="328"/>
      <c r="T62" s="328"/>
      <c r="U62" s="328"/>
      <c r="V62" s="328"/>
      <c r="W62" s="328"/>
      <c r="X62" s="328"/>
      <c r="Y62" s="328"/>
      <c r="Z62" s="328"/>
      <c r="AA62" s="324"/>
      <c r="AB62" s="110">
        <f t="shared" si="16"/>
        <v>0</v>
      </c>
    </row>
    <row r="63" spans="1:29" ht="13">
      <c r="B63" s="303" t="s">
        <v>154</v>
      </c>
      <c r="C63" s="324"/>
      <c r="D63" s="71"/>
      <c r="E63" s="324"/>
      <c r="F63" s="957"/>
      <c r="G63" s="324"/>
      <c r="H63" s="958"/>
      <c r="I63" s="439"/>
      <c r="J63" s="324"/>
      <c r="K63" s="959"/>
      <c r="L63" s="404"/>
      <c r="M63" s="279">
        <f>+C63-N63</f>
        <v>-390067</v>
      </c>
      <c r="N63" s="274">
        <v>390067</v>
      </c>
      <c r="O63" s="165"/>
      <c r="P63" s="279">
        <f>+J63-Q63</f>
        <v>-359674</v>
      </c>
      <c r="Q63" s="279">
        <v>359674</v>
      </c>
      <c r="R63" s="50"/>
      <c r="S63" s="280">
        <f>+C63-E63</f>
        <v>0</v>
      </c>
      <c r="T63" s="280">
        <v>0</v>
      </c>
      <c r="U63" s="345">
        <v>30802</v>
      </c>
      <c r="V63" s="345">
        <v>33369</v>
      </c>
      <c r="W63" s="345">
        <v>32194</v>
      </c>
      <c r="X63" s="345">
        <v>0</v>
      </c>
      <c r="Y63" s="345">
        <v>0</v>
      </c>
      <c r="Z63" s="345"/>
      <c r="AA63" s="279">
        <f>+SUM(T63:Z63)</f>
        <v>96365</v>
      </c>
      <c r="AB63" s="110">
        <f>+S63-AA63</f>
        <v>-96365</v>
      </c>
    </row>
    <row r="64" spans="1:29" ht="13">
      <c r="B64" s="440" t="s">
        <v>65</v>
      </c>
      <c r="C64" s="274">
        <v>1466534</v>
      </c>
      <c r="D64" s="275"/>
      <c r="E64" s="274">
        <v>3028318</v>
      </c>
      <c r="F64" s="276">
        <f>IF(E64&lt;0,-((C64/E64)-1),(C64/E64)-1)*100</f>
        <v>-51.572655183504509</v>
      </c>
      <c r="G64" s="274">
        <f t="shared" si="4"/>
        <v>-1561784</v>
      </c>
      <c r="H64" s="441"/>
      <c r="I64" s="267">
        <f>+E64+G64-C64</f>
        <v>0</v>
      </c>
      <c r="J64" s="274">
        <v>1133305</v>
      </c>
      <c r="K64" s="376">
        <f>IF(ISERR(1+(C64-J64)/ABS(J64)),"N/A",1+(C64-J64)/ABS(J64))*100</f>
        <v>129.40329390587706</v>
      </c>
      <c r="L64" s="445"/>
      <c r="M64" s="446">
        <f>+C64-N64</f>
        <v>1123110</v>
      </c>
      <c r="N64" s="443">
        <f>+N59-N63</f>
        <v>343424</v>
      </c>
      <c r="O64" s="165"/>
      <c r="P64" s="446">
        <f>+J64-Q64</f>
        <v>1037095</v>
      </c>
      <c r="Q64" s="446">
        <f>+Q59-Q63</f>
        <v>96210</v>
      </c>
      <c r="R64" s="50"/>
      <c r="S64" s="447">
        <f>+S59-S63</f>
        <v>-3171707</v>
      </c>
      <c r="T64" s="447">
        <f>+T57-T63</f>
        <v>330458</v>
      </c>
      <c r="U64" s="448">
        <f>+U59-U63</f>
        <v>241636</v>
      </c>
      <c r="V64" s="448">
        <f t="shared" ref="V64:AA64" si="22">+V57-V63</f>
        <v>23480</v>
      </c>
      <c r="W64" s="448" t="e">
        <f t="shared" si="22"/>
        <v>#REF!</v>
      </c>
      <c r="X64" s="448" t="e">
        <f t="shared" si="22"/>
        <v>#REF!</v>
      </c>
      <c r="Y64" s="448">
        <f>+Y57-Y63</f>
        <v>-17299</v>
      </c>
      <c r="Z64" s="448">
        <f t="shared" si="22"/>
        <v>-80880</v>
      </c>
      <c r="AA64" s="446" t="e">
        <f t="shared" si="22"/>
        <v>#REF!</v>
      </c>
      <c r="AB64" s="110" t="e">
        <f t="shared" si="16"/>
        <v>#REF!</v>
      </c>
    </row>
    <row r="65" spans="2:28" s="99" customFormat="1" ht="16.5" customHeight="1">
      <c r="B65" s="442" t="s">
        <v>155</v>
      </c>
      <c r="C65" s="443">
        <f>+C60-C64</f>
        <v>2643751</v>
      </c>
      <c r="D65" s="444"/>
      <c r="E65" s="443">
        <f>+E60-E64</f>
        <v>4311300</v>
      </c>
      <c r="F65" s="431">
        <f>IF(E65&lt;0,-((C65/E65)-1),(C65/E65)-1)*100</f>
        <v>-38.678565629856422</v>
      </c>
      <c r="G65" s="443">
        <f>(+C65-E65)</f>
        <v>-1667549</v>
      </c>
      <c r="H65" s="277"/>
      <c r="I65" s="267">
        <f>+E65+G65-C65</f>
        <v>0</v>
      </c>
      <c r="J65" s="443">
        <f>+J60-J64</f>
        <v>1021048</v>
      </c>
      <c r="K65" s="432">
        <f>IF(ISERR(1+(C65-J65)/ABS(J65)),"N/A",1+(C65-J65)/ABS(J65))*100</f>
        <v>258.92524151655942</v>
      </c>
      <c r="L65" s="367"/>
      <c r="M65" s="332">
        <f>+M64/M$10</f>
        <v>-0.76031452139740652</v>
      </c>
      <c r="N65" s="332">
        <f>+N64/N$10</f>
        <v>3.2983908262352611E-2</v>
      </c>
      <c r="P65" s="332">
        <f>+P64/P$10</f>
        <v>-0.62601484189291479</v>
      </c>
      <c r="Q65" s="332">
        <f>+Q64/Q$10</f>
        <v>9.3760625546413165E-3</v>
      </c>
      <c r="R65" s="50"/>
      <c r="S65" s="333"/>
      <c r="T65" s="333"/>
      <c r="U65" s="334"/>
      <c r="V65" s="334"/>
      <c r="W65" s="449"/>
      <c r="X65" s="334"/>
      <c r="Y65" s="334"/>
      <c r="Z65" s="334"/>
      <c r="AA65" s="332"/>
      <c r="AB65" s="110">
        <f t="shared" si="16"/>
        <v>0</v>
      </c>
    </row>
    <row r="66" spans="2:28" ht="16.5" customHeight="1">
      <c r="B66" s="329" t="s">
        <v>156</v>
      </c>
      <c r="C66" s="880">
        <f>+C65/C$10</f>
        <v>0.29589700829350735</v>
      </c>
      <c r="D66" s="948"/>
      <c r="E66" s="880">
        <f>+E65/E$10</f>
        <v>0.4737275323347912</v>
      </c>
      <c r="F66" s="954"/>
      <c r="G66" s="880">
        <f t="shared" si="4"/>
        <v>-0.17783052404128386</v>
      </c>
      <c r="H66" s="960"/>
      <c r="I66" s="257"/>
      <c r="J66" s="880">
        <f>+J65/J$10</f>
        <v>0.11866338546645244</v>
      </c>
      <c r="K66" s="956"/>
      <c r="L66" s="327"/>
      <c r="M66" s="327"/>
      <c r="N66" s="327"/>
      <c r="P66" s="327"/>
      <c r="Q66" s="71"/>
      <c r="R66" s="50"/>
      <c r="S66" s="71"/>
      <c r="T66" s="71"/>
      <c r="U66" s="71"/>
      <c r="V66" s="71"/>
      <c r="W66" s="98"/>
      <c r="X66" s="71"/>
      <c r="Y66" s="71"/>
      <c r="Z66" s="71"/>
      <c r="AA66" s="71"/>
      <c r="AB66" s="110"/>
    </row>
    <row r="67" spans="2:28" ht="16.5" hidden="1" customHeight="1">
      <c r="B67" s="56"/>
      <c r="C67" s="865"/>
      <c r="D67" s="71"/>
      <c r="E67" s="865"/>
      <c r="F67" s="903"/>
      <c r="G67" s="903"/>
      <c r="H67" s="961"/>
      <c r="I67" s="257"/>
      <c r="J67" s="71"/>
      <c r="K67" s="903"/>
      <c r="Q67" s="450"/>
      <c r="R67" s="50"/>
      <c r="S67" s="110"/>
      <c r="T67" s="110"/>
      <c r="U67" s="110"/>
      <c r="V67" s="110"/>
      <c r="W67" s="451"/>
      <c r="X67" s="110"/>
      <c r="Y67" s="110"/>
      <c r="Z67" s="110"/>
      <c r="AA67" s="110"/>
      <c r="AB67" s="110">
        <f t="shared" ref="AB67:AB91" si="23">+S67-AA67</f>
        <v>0</v>
      </c>
    </row>
    <row r="68" spans="2:28" ht="16.5" hidden="1" customHeight="1">
      <c r="D68" s="450"/>
      <c r="E68" s="51"/>
      <c r="H68" s="95"/>
      <c r="I68" s="257"/>
      <c r="J68" s="450"/>
      <c r="Q68" s="110"/>
      <c r="R68" s="50"/>
      <c r="S68" s="110"/>
      <c r="T68" s="110"/>
      <c r="U68" s="110"/>
      <c r="V68" s="110"/>
      <c r="W68" s="451"/>
      <c r="X68" s="110"/>
      <c r="Y68" s="110"/>
      <c r="Z68" s="110"/>
      <c r="AA68" s="110"/>
      <c r="AB68" s="110">
        <f t="shared" si="23"/>
        <v>0</v>
      </c>
    </row>
    <row r="69" spans="2:28" ht="16.5" hidden="1" customHeight="1">
      <c r="B69" s="51" t="s">
        <v>157</v>
      </c>
      <c r="D69" s="110"/>
      <c r="E69" s="51"/>
      <c r="H69" s="95"/>
      <c r="I69" s="257"/>
      <c r="J69" s="110"/>
      <c r="Q69" s="452"/>
      <c r="R69" s="50"/>
      <c r="S69" s="452"/>
      <c r="T69" s="452"/>
      <c r="U69" s="452"/>
      <c r="V69" s="452"/>
      <c r="W69" s="451"/>
      <c r="X69" s="452"/>
      <c r="Y69" s="452"/>
      <c r="Z69" s="452"/>
      <c r="AA69" s="452"/>
      <c r="AB69" s="110">
        <f t="shared" si="23"/>
        <v>0</v>
      </c>
    </row>
    <row r="70" spans="2:28" ht="16.5" hidden="1" customHeight="1">
      <c r="D70" s="110"/>
      <c r="E70" s="51"/>
      <c r="H70" s="95"/>
      <c r="I70" s="257"/>
      <c r="J70" s="452"/>
      <c r="R70" s="50"/>
      <c r="W70" s="60"/>
      <c r="AB70" s="110">
        <f t="shared" si="23"/>
        <v>0</v>
      </c>
    </row>
    <row r="71" spans="2:28" ht="16.5" hidden="1" customHeight="1">
      <c r="E71" s="51"/>
      <c r="H71" s="95"/>
      <c r="I71" s="257"/>
      <c r="M71" s="119"/>
      <c r="N71" s="119"/>
      <c r="P71" s="119"/>
      <c r="R71" s="50"/>
      <c r="W71" s="60"/>
      <c r="AB71" s="110">
        <f t="shared" si="23"/>
        <v>0</v>
      </c>
    </row>
    <row r="72" spans="2:28" ht="16.5" hidden="1" customHeight="1">
      <c r="C72" s="119"/>
      <c r="E72" s="119"/>
      <c r="H72" s="95"/>
      <c r="I72" s="257"/>
      <c r="R72" s="50"/>
      <c r="W72" s="60"/>
      <c r="AB72" s="110">
        <f t="shared" si="23"/>
        <v>0</v>
      </c>
    </row>
    <row r="73" spans="2:28" ht="16.5" hidden="1" customHeight="1">
      <c r="B73" s="113" t="s">
        <v>158</v>
      </c>
      <c r="D73" s="453"/>
      <c r="E73" s="51"/>
      <c r="H73" s="95"/>
      <c r="I73" s="257"/>
      <c r="R73" s="50"/>
      <c r="W73" s="60"/>
      <c r="AB73" s="110">
        <f t="shared" si="23"/>
        <v>0</v>
      </c>
    </row>
    <row r="74" spans="2:28" ht="16.5" hidden="1" customHeight="1">
      <c r="B74" s="51" t="s">
        <v>159</v>
      </c>
      <c r="D74" s="165"/>
      <c r="E74" s="51"/>
      <c r="H74" s="95"/>
      <c r="I74" s="257"/>
      <c r="R74" s="50"/>
      <c r="W74" s="60"/>
      <c r="AB74" s="110">
        <f t="shared" si="23"/>
        <v>0</v>
      </c>
    </row>
    <row r="75" spans="2:28" ht="16.5" hidden="1" customHeight="1">
      <c r="B75" s="51" t="s">
        <v>161</v>
      </c>
      <c r="D75" s="165"/>
      <c r="E75" s="51"/>
      <c r="H75" s="95"/>
      <c r="I75" s="257"/>
      <c r="R75" s="50"/>
      <c r="W75" s="60"/>
      <c r="AB75" s="110">
        <f t="shared" si="23"/>
        <v>0</v>
      </c>
    </row>
    <row r="76" spans="2:28" ht="16.5" hidden="1" customHeight="1">
      <c r="B76" s="51" t="s">
        <v>162</v>
      </c>
      <c r="D76" s="165"/>
      <c r="E76" s="51"/>
      <c r="H76" s="95"/>
      <c r="I76" s="257"/>
      <c r="R76" s="50"/>
      <c r="W76" s="60"/>
      <c r="AB76" s="110">
        <f t="shared" si="23"/>
        <v>0</v>
      </c>
    </row>
    <row r="77" spans="2:28" ht="16.5" hidden="1" customHeight="1">
      <c r="B77" s="51" t="s">
        <v>163</v>
      </c>
      <c r="D77" s="98"/>
      <c r="E77" s="51"/>
      <c r="H77" s="95"/>
      <c r="I77" s="257"/>
      <c r="R77" s="50"/>
      <c r="W77" s="60"/>
      <c r="AB77" s="110">
        <f t="shared" si="23"/>
        <v>0</v>
      </c>
    </row>
    <row r="78" spans="2:28" ht="16.5" hidden="1" customHeight="1">
      <c r="E78" s="51"/>
      <c r="H78" s="95"/>
      <c r="I78" s="257"/>
      <c r="R78" s="50"/>
      <c r="W78" s="60"/>
      <c r="AB78" s="110">
        <f t="shared" si="23"/>
        <v>0</v>
      </c>
    </row>
    <row r="79" spans="2:28" ht="16.5" hidden="1" customHeight="1">
      <c r="B79" s="51" t="s">
        <v>164</v>
      </c>
      <c r="D79" s="165"/>
      <c r="E79" s="51"/>
      <c r="H79" s="95"/>
      <c r="I79" s="257"/>
      <c r="R79" s="50"/>
      <c r="W79" s="60"/>
      <c r="AB79" s="110">
        <f t="shared" si="23"/>
        <v>0</v>
      </c>
    </row>
    <row r="80" spans="2:28" ht="16.5" hidden="1" customHeight="1">
      <c r="B80" s="51" t="s">
        <v>159</v>
      </c>
      <c r="D80" s="165"/>
      <c r="E80" s="51"/>
      <c r="H80" s="95"/>
      <c r="I80" s="257"/>
      <c r="R80" s="50"/>
      <c r="W80" s="60"/>
      <c r="AB80" s="110">
        <f t="shared" si="23"/>
        <v>0</v>
      </c>
    </row>
    <row r="81" spans="2:28" ht="16.5" hidden="1" customHeight="1">
      <c r="B81" s="51" t="s">
        <v>166</v>
      </c>
      <c r="D81" s="269"/>
      <c r="E81" s="51"/>
      <c r="H81" s="95"/>
      <c r="I81" s="257"/>
      <c r="R81" s="50"/>
      <c r="W81" s="60"/>
      <c r="AB81" s="110">
        <f t="shared" si="23"/>
        <v>0</v>
      </c>
    </row>
    <row r="82" spans="2:28" ht="16.5" hidden="1" customHeight="1">
      <c r="E82" s="51"/>
      <c r="H82" s="95"/>
      <c r="I82" s="257"/>
      <c r="R82" s="50"/>
      <c r="W82" s="60"/>
      <c r="AB82" s="110">
        <f t="shared" si="23"/>
        <v>0</v>
      </c>
    </row>
    <row r="83" spans="2:28" ht="16.5" hidden="1" customHeight="1">
      <c r="E83" s="51"/>
      <c r="H83" s="95"/>
      <c r="I83" s="257"/>
      <c r="R83" s="50"/>
      <c r="W83" s="60"/>
      <c r="AB83" s="110">
        <f t="shared" si="23"/>
        <v>0</v>
      </c>
    </row>
    <row r="84" spans="2:28" ht="16.5" hidden="1" customHeight="1">
      <c r="B84" s="56" t="s">
        <v>167</v>
      </c>
      <c r="D84" s="116"/>
      <c r="E84" s="51"/>
      <c r="H84" s="95"/>
      <c r="I84" s="257"/>
      <c r="R84" s="50"/>
      <c r="W84" s="60"/>
      <c r="AB84" s="110">
        <f t="shared" si="23"/>
        <v>0</v>
      </c>
    </row>
    <row r="85" spans="2:28" ht="16.5" hidden="1" customHeight="1">
      <c r="B85" s="51" t="s">
        <v>169</v>
      </c>
      <c r="D85" s="165"/>
      <c r="E85" s="51"/>
      <c r="H85" s="95"/>
      <c r="I85" s="257"/>
      <c r="R85" s="50"/>
      <c r="W85" s="60"/>
      <c r="AB85" s="110">
        <f t="shared" si="23"/>
        <v>0</v>
      </c>
    </row>
    <row r="86" spans="2:28" ht="16.5" hidden="1" customHeight="1">
      <c r="B86" s="51" t="s">
        <v>170</v>
      </c>
      <c r="D86" s="165"/>
      <c r="E86" s="51"/>
      <c r="H86" s="95"/>
      <c r="I86" s="257"/>
      <c r="R86" s="50"/>
      <c r="W86" s="60"/>
      <c r="AB86" s="110">
        <f t="shared" si="23"/>
        <v>0</v>
      </c>
    </row>
    <row r="87" spans="2:28" ht="16.5" hidden="1" customHeight="1">
      <c r="B87" s="51" t="s">
        <v>171</v>
      </c>
      <c r="D87" s="165"/>
      <c r="E87" s="51"/>
      <c r="H87" s="95"/>
      <c r="I87" s="257"/>
      <c r="R87" s="50"/>
      <c r="W87" s="60"/>
      <c r="AB87" s="110">
        <f t="shared" si="23"/>
        <v>0</v>
      </c>
    </row>
    <row r="88" spans="2:28" ht="16.5" hidden="1" customHeight="1">
      <c r="B88" s="51" t="s">
        <v>172</v>
      </c>
      <c r="D88" s="165"/>
      <c r="E88" s="51"/>
      <c r="H88" s="95"/>
      <c r="I88" s="257"/>
      <c r="R88" s="50"/>
      <c r="W88" s="60"/>
      <c r="AB88" s="110">
        <f t="shared" si="23"/>
        <v>0</v>
      </c>
    </row>
    <row r="89" spans="2:28" ht="16.5" hidden="1" customHeight="1">
      <c r="B89" s="51" t="s">
        <v>173</v>
      </c>
      <c r="D89" s="165"/>
      <c r="E89" s="51"/>
      <c r="H89" s="95"/>
      <c r="I89" s="257"/>
      <c r="R89" s="50"/>
      <c r="W89" s="60"/>
      <c r="AB89" s="110">
        <f t="shared" si="23"/>
        <v>0</v>
      </c>
    </row>
    <row r="90" spans="2:28" ht="16.5" hidden="1" customHeight="1">
      <c r="B90" s="56" t="s">
        <v>174</v>
      </c>
      <c r="D90" s="269"/>
      <c r="E90" s="51"/>
      <c r="H90" s="95"/>
      <c r="I90" s="257"/>
      <c r="R90" s="50"/>
      <c r="W90" s="60"/>
      <c r="AB90" s="110">
        <f t="shared" si="23"/>
        <v>0</v>
      </c>
    </row>
    <row r="91" spans="2:28" ht="16.5" hidden="1" customHeight="1">
      <c r="D91" s="119"/>
      <c r="E91" s="51"/>
      <c r="H91" s="95"/>
      <c r="I91" s="257"/>
      <c r="R91" s="50"/>
      <c r="W91" s="60"/>
      <c r="AB91" s="110">
        <f t="shared" si="23"/>
        <v>0</v>
      </c>
    </row>
    <row r="92" spans="2:28" ht="16.5" customHeight="1">
      <c r="E92" s="51"/>
      <c r="H92" s="95"/>
      <c r="I92" s="257"/>
      <c r="M92" s="456">
        <f>+C92-N92</f>
        <v>-343424</v>
      </c>
      <c r="N92" s="456">
        <v>343424</v>
      </c>
      <c r="O92" s="165"/>
      <c r="P92" s="456">
        <f>+J92-Q92</f>
        <v>-96210</v>
      </c>
      <c r="Q92" s="456">
        <v>96210</v>
      </c>
      <c r="R92" s="50"/>
      <c r="S92" s="457">
        <f>+C64-E64</f>
        <v>-1561784</v>
      </c>
      <c r="T92" s="457">
        <v>330458</v>
      </c>
      <c r="U92" s="458">
        <v>241636</v>
      </c>
      <c r="V92" s="457">
        <v>23480</v>
      </c>
      <c r="W92" s="457">
        <v>105055</v>
      </c>
      <c r="X92" s="458">
        <v>91477</v>
      </c>
      <c r="Y92" s="458">
        <f>+Y64</f>
        <v>-17299</v>
      </c>
      <c r="Z92" s="458">
        <f>+Z64</f>
        <v>-80880</v>
      </c>
      <c r="AA92" s="457" t="e">
        <f>+AA64</f>
        <v>#REF!</v>
      </c>
      <c r="AB92" s="110" t="e">
        <f>+S92-AA92</f>
        <v>#REF!</v>
      </c>
    </row>
    <row r="93" spans="2:28" ht="16.5" customHeight="1">
      <c r="B93" s="285"/>
      <c r="C93" s="866">
        <v>2643751</v>
      </c>
      <c r="D93" s="285"/>
      <c r="E93" s="866">
        <v>4311300</v>
      </c>
      <c r="H93" s="95"/>
      <c r="I93" s="455"/>
      <c r="J93" s="454">
        <v>1021048</v>
      </c>
      <c r="L93" s="165"/>
      <c r="M93" s="165">
        <f>+M64-M92</f>
        <v>1466534</v>
      </c>
      <c r="N93" s="14">
        <f>+N64-N92</f>
        <v>0</v>
      </c>
      <c r="O93" s="165"/>
      <c r="P93" s="165">
        <f>+P64-P92</f>
        <v>1133305</v>
      </c>
      <c r="Q93" s="165"/>
      <c r="R93" s="50"/>
      <c r="S93" s="165">
        <f t="shared" ref="S93:X93" si="24">+S64-S92</f>
        <v>-1609923</v>
      </c>
      <c r="T93" s="165">
        <f t="shared" si="24"/>
        <v>0</v>
      </c>
      <c r="U93" s="166">
        <f t="shared" si="24"/>
        <v>0</v>
      </c>
      <c r="V93" s="165">
        <f t="shared" si="24"/>
        <v>0</v>
      </c>
      <c r="W93" s="165" t="e">
        <f>+W64-W92</f>
        <v>#REF!</v>
      </c>
      <c r="X93" s="166" t="e">
        <f t="shared" si="24"/>
        <v>#REF!</v>
      </c>
      <c r="Y93" s="166"/>
      <c r="Z93" s="166"/>
      <c r="AA93" s="165"/>
    </row>
    <row r="94" spans="2:28">
      <c r="C94" s="14">
        <f>+C65-C93</f>
        <v>0</v>
      </c>
      <c r="D94" s="165">
        <f>+D65-D93</f>
        <v>0</v>
      </c>
      <c r="E94" s="14">
        <f>+E65-E93</f>
        <v>0</v>
      </c>
      <c r="F94" s="165"/>
      <c r="G94" s="60"/>
      <c r="H94" s="1129"/>
      <c r="I94" s="1130"/>
      <c r="J94" s="165">
        <f>+J65-J93</f>
        <v>0</v>
      </c>
      <c r="K94" s="165"/>
      <c r="M94" s="168"/>
    </row>
    <row r="95" spans="2:28">
      <c r="I95" s="257"/>
    </row>
    <row r="96" spans="2:28">
      <c r="I96" s="257"/>
    </row>
    <row r="97" spans="1:9">
      <c r="I97" s="257"/>
    </row>
    <row r="98" spans="1:9" ht="16.5" customHeight="1">
      <c r="A98" s="95"/>
      <c r="I98" s="257"/>
    </row>
    <row r="99" spans="1:9" ht="16.5" customHeight="1">
      <c r="I99" s="257"/>
    </row>
    <row r="100" spans="1:9" ht="16.5" customHeight="1">
      <c r="I100" s="257"/>
    </row>
    <row r="101" spans="1:9" ht="16.5" customHeight="1">
      <c r="I101" s="257"/>
    </row>
    <row r="102" spans="1:9" ht="16.5" customHeight="1">
      <c r="I102" s="257"/>
    </row>
    <row r="103" spans="1:9" ht="16.5" customHeight="1">
      <c r="I103" s="257"/>
    </row>
    <row r="104" spans="1:9" ht="16.5" customHeight="1">
      <c r="I104" s="257"/>
    </row>
    <row r="105" spans="1:9" ht="16.5" customHeight="1">
      <c r="I105" s="257"/>
    </row>
    <row r="106" spans="1:9" ht="16.5" customHeight="1">
      <c r="I106" s="257"/>
    </row>
    <row r="120" spans="3:3" ht="16.5" customHeight="1">
      <c r="C120" s="14"/>
    </row>
  </sheetData>
  <mergeCells count="1">
    <mergeCell ref="T7:AA7"/>
  </mergeCells>
  <pageMargins left="0.7" right="0.7" top="0.75" bottom="0.75" header="0.3" footer="0.3"/>
  <customProperties>
    <customPr name="EpmWorksheetKeyString_GUID" r:id="rId1"/>
    <customPr name="FPMExcelClientCellBasedFunctionStatus" r:id="rId2"/>
  </customProperties>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A4D3-C911-4B28-8359-2FFF33C932AC}">
  <sheetPr>
    <tabColor rgb="FF92D050"/>
  </sheetPr>
  <dimension ref="A1:G73"/>
  <sheetViews>
    <sheetView workbookViewId="0">
      <selection activeCell="E9" sqref="E9"/>
    </sheetView>
  </sheetViews>
  <sheetFormatPr baseColWidth="10" defaultRowHeight="14.5"/>
  <cols>
    <col min="2" max="2" width="44.1796875" bestFit="1" customWidth="1"/>
    <col min="3" max="3" width="12.08984375" bestFit="1" customWidth="1"/>
    <col min="4" max="4" width="10.6328125" bestFit="1" customWidth="1"/>
    <col min="5" max="5" width="7.1796875" bestFit="1" customWidth="1"/>
  </cols>
  <sheetData>
    <row r="1" spans="1:7" ht="19">
      <c r="A1" s="1047" t="s">
        <v>581</v>
      </c>
    </row>
    <row r="3" spans="1:7">
      <c r="A3" s="1093" t="s">
        <v>582</v>
      </c>
    </row>
    <row r="5" spans="1:7" ht="15" thickBot="1">
      <c r="A5" s="1061"/>
      <c r="B5" s="1104" t="s">
        <v>574</v>
      </c>
      <c r="C5" s="1039">
        <f>+'Resultados separados'!E5</f>
        <v>45901</v>
      </c>
      <c r="D5" s="1039">
        <f>+'Resultados separados'!F5</f>
        <v>45536</v>
      </c>
      <c r="E5" s="1038" t="s">
        <v>540</v>
      </c>
    </row>
    <row r="6" spans="1:7">
      <c r="A6" s="1061"/>
      <c r="B6" s="1103" t="str">
        <f>+'ESF GA separado'!B8</f>
        <v>Efectivo y equivalentes de efectivo</v>
      </c>
      <c r="C6" s="1044">
        <f>+'ESF GA separado'!C8</f>
        <v>18654</v>
      </c>
      <c r="D6" s="1044">
        <f>+'ESF GA separado'!D8</f>
        <v>17735</v>
      </c>
      <c r="E6" s="1051">
        <f>+(C6-D6)/D6</f>
        <v>5.1818438116718352E-2</v>
      </c>
      <c r="G6" s="1109"/>
    </row>
    <row r="7" spans="1:7" hidden="1">
      <c r="A7" s="1061"/>
      <c r="B7" s="1059" t="str">
        <f>+'ESF GA separado'!B9</f>
        <v xml:space="preserve">Instrumentos financieros derivados </v>
      </c>
      <c r="C7" s="1044">
        <f>+'ESF GA separado'!C9</f>
        <v>0</v>
      </c>
      <c r="D7" s="1044">
        <f>+'ESF GA separado'!D9</f>
        <v>0</v>
      </c>
      <c r="E7" s="1051" t="e">
        <f>+(C7-D7)/D7</f>
        <v>#DIV/0!</v>
      </c>
    </row>
    <row r="8" spans="1:7" hidden="1">
      <c r="A8" s="1061"/>
      <c r="B8" s="1059" t="str">
        <f>+'ESF GA separado'!B10</f>
        <v>Otros activos financieros</v>
      </c>
      <c r="C8" s="1044">
        <f>+'ESF GA separado'!C10</f>
        <v>0</v>
      </c>
      <c r="D8" s="1044">
        <f>+'ESF GA separado'!D10</f>
        <v>0</v>
      </c>
      <c r="E8" s="1051" t="e">
        <f>+(C8-D8)/D8</f>
        <v>#DIV/0!</v>
      </c>
    </row>
    <row r="9" spans="1:7">
      <c r="A9" s="1061"/>
      <c r="B9" s="1059" t="str">
        <f>+'ESF GA separado'!B11</f>
        <v>Cuentas comerciales clientes y otras cuentas por cobrar, neto</v>
      </c>
      <c r="C9" s="1044">
        <f>+'ESF GA separado'!C11</f>
        <v>663552</v>
      </c>
      <c r="D9" s="1044">
        <f>+'ESF GA separado'!D11</f>
        <v>342536</v>
      </c>
      <c r="E9" s="1051">
        <f>+(C9-D9)/D9</f>
        <v>0.93717448676927384</v>
      </c>
    </row>
    <row r="10" spans="1:7">
      <c r="A10" s="1061"/>
      <c r="B10" s="1059" t="str">
        <f>+'ESF GA separado'!B12</f>
        <v>Inventarios, neto</v>
      </c>
      <c r="C10" s="1044">
        <f>+'ESF GA separado'!C12</f>
        <v>949814</v>
      </c>
      <c r="D10" s="1044">
        <f>+'ESF GA separado'!D12</f>
        <v>338725</v>
      </c>
      <c r="E10" s="1051">
        <f>+(C10-D10)/D10</f>
        <v>1.8040859103992914</v>
      </c>
    </row>
    <row r="11" spans="1:7" hidden="1">
      <c r="A11" s="1061"/>
      <c r="B11" s="1059" t="str">
        <f>+'ESF GA separado'!B13</f>
        <v>Activos biológicos</v>
      </c>
      <c r="C11" s="1044">
        <f>+'ESF GA separado'!C13</f>
        <v>0</v>
      </c>
      <c r="D11" s="1044">
        <f>+'ESF GA separado'!D13</f>
        <v>0</v>
      </c>
      <c r="E11" s="1051"/>
    </row>
    <row r="12" spans="1:7">
      <c r="A12" s="1061"/>
      <c r="B12" s="1059" t="str">
        <f>+'ESF GA separado'!B14</f>
        <v>Gastos pagados por anticipado y otros activos no financieros</v>
      </c>
      <c r="C12" s="1044">
        <f>+'ESF GA separado'!C14</f>
        <v>12744</v>
      </c>
      <c r="D12" s="1044">
        <f>+'ESF GA separado'!D14</f>
        <v>15695</v>
      </c>
      <c r="E12" s="1051">
        <f>+(C12-D12)/D12</f>
        <v>-0.18802166294998407</v>
      </c>
    </row>
    <row r="13" spans="1:7" ht="15" thickBot="1">
      <c r="A13" s="1061"/>
      <c r="B13" s="1059" t="str">
        <f>+'ESF GA separado'!B15</f>
        <v xml:space="preserve">Activos no corrientes mantenidos para la venta. </v>
      </c>
      <c r="C13" s="1044">
        <f>+'ESF GA separado'!C15</f>
        <v>905</v>
      </c>
      <c r="D13" s="1044">
        <f>+'ESF GA separado'!D15</f>
        <v>0</v>
      </c>
      <c r="E13" s="1051"/>
    </row>
    <row r="14" spans="1:7" ht="15" thickBot="1">
      <c r="A14" s="1061"/>
      <c r="B14" s="1052" t="s">
        <v>23</v>
      </c>
      <c r="C14" s="1053">
        <f>+SUM(C6:C13)</f>
        <v>1645669</v>
      </c>
      <c r="D14" s="1053">
        <f>+SUM(D6:D13)</f>
        <v>714691</v>
      </c>
      <c r="E14" s="1094">
        <f>+(C14-D14)/D14</f>
        <v>1.3026300876882457</v>
      </c>
    </row>
    <row r="15" spans="1:7">
      <c r="A15" s="1061"/>
      <c r="B15" s="1095"/>
      <c r="C15" s="1105"/>
      <c r="D15" s="1105"/>
      <c r="E15" s="1096"/>
    </row>
    <row r="16" spans="1:7">
      <c r="A16" s="1061"/>
      <c r="B16" s="1059" t="str">
        <f>+'ESF GA separado'!B19</f>
        <v>Inversiones permanentes</v>
      </c>
      <c r="C16" s="1044">
        <f>+'ESF GA separado'!C19</f>
        <v>11734836</v>
      </c>
      <c r="D16" s="1044">
        <f>+'ESF GA separado'!D19</f>
        <v>19434328</v>
      </c>
      <c r="E16" s="1051">
        <f>+(C16-D16)/D16</f>
        <v>-0.39617999655043384</v>
      </c>
    </row>
    <row r="17" spans="1:5">
      <c r="A17" s="1061"/>
      <c r="B17" s="1059" t="str">
        <f>+'ESF GA separado'!B20</f>
        <v>Cuentas comerciales clientes y otras cuentas por cobrar, neto</v>
      </c>
      <c r="C17" s="1044">
        <f>+'ESF GA separado'!C20</f>
        <v>86375</v>
      </c>
      <c r="D17" s="1044">
        <f>+'ESF GA separado'!D20</f>
        <v>115260</v>
      </c>
      <c r="E17" s="1051">
        <f>+(C17-D17)/D17</f>
        <v>-0.2506073225750477</v>
      </c>
    </row>
    <row r="18" spans="1:5" hidden="1">
      <c r="A18" s="1061"/>
      <c r="B18" s="1059" t="str">
        <f>+'ESF GA separado'!B21</f>
        <v>Inventarios, neto</v>
      </c>
      <c r="C18" s="1044">
        <f>+'ESF GA separado'!C21</f>
        <v>0</v>
      </c>
      <c r="D18" s="1044">
        <f>+'ESF GA separado'!D21</f>
        <v>0</v>
      </c>
      <c r="E18" s="1051"/>
    </row>
    <row r="19" spans="1:5">
      <c r="A19" s="1061"/>
      <c r="B19" s="1059" t="str">
        <f>+'ESF GA separado'!B22</f>
        <v>Activos por derecho de uso propiedades, plantas y equipo</v>
      </c>
      <c r="C19" s="1044">
        <f>+'ESF GA separado'!C22</f>
        <v>2953</v>
      </c>
      <c r="D19" s="1044">
        <f>+'ESF GA separado'!D22</f>
        <v>4158</v>
      </c>
      <c r="E19" s="1051">
        <f>+(C19-D19)/D19</f>
        <v>-0.28980278980278978</v>
      </c>
    </row>
    <row r="20" spans="1:5" hidden="1">
      <c r="A20" s="1061"/>
      <c r="B20" s="1059" t="str">
        <f>+'ESF GA separado'!B23</f>
        <v>Intangibles, neto</v>
      </c>
      <c r="C20" s="1044">
        <f>+'ESF GA separado'!C23</f>
        <v>0</v>
      </c>
      <c r="D20" s="1044">
        <f>+'ESF GA separado'!D23</f>
        <v>0</v>
      </c>
      <c r="E20" s="1051"/>
    </row>
    <row r="21" spans="1:5">
      <c r="A21" s="1061"/>
      <c r="B21" s="1059" t="str">
        <f>+'ESF GA separado'!B24</f>
        <v>PP&amp;E, neto</v>
      </c>
      <c r="C21" s="1044">
        <f>+'ESF GA separado'!C24</f>
        <v>1709</v>
      </c>
      <c r="D21" s="1044">
        <f>+'ESF GA separado'!D24</f>
        <v>2245</v>
      </c>
      <c r="E21" s="1051">
        <f>+(C21-D21)/D21</f>
        <v>-0.23875278396436525</v>
      </c>
    </row>
    <row r="22" spans="1:5">
      <c r="A22" s="1061"/>
      <c r="B22" s="1059" t="str">
        <f>+'ESF GA separado'!B25</f>
        <v>Propiedades de inversión</v>
      </c>
      <c r="C22" s="1044">
        <f>+'ESF GA separado'!C25</f>
        <v>1156960</v>
      </c>
      <c r="D22" s="1044">
        <f>+'ESF GA separado'!D25</f>
        <v>1742975</v>
      </c>
      <c r="E22" s="1051">
        <f>+(C22-D22)/D22</f>
        <v>-0.33621537887806768</v>
      </c>
    </row>
    <row r="23" spans="1:5" hidden="1">
      <c r="A23" s="1061"/>
      <c r="B23" s="1059" t="str">
        <f>+'ESF GA separado'!B26</f>
        <v>Otros activos</v>
      </c>
      <c r="C23" s="1044">
        <f>+'ESF GA separado'!C26</f>
        <v>0</v>
      </c>
      <c r="D23" s="1044">
        <f>+'ESF GA separado'!D26</f>
        <v>0</v>
      </c>
      <c r="E23" s="1051"/>
    </row>
    <row r="24" spans="1:5" hidden="1">
      <c r="A24" s="1061"/>
      <c r="B24" s="1059" t="str">
        <f>+'ESF GA separado'!B27</f>
        <v>Impuesto diferido</v>
      </c>
      <c r="C24" s="1044">
        <f>+'ESF GA separado'!C27</f>
        <v>0</v>
      </c>
      <c r="D24" s="1044">
        <f>+'ESF GA separado'!D27</f>
        <v>0</v>
      </c>
      <c r="E24" s="1051"/>
    </row>
    <row r="25" spans="1:5" hidden="1">
      <c r="A25" s="1061"/>
      <c r="B25" s="1059" t="str">
        <f>+'ESF GA separado'!B28</f>
        <v>Activos biológicos</v>
      </c>
      <c r="C25" s="1044">
        <f>+'ESF GA separado'!C28</f>
        <v>0</v>
      </c>
      <c r="D25" s="1044">
        <f>+'ESF GA separado'!D28</f>
        <v>0</v>
      </c>
      <c r="E25" s="1051"/>
    </row>
    <row r="26" spans="1:5">
      <c r="A26" s="1061"/>
      <c r="B26" s="1059" t="str">
        <f>+'ESF GA separado'!B29</f>
        <v>Instrumentos financieros derivados</v>
      </c>
      <c r="C26" s="1044">
        <f>+'ESF GA separado'!C29</f>
        <v>2041</v>
      </c>
      <c r="D26" s="1044">
        <f>+'ESF GA separado'!D29</f>
        <v>0</v>
      </c>
      <c r="E26" s="1051"/>
    </row>
    <row r="27" spans="1:5" ht="15" thickBot="1">
      <c r="A27" s="1061"/>
      <c r="B27" s="1059" t="str">
        <f>+'ESF GA separado'!B30</f>
        <v>Otros activos no financieros</v>
      </c>
      <c r="C27" s="1044">
        <f>+'ESF GA separado'!C30</f>
        <v>3815</v>
      </c>
      <c r="D27" s="1044">
        <f>+'ESF GA separado'!D30</f>
        <v>1015</v>
      </c>
      <c r="E27" s="1051">
        <f>+(C27-D27)/D27</f>
        <v>2.7586206896551726</v>
      </c>
    </row>
    <row r="28" spans="1:5" ht="15" thickBot="1">
      <c r="A28" s="1061"/>
      <c r="B28" s="1052" t="s">
        <v>33</v>
      </c>
      <c r="C28" s="1053">
        <f>+SUM(C16:C27)</f>
        <v>12988689</v>
      </c>
      <c r="D28" s="1053">
        <f>+SUM(D16:D27)</f>
        <v>21299981</v>
      </c>
      <c r="E28" s="1094">
        <f>+(C28-D28)/D28</f>
        <v>-0.39020185041479616</v>
      </c>
    </row>
    <row r="29" spans="1:5" ht="15" thickBot="1">
      <c r="A29" s="1061"/>
      <c r="B29" s="1097"/>
      <c r="C29" s="1107"/>
      <c r="D29" s="1107"/>
      <c r="E29" s="1098"/>
    </row>
    <row r="30" spans="1:5">
      <c r="A30" s="1061"/>
      <c r="B30" s="1099" t="s">
        <v>34</v>
      </c>
      <c r="C30" s="1100">
        <f>+C14+C28</f>
        <v>14634358</v>
      </c>
      <c r="D30" s="1100">
        <f>+D14+D28</f>
        <v>22014672</v>
      </c>
      <c r="E30" s="1101">
        <f>+(C30-D30)/D30</f>
        <v>-0.33524524008352247</v>
      </c>
    </row>
    <row r="31" spans="1:5" ht="15" thickBot="1">
      <c r="A31" s="1061"/>
      <c r="B31" s="1106" t="s">
        <v>35</v>
      </c>
      <c r="C31" s="1041">
        <f>+'ESF GA separado'!C35</f>
        <v>3751.1587192954125</v>
      </c>
      <c r="D31" s="1041">
        <f>+'ESF GA separado'!D35</f>
        <v>4992.9514759080548</v>
      </c>
      <c r="E31" s="1102">
        <f>+(C31-D31)/D31</f>
        <v>-0.24870915782068576</v>
      </c>
    </row>
    <row r="32" spans="1:5">
      <c r="A32" s="1061"/>
      <c r="B32" s="1095"/>
      <c r="C32" s="1105"/>
      <c r="D32" s="1105"/>
      <c r="E32" s="1096"/>
    </row>
    <row r="33" spans="1:5">
      <c r="A33" s="1061"/>
      <c r="B33" s="1059" t="str">
        <f>+'ESF GA separado'!B37</f>
        <v>Obligaciones financieras</v>
      </c>
      <c r="C33" s="1044">
        <f>+'ESF GA separado'!C37</f>
        <v>609598</v>
      </c>
      <c r="D33" s="1044">
        <f>+'ESF GA separado'!D37</f>
        <v>27369</v>
      </c>
      <c r="E33" s="1051">
        <f t="shared" ref="E33:E39" si="0">+(C33-D33)/D33</f>
        <v>21.273301910921116</v>
      </c>
    </row>
    <row r="34" spans="1:5">
      <c r="A34" s="1061"/>
      <c r="B34" s="1059" t="str">
        <f>+'ESF GA separado'!B38</f>
        <v>Pasivos por arrendamientos</v>
      </c>
      <c r="C34" s="1044">
        <f>+'ESF GA separado'!C38</f>
        <v>1026</v>
      </c>
      <c r="D34" s="1044">
        <f>+'ESF GA separado'!D38</f>
        <v>2050</v>
      </c>
      <c r="E34" s="1051">
        <f t="shared" si="0"/>
        <v>-0.49951219512195122</v>
      </c>
    </row>
    <row r="35" spans="1:5">
      <c r="A35" s="1061"/>
      <c r="B35" s="1059" t="str">
        <f>+'ESF GA separado'!B39</f>
        <v>Bonos y otros instrumentos financieros</v>
      </c>
      <c r="C35" s="1044">
        <f>+'ESF GA separado'!C39</f>
        <v>7464</v>
      </c>
      <c r="D35" s="1044">
        <f>+'ESF GA separado'!D39</f>
        <v>164744</v>
      </c>
      <c r="E35" s="1051">
        <f t="shared" si="0"/>
        <v>-0.95469334239790216</v>
      </c>
    </row>
    <row r="36" spans="1:5">
      <c r="A36" s="1061"/>
      <c r="B36" s="1059" t="str">
        <f>+'ESF GA separado'!B40</f>
        <v>Pasivos comerciales y otras cuentas por pagar</v>
      </c>
      <c r="C36" s="1044">
        <f>+'ESF GA separado'!C40</f>
        <v>289315</v>
      </c>
      <c r="D36" s="1044">
        <f>+'ESF GA separado'!D40</f>
        <v>154061</v>
      </c>
      <c r="E36" s="1051">
        <f t="shared" si="0"/>
        <v>0.87792497776854628</v>
      </c>
    </row>
    <row r="37" spans="1:5">
      <c r="A37" s="1061"/>
      <c r="B37" s="1059" t="str">
        <f>+'ESF GA separado'!B41</f>
        <v>Provisiones</v>
      </c>
      <c r="C37" s="1044">
        <f>+'ESF GA separado'!C41</f>
        <v>0</v>
      </c>
      <c r="D37" s="1044">
        <f>+'ESF GA separado'!D41</f>
        <v>55</v>
      </c>
      <c r="E37" s="1051">
        <f t="shared" si="0"/>
        <v>-1</v>
      </c>
    </row>
    <row r="38" spans="1:5">
      <c r="A38" s="1061"/>
      <c r="B38" s="1059" t="str">
        <f>+'ESF GA separado'!B42</f>
        <v>Pasivos por impuestos</v>
      </c>
      <c r="C38" s="1044">
        <f>+'ESF GA separado'!C42</f>
        <v>58986</v>
      </c>
      <c r="D38" s="1044">
        <f>+'ESF GA separado'!D42</f>
        <v>218015</v>
      </c>
      <c r="E38" s="1051">
        <f t="shared" si="0"/>
        <v>-0.72944063481870514</v>
      </c>
    </row>
    <row r="39" spans="1:5">
      <c r="A39" s="1061"/>
      <c r="B39" s="1059" t="str">
        <f>+'ESF GA separado'!B43</f>
        <v>Pasivos por beneficios a empleados</v>
      </c>
      <c r="C39" s="1044">
        <f>+'ESF GA separado'!C43</f>
        <v>13699</v>
      </c>
      <c r="D39" s="1044">
        <f>+'ESF GA separado'!D43</f>
        <v>18737</v>
      </c>
      <c r="E39" s="1051">
        <f t="shared" si="0"/>
        <v>-0.26887975663126434</v>
      </c>
    </row>
    <row r="40" spans="1:5" hidden="1">
      <c r="A40" s="1061"/>
      <c r="B40" s="1059" t="str">
        <f>+'ESF GA separado'!B44</f>
        <v>Pasivos estimados por beneficios a empleados</v>
      </c>
      <c r="C40" s="1044">
        <f>+'ESF GA separado'!C44</f>
        <v>0</v>
      </c>
      <c r="D40" s="1044">
        <f>+'ESF GA separado'!D44</f>
        <v>0</v>
      </c>
      <c r="E40" s="1051"/>
    </row>
    <row r="41" spans="1:5" hidden="1">
      <c r="A41" s="1061"/>
      <c r="B41" s="1059" t="str">
        <f>+'ESF GA separado'!B45</f>
        <v>Ingresos recibidos por anticipado</v>
      </c>
      <c r="C41" s="1044">
        <f>+'ESF GA separado'!C45</f>
        <v>0</v>
      </c>
      <c r="D41" s="1044">
        <f>+'ESF GA separado'!D45</f>
        <v>0</v>
      </c>
      <c r="E41" s="1051"/>
    </row>
    <row r="42" spans="1:5" hidden="1">
      <c r="A42" s="1059"/>
      <c r="B42" s="1059" t="str">
        <f>+'ESF GA separado'!B46</f>
        <v>Otros pasivos financieros</v>
      </c>
      <c r="C42" s="1044">
        <f>+'ESF GA separado'!C46</f>
        <v>0</v>
      </c>
      <c r="D42" s="1044">
        <f>+'ESF GA separado'!D46</f>
        <v>0</v>
      </c>
      <c r="E42" s="1051" t="e">
        <f>+(C42-D42)/D42</f>
        <v>#DIV/0!</v>
      </c>
    </row>
    <row r="43" spans="1:5">
      <c r="A43" s="1059"/>
      <c r="B43" s="1059" t="str">
        <f>+'ESF GA separado'!B47</f>
        <v>Otros pasivos</v>
      </c>
      <c r="C43" s="1044">
        <f>+'ESF GA separado'!C47</f>
        <v>118843</v>
      </c>
      <c r="D43" s="1044">
        <f>+'ESF GA separado'!D47</f>
        <v>153880</v>
      </c>
      <c r="E43" s="1051">
        <f t="shared" ref="E43:E44" si="1">+(C43-D43)/D43</f>
        <v>-0.22769040811021576</v>
      </c>
    </row>
    <row r="44" spans="1:5" ht="15" thickBot="1">
      <c r="B44" s="1059" t="str">
        <f>+'ESF GA separado'!B48</f>
        <v>Instrumentos financieros derivados</v>
      </c>
      <c r="C44" s="1044">
        <f>+'ESF GA separado'!C48</f>
        <v>3357</v>
      </c>
      <c r="D44" s="1044">
        <f>+'ESF GA separado'!D48</f>
        <v>3730</v>
      </c>
      <c r="E44" s="1051">
        <f t="shared" si="1"/>
        <v>-0.1</v>
      </c>
    </row>
    <row r="45" spans="1:5" ht="15" thickBot="1">
      <c r="A45" s="1061"/>
      <c r="B45" s="1052" t="s">
        <v>48</v>
      </c>
      <c r="C45" s="1053">
        <f>+SUM(C33:C44)</f>
        <v>1102288</v>
      </c>
      <c r="D45" s="1053">
        <f>+SUM(D33:D44)</f>
        <v>742641</v>
      </c>
      <c r="E45" s="1094">
        <f>+(C45-D45)/D45</f>
        <v>0.48428109948144527</v>
      </c>
    </row>
    <row r="46" spans="1:5">
      <c r="A46" s="1061"/>
      <c r="B46" s="1095"/>
      <c r="C46" s="1105"/>
      <c r="D46" s="1105"/>
      <c r="E46" s="1096"/>
    </row>
    <row r="47" spans="1:5">
      <c r="A47" s="1061"/>
      <c r="B47" s="1059" t="str">
        <f>+'ESF GA separado'!B52</f>
        <v>Obligaciones financieras</v>
      </c>
      <c r="C47" s="1044">
        <f>+'ESF GA separado'!C52</f>
        <v>769721</v>
      </c>
      <c r="D47" s="1044">
        <f>+'ESF GA separado'!D52</f>
        <v>892491</v>
      </c>
      <c r="E47" s="1051">
        <f>+(C47-D47)/D47</f>
        <v>-0.13755881011685273</v>
      </c>
    </row>
    <row r="48" spans="1:5">
      <c r="A48" s="1061"/>
      <c r="B48" s="1059" t="str">
        <f>+'ESF GA separado'!B53</f>
        <v>Pasivos por arrendamiento</v>
      </c>
      <c r="C48" s="1044">
        <f>+'ESF GA separado'!C53</f>
        <v>2480</v>
      </c>
      <c r="D48" s="1044">
        <f>+'ESF GA separado'!D53</f>
        <v>2813</v>
      </c>
      <c r="E48" s="1051">
        <f>+(C48-D48)/D48</f>
        <v>-0.11837895485247067</v>
      </c>
    </row>
    <row r="49" spans="1:5">
      <c r="A49" s="1061"/>
      <c r="B49" s="1059" t="str">
        <f>+'ESF GA separado'!B54</f>
        <v>Bonos y otros instrumentos financieros</v>
      </c>
      <c r="C49" s="1044">
        <f>+'ESF GA separado'!C54</f>
        <v>654962</v>
      </c>
      <c r="D49" s="1044">
        <f>+'ESF GA separado'!D54</f>
        <v>671105</v>
      </c>
      <c r="E49" s="1051">
        <f>+(C49-D49)/D49</f>
        <v>-2.4054358110876837E-2</v>
      </c>
    </row>
    <row r="50" spans="1:5">
      <c r="A50" s="1061"/>
      <c r="B50" s="1059" t="str">
        <f>+'ESF GA separado'!B55</f>
        <v>Impuesto diferido</v>
      </c>
      <c r="C50" s="1044">
        <f>+'ESF GA separado'!C55</f>
        <v>719131</v>
      </c>
      <c r="D50" s="1044">
        <f>+'ESF GA separado'!D55</f>
        <v>934868</v>
      </c>
      <c r="E50" s="1051">
        <f>+(C50-D50)/D50</f>
        <v>-0.2307673382766337</v>
      </c>
    </row>
    <row r="51" spans="1:5" hidden="1">
      <c r="A51" s="1061"/>
      <c r="B51" s="1059" t="str">
        <f>+'ESF GA separado'!B56</f>
        <v>Provisiones</v>
      </c>
      <c r="C51" s="1044">
        <f>+'ESF GA separado'!C56</f>
        <v>102626</v>
      </c>
      <c r="D51" s="1044">
        <f>+'ESF GA separado'!D56</f>
        <v>0</v>
      </c>
      <c r="E51" s="1051" t="e">
        <f>+(C51-D51)/D51</f>
        <v>#DIV/0!</v>
      </c>
    </row>
    <row r="52" spans="1:5" hidden="1">
      <c r="A52" s="1061"/>
      <c r="B52" s="1059" t="str">
        <f>+'ESF GA separado'!B57</f>
        <v>Otras cuentas por pagar</v>
      </c>
      <c r="C52" s="1044">
        <f>+'ESF GA separado'!C57</f>
        <v>0</v>
      </c>
      <c r="D52" s="1044">
        <f>+'ESF GA separado'!D57</f>
        <v>0</v>
      </c>
      <c r="E52" s="1051"/>
    </row>
    <row r="53" spans="1:5">
      <c r="A53" s="1061"/>
      <c r="B53" s="1059" t="str">
        <f>+'ESF GA separado'!B58</f>
        <v>Pasivos por beneficios a empleados</v>
      </c>
      <c r="C53" s="1044">
        <f>+'ESF GA separado'!C58</f>
        <v>1897</v>
      </c>
      <c r="D53" s="1044">
        <f>+'ESF GA separado'!D58</f>
        <v>1897</v>
      </c>
      <c r="E53" s="1051">
        <f t="shared" ref="E53:E55" si="2">+(C53-D53)/D53</f>
        <v>0</v>
      </c>
    </row>
    <row r="54" spans="1:5" hidden="1">
      <c r="A54" s="1061"/>
      <c r="B54" s="1059" t="str">
        <f>+'ESF GA separado'!B59</f>
        <v>Pasivos estimados por beneficios a empleados</v>
      </c>
      <c r="C54" s="1044">
        <f>+'ESF GA separado'!C59</f>
        <v>0</v>
      </c>
      <c r="D54" s="1044">
        <f>+'ESF GA separado'!D59</f>
        <v>0</v>
      </c>
      <c r="E54" s="1051" t="e">
        <f t="shared" si="2"/>
        <v>#DIV/0!</v>
      </c>
    </row>
    <row r="55" spans="1:5" ht="15" thickBot="1">
      <c r="A55" s="1061"/>
      <c r="B55" s="1059" t="str">
        <f>+'ESF GA separado'!B60</f>
        <v>Instrumentos financieros derivados</v>
      </c>
      <c r="C55" s="1044">
        <f>+'ESF GA separado'!C60</f>
        <v>0</v>
      </c>
      <c r="D55" s="1044">
        <f>+'ESF GA separado'!D60</f>
        <v>1167</v>
      </c>
      <c r="E55" s="1051">
        <f t="shared" si="2"/>
        <v>-1</v>
      </c>
    </row>
    <row r="56" spans="1:5" ht="15" thickBot="1">
      <c r="A56" s="1061"/>
      <c r="B56" s="1052" t="s">
        <v>52</v>
      </c>
      <c r="C56" s="1053">
        <f>+SUM(C47:C55)</f>
        <v>2250817</v>
      </c>
      <c r="D56" s="1053">
        <f>+SUM(D47:D55)</f>
        <v>2504341</v>
      </c>
      <c r="E56" s="1094">
        <f>+(C56-D56)/D56</f>
        <v>-0.10123381759912088</v>
      </c>
    </row>
    <row r="57" spans="1:5" ht="15" thickBot="1">
      <c r="A57" s="1061"/>
      <c r="B57" s="1097"/>
      <c r="C57" s="1107"/>
      <c r="D57" s="1107"/>
      <c r="E57" s="1098"/>
    </row>
    <row r="58" spans="1:5">
      <c r="A58" s="1061"/>
      <c r="B58" s="1099" t="s">
        <v>53</v>
      </c>
      <c r="C58" s="1100">
        <f>+C45+C56</f>
        <v>3353105</v>
      </c>
      <c r="D58" s="1100">
        <f>+D45+D56</f>
        <v>3246982</v>
      </c>
      <c r="E58" s="1101">
        <f>+(C58-D58)/D58</f>
        <v>3.2683581245599759E-2</v>
      </c>
    </row>
    <row r="59" spans="1:5" ht="15" thickBot="1">
      <c r="A59" s="1061"/>
      <c r="B59" s="1106" t="s">
        <v>35</v>
      </c>
      <c r="C59" s="1041">
        <f>+'ESF GA separado'!C67</f>
        <v>859.48622122426173</v>
      </c>
      <c r="D59" s="1041">
        <f>+'ESF GA separado'!D67</f>
        <v>736.41903768300017</v>
      </c>
      <c r="E59" s="1102">
        <f>+(C59-D59)/D59</f>
        <v>0.16711570076796034</v>
      </c>
    </row>
    <row r="60" spans="1:5">
      <c r="A60" s="1061"/>
      <c r="B60" s="1095"/>
      <c r="C60" s="1105"/>
      <c r="D60" s="1105"/>
      <c r="E60" s="1096"/>
    </row>
    <row r="61" spans="1:5">
      <c r="A61" s="1061"/>
      <c r="B61" s="1059" t="str">
        <f>+'ESF GA separado'!B78</f>
        <v>Capital social</v>
      </c>
      <c r="C61" s="1044">
        <f>+'ESF GA separado'!C78</f>
        <v>54934</v>
      </c>
      <c r="D61" s="1044">
        <f>+'ESF GA separado'!D78</f>
        <v>54697</v>
      </c>
      <c r="E61" s="1051">
        <f t="shared" ref="E61:E70" si="3">+(C61-D61)/D61</f>
        <v>4.3329615883869318E-3</v>
      </c>
    </row>
    <row r="62" spans="1:5">
      <c r="A62" s="1061"/>
      <c r="B62" s="1059" t="str">
        <f>+'ESF GA separado'!B79</f>
        <v>Prima en colocación de acciones</v>
      </c>
      <c r="C62" s="1044">
        <f>+'ESF GA separado'!C79</f>
        <v>0</v>
      </c>
      <c r="D62" s="1044">
        <f>+'ESF GA separado'!D79</f>
        <v>1503373</v>
      </c>
      <c r="E62" s="1051">
        <f t="shared" si="3"/>
        <v>-1</v>
      </c>
    </row>
    <row r="63" spans="1:5">
      <c r="A63" s="1061"/>
      <c r="B63" s="1059" t="str">
        <f>+'ESF GA separado'!B80</f>
        <v>Acciones propias readquiridas</v>
      </c>
      <c r="C63" s="1044">
        <f>+'ESF GA separado'!C80</f>
        <v>-525164</v>
      </c>
      <c r="D63" s="1044">
        <f>+'ESF GA separado'!D80</f>
        <v>-428360</v>
      </c>
      <c r="E63" s="1051">
        <f t="shared" si="3"/>
        <v>0.22598748716033243</v>
      </c>
    </row>
    <row r="64" spans="1:5">
      <c r="A64" s="1061"/>
      <c r="B64" s="1059" t="str">
        <f>+'ESF GA separado'!B81</f>
        <v>Componentes de otros resultado integral</v>
      </c>
      <c r="C64" s="1044">
        <f>+'ESF GA separado'!C81</f>
        <v>164609</v>
      </c>
      <c r="D64" s="1044">
        <f>+'ESF GA separado'!D81</f>
        <v>1110895</v>
      </c>
      <c r="E64" s="1051">
        <f t="shared" si="3"/>
        <v>-0.85182307958898007</v>
      </c>
    </row>
    <row r="65" spans="1:5">
      <c r="A65" s="1061"/>
      <c r="B65" s="1059" t="str">
        <f>+'ESF GA separado'!B82</f>
        <v>Reservas</v>
      </c>
      <c r="C65" s="1044">
        <f>+'ESF GA separado'!C82</f>
        <v>2739886</v>
      </c>
      <c r="D65" s="1044">
        <f>+'ESF GA separado'!D82</f>
        <v>3344004</v>
      </c>
      <c r="E65" s="1051">
        <f t="shared" si="3"/>
        <v>-0.18065708055373139</v>
      </c>
    </row>
    <row r="66" spans="1:5">
      <c r="A66" s="1061"/>
      <c r="B66" s="1059" t="str">
        <f>+'ESF GA separado'!B83</f>
        <v>Otros componentes del patrimono</v>
      </c>
      <c r="C66" s="1044">
        <f>+'ESF GA separado'!C83</f>
        <v>300372</v>
      </c>
      <c r="D66" s="1044">
        <f>+'ESF GA separado'!D83</f>
        <v>396439</v>
      </c>
      <c r="E66" s="1051">
        <f t="shared" si="3"/>
        <v>-0.24232479650084882</v>
      </c>
    </row>
    <row r="67" spans="1:5">
      <c r="A67" s="1061"/>
      <c r="B67" s="1059" t="str">
        <f>+'ESF GA separado'!B84</f>
        <v>Utilidad (pérdida) retenidas</v>
      </c>
      <c r="C67" s="1044">
        <f>+'ESF GA separado'!C84</f>
        <v>4243170</v>
      </c>
      <c r="D67" s="1044">
        <f>+'ESF GA separado'!D84</f>
        <v>10254655</v>
      </c>
      <c r="E67" s="1051">
        <f t="shared" si="3"/>
        <v>-0.58622011174437361</v>
      </c>
    </row>
    <row r="68" spans="1:5" ht="15" thickBot="1">
      <c r="A68" s="1061"/>
      <c r="B68" s="1059" t="str">
        <f>+'ESF GA separado'!B85</f>
        <v>Utilidad (pérdida) del ejercicio</v>
      </c>
      <c r="C68" s="1044">
        <f>+'ESF GA separado'!C85</f>
        <v>4303446</v>
      </c>
      <c r="D68" s="1044">
        <f>+'ESF GA separado'!D85</f>
        <v>2531987</v>
      </c>
      <c r="E68" s="1051">
        <f t="shared" si="3"/>
        <v>0.69963194913717963</v>
      </c>
    </row>
    <row r="69" spans="1:5">
      <c r="A69" s="1061"/>
      <c r="B69" s="1099" t="s">
        <v>54</v>
      </c>
      <c r="C69" s="1100">
        <f>+SUM(C60:C68)</f>
        <v>11281253</v>
      </c>
      <c r="D69" s="1100">
        <f>+SUM(D60:D68)</f>
        <v>18767690</v>
      </c>
      <c r="E69" s="1101">
        <f t="shared" si="3"/>
        <v>-0.39890029087223838</v>
      </c>
    </row>
    <row r="70" spans="1:5" ht="15" thickBot="1">
      <c r="A70" s="1061"/>
      <c r="B70" s="1106" t="s">
        <v>35</v>
      </c>
      <c r="C70" s="1041">
        <f>+'ESF GA separado'!C70</f>
        <v>2891.672498071151</v>
      </c>
      <c r="D70" s="1041">
        <f>+'ESF GA separado'!D70</f>
        <v>4256.5324382250546</v>
      </c>
      <c r="E70" s="1102">
        <f t="shared" si="3"/>
        <v>-0.32065066106322004</v>
      </c>
    </row>
    <row r="72" spans="1:5">
      <c r="B72" s="1108" t="s">
        <v>62</v>
      </c>
      <c r="C72" s="1067">
        <f>+C30-C58-C69</f>
        <v>0</v>
      </c>
      <c r="D72" s="1067">
        <f>+D30-D58-D69</f>
        <v>0</v>
      </c>
    </row>
    <row r="73" spans="1:5">
      <c r="B73" s="1108" t="s">
        <v>62</v>
      </c>
      <c r="C73" s="1067">
        <f>+C31-C59-C70</f>
        <v>0</v>
      </c>
      <c r="D73" s="1067">
        <f>+D31-D59-D70</f>
        <v>0</v>
      </c>
    </row>
  </sheetData>
  <pageMargins left="0.7" right="0.7" top="0.75" bottom="0.75" header="0.3" footer="0.3"/>
  <customProperties>
    <customPr name="EpmWorksheetKeyString_GUID" r:id="rId1"/>
  </customProperties>
  <ignoredErrors>
    <ignoredError sqref="C69:D69" formulaRange="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BEFAE-A5FB-467D-BD8A-C51BF5793DBD}">
  <dimension ref="A1:I132"/>
  <sheetViews>
    <sheetView showGridLines="0" zoomScale="90" zoomScaleNormal="90" workbookViewId="0">
      <selection activeCell="C76" sqref="C76"/>
    </sheetView>
  </sheetViews>
  <sheetFormatPr baseColWidth="10" defaultColWidth="13" defaultRowHeight="12.5"/>
  <cols>
    <col min="1" max="1" width="6.453125" style="2" customWidth="1"/>
    <col min="2" max="2" width="52.7265625" style="2" customWidth="1"/>
    <col min="3" max="4" width="14.7265625" style="10" customWidth="1"/>
    <col min="5" max="5" width="0.54296875" style="10" customWidth="1"/>
    <col min="6" max="6" width="10.7265625" style="2" customWidth="1"/>
    <col min="7" max="7" width="1.36328125" style="218" customWidth="1"/>
    <col min="8" max="16384" width="13" style="2"/>
  </cols>
  <sheetData>
    <row r="1" spans="2:6" ht="13">
      <c r="B1" s="1193" t="s">
        <v>0</v>
      </c>
      <c r="C1" s="1193"/>
      <c r="D1" s="1193"/>
      <c r="E1" s="1193"/>
      <c r="F1" s="1193"/>
    </row>
    <row r="2" spans="2:6" ht="13">
      <c r="B2" s="1193" t="s">
        <v>180</v>
      </c>
      <c r="C2" s="1193"/>
      <c r="D2" s="1193"/>
      <c r="E2" s="1193"/>
      <c r="F2" s="1193"/>
    </row>
    <row r="3" spans="2:6">
      <c r="B3" s="1194" t="s">
        <v>2</v>
      </c>
      <c r="C3" s="1194"/>
      <c r="D3" s="1194"/>
      <c r="E3" s="1194"/>
      <c r="F3" s="1194"/>
    </row>
    <row r="5" spans="2:6" ht="13" thickBot="1">
      <c r="B5" s="461"/>
      <c r="C5" s="2"/>
      <c r="D5" s="2"/>
    </row>
    <row r="6" spans="2:6" ht="38.25" customHeight="1" thickTop="1" thickBot="1">
      <c r="C6" s="213">
        <f>+'ESF GA Cons Acum.'!C6</f>
        <v>45901</v>
      </c>
      <c r="D6" s="213">
        <f>+'ESF GA Cons Acum.'!E6</f>
        <v>45627</v>
      </c>
      <c r="E6" s="462" t="s">
        <v>232</v>
      </c>
      <c r="F6" s="213" t="s">
        <v>233</v>
      </c>
    </row>
    <row r="7" spans="2:6" ht="3.75" customHeight="1" thickTop="1" thickBot="1">
      <c r="F7" s="10"/>
    </row>
    <row r="8" spans="2:6" ht="13" thickTop="1">
      <c r="B8" s="192" t="s">
        <v>15</v>
      </c>
      <c r="C8" s="1131">
        <v>18654</v>
      </c>
      <c r="D8" s="1131">
        <v>17735</v>
      </c>
      <c r="E8" s="882" t="e">
        <f>+#REF!/#REF!</f>
        <v>#REF!</v>
      </c>
      <c r="F8" s="883">
        <f>+(C8/D8-1)*100</f>
        <v>5.1818438116718379</v>
      </c>
    </row>
    <row r="9" spans="2:6" hidden="1">
      <c r="B9" s="192" t="s">
        <v>16</v>
      </c>
      <c r="C9" s="464">
        <v>0</v>
      </c>
      <c r="D9" s="464">
        <v>0</v>
      </c>
      <c r="E9" s="884"/>
      <c r="F9" s="885" t="e">
        <f>+(C9/D9-1)*100</f>
        <v>#DIV/0!</v>
      </c>
    </row>
    <row r="10" spans="2:6" hidden="1">
      <c r="B10" s="463" t="s">
        <v>17</v>
      </c>
      <c r="C10" s="464">
        <v>0</v>
      </c>
      <c r="D10" s="464">
        <v>0</v>
      </c>
      <c r="E10" s="886"/>
      <c r="F10" s="883" t="e">
        <f>+(C10/D10-1)*100</f>
        <v>#DIV/0!</v>
      </c>
    </row>
    <row r="11" spans="2:6">
      <c r="B11" s="192" t="s">
        <v>18</v>
      </c>
      <c r="C11" s="464">
        <v>663552</v>
      </c>
      <c r="D11" s="1131">
        <v>342536</v>
      </c>
      <c r="E11" s="887" t="e">
        <f>+#REF!/#REF!</f>
        <v>#REF!</v>
      </c>
      <c r="F11" s="883">
        <f>+(C11/D11-1)*100</f>
        <v>93.71744867692739</v>
      </c>
    </row>
    <row r="12" spans="2:6">
      <c r="B12" s="192" t="s">
        <v>274</v>
      </c>
      <c r="C12" s="464">
        <v>949814</v>
      </c>
      <c r="D12" s="464">
        <v>338725</v>
      </c>
      <c r="E12" s="888"/>
      <c r="F12" s="885">
        <f>+(C12/D12-1)*100</f>
        <v>180.40859103992918</v>
      </c>
    </row>
    <row r="13" spans="2:6" hidden="1">
      <c r="B13" s="192" t="s">
        <v>20</v>
      </c>
      <c r="C13" s="464">
        <v>0</v>
      </c>
      <c r="D13" s="464">
        <v>0</v>
      </c>
      <c r="E13" s="888"/>
      <c r="F13" s="889" t="s">
        <v>267</v>
      </c>
    </row>
    <row r="14" spans="2:6">
      <c r="B14" s="192" t="s">
        <v>21</v>
      </c>
      <c r="C14" s="1131">
        <v>12744</v>
      </c>
      <c r="D14" s="1131">
        <v>15695</v>
      </c>
      <c r="E14" s="888" t="e">
        <f>+#REF!/#REF!</f>
        <v>#REF!</v>
      </c>
      <c r="F14" s="885">
        <f>+(C14/D14-1)*100</f>
        <v>-18.802166294998411</v>
      </c>
    </row>
    <row r="15" spans="2:6">
      <c r="B15" s="192" t="s">
        <v>275</v>
      </c>
      <c r="C15" s="464">
        <v>905</v>
      </c>
      <c r="D15" s="464">
        <v>0</v>
      </c>
      <c r="E15" s="888" t="e">
        <f>+#REF!/#REF!</f>
        <v>#REF!</v>
      </c>
      <c r="F15" s="885" t="e">
        <f>+(C15/D15-1)*100</f>
        <v>#DIV/0!</v>
      </c>
    </row>
    <row r="16" spans="2:6" ht="6" customHeight="1" thickBot="1">
      <c r="B16" s="11"/>
      <c r="C16" s="20"/>
      <c r="D16" s="20"/>
      <c r="E16" s="20"/>
      <c r="F16" s="20"/>
    </row>
    <row r="17" spans="2:8" ht="16.5" customHeight="1" thickTop="1" thickBot="1">
      <c r="B17" s="195" t="s">
        <v>23</v>
      </c>
      <c r="C17" s="1132">
        <f>+SUM(C8:C15)</f>
        <v>1645669</v>
      </c>
      <c r="D17" s="1132">
        <f>+SUM(D8:D15)</f>
        <v>714691</v>
      </c>
      <c r="E17" s="890" t="e">
        <f>+#REF!/#REF!</f>
        <v>#REF!</v>
      </c>
      <c r="F17" s="891">
        <f>+(C17/D17-1)*100</f>
        <v>130.26300876882456</v>
      </c>
      <c r="H17" s="465"/>
    </row>
    <row r="18" spans="2:8" ht="4.5" customHeight="1" thickTop="1" thickBot="1">
      <c r="C18" s="20"/>
      <c r="D18" s="20"/>
      <c r="E18" s="20"/>
      <c r="F18" s="20"/>
    </row>
    <row r="19" spans="2:8" ht="23.25" customHeight="1" thickTop="1">
      <c r="B19" s="466" t="s">
        <v>24</v>
      </c>
      <c r="C19" s="1131">
        <v>11734836</v>
      </c>
      <c r="D19" s="1131">
        <v>19434328</v>
      </c>
      <c r="E19" s="892" t="e">
        <f>+#REF!/#REF!</f>
        <v>#REF!</v>
      </c>
      <c r="F19" s="893">
        <f t="shared" ref="F19:F25" si="0">+(C19/D19-1)*100</f>
        <v>-39.617999655043391</v>
      </c>
      <c r="H19" s="32"/>
    </row>
    <row r="20" spans="2:8" ht="16.5" customHeight="1">
      <c r="B20" s="466" t="s">
        <v>18</v>
      </c>
      <c r="C20" s="1131">
        <v>86375</v>
      </c>
      <c r="D20" s="1131">
        <v>115260</v>
      </c>
      <c r="E20" s="888" t="e">
        <f>+#REF!/#REF!</f>
        <v>#REF!</v>
      </c>
      <c r="F20" s="885">
        <f t="shared" si="0"/>
        <v>-25.060732257504771</v>
      </c>
    </row>
    <row r="21" spans="2:8" ht="16.5" hidden="1" customHeight="1">
      <c r="B21" s="466" t="s">
        <v>274</v>
      </c>
      <c r="C21" s="1131">
        <v>0</v>
      </c>
      <c r="D21" s="1131">
        <v>0</v>
      </c>
      <c r="E21" s="888"/>
      <c r="F21" s="885" t="s">
        <v>267</v>
      </c>
    </row>
    <row r="22" spans="2:8" ht="16.5" customHeight="1">
      <c r="B22" s="466" t="s">
        <v>25</v>
      </c>
      <c r="C22" s="1131">
        <v>2953</v>
      </c>
      <c r="D22" s="1131">
        <v>4158</v>
      </c>
      <c r="E22" s="888"/>
      <c r="F22" s="885">
        <f t="shared" si="0"/>
        <v>-28.980278980278985</v>
      </c>
    </row>
    <row r="23" spans="2:8" ht="16.5" hidden="1" customHeight="1">
      <c r="B23" s="466" t="s">
        <v>26</v>
      </c>
      <c r="C23" s="1131">
        <v>0</v>
      </c>
      <c r="D23" s="1131">
        <v>0</v>
      </c>
      <c r="E23" s="888" t="e">
        <f>+#REF!/#REF!</f>
        <v>#REF!</v>
      </c>
      <c r="F23" s="889" t="s">
        <v>267</v>
      </c>
    </row>
    <row r="24" spans="2:8" ht="16.5" customHeight="1">
      <c r="B24" s="466" t="s">
        <v>27</v>
      </c>
      <c r="C24" s="1131">
        <v>1709</v>
      </c>
      <c r="D24" s="1131">
        <v>2245</v>
      </c>
      <c r="E24" s="888" t="e">
        <f>+#REF!/#REF!</f>
        <v>#REF!</v>
      </c>
      <c r="F24" s="885">
        <f t="shared" si="0"/>
        <v>-23.875278396436528</v>
      </c>
    </row>
    <row r="25" spans="2:8" ht="16.5" customHeight="1">
      <c r="B25" s="466" t="s">
        <v>29</v>
      </c>
      <c r="C25" s="1131">
        <v>1156960</v>
      </c>
      <c r="D25" s="1131">
        <v>1742975</v>
      </c>
      <c r="E25" s="888" t="e">
        <f>+#REF!/#REF!</f>
        <v>#REF!</v>
      </c>
      <c r="F25" s="885">
        <f t="shared" si="0"/>
        <v>-33.62153788780676</v>
      </c>
    </row>
    <row r="26" spans="2:8" ht="13" hidden="1" thickBot="1">
      <c r="B26" s="466" t="s">
        <v>276</v>
      </c>
      <c r="C26" s="1131"/>
      <c r="D26" s="1131"/>
      <c r="E26" s="894" t="e">
        <f>+#REF!/#REF!</f>
        <v>#REF!</v>
      </c>
      <c r="F26" s="889" t="e">
        <f>+(C26/#REF!-1)*100</f>
        <v>#REF!</v>
      </c>
    </row>
    <row r="27" spans="2:8" ht="13" hidden="1" thickTop="1">
      <c r="B27" s="466" t="s">
        <v>30</v>
      </c>
      <c r="C27" s="464">
        <v>0</v>
      </c>
      <c r="D27" s="464">
        <v>0</v>
      </c>
      <c r="E27" s="895"/>
      <c r="F27" s="889" t="s">
        <v>267</v>
      </c>
    </row>
    <row r="28" spans="2:8" hidden="1">
      <c r="B28" s="466" t="s">
        <v>20</v>
      </c>
      <c r="C28" s="464">
        <v>0</v>
      </c>
      <c r="D28" s="464">
        <v>0</v>
      </c>
      <c r="E28" s="895"/>
      <c r="F28" s="889" t="e">
        <f>+(C28/#REF!-1)*100</f>
        <v>#REF!</v>
      </c>
    </row>
    <row r="29" spans="2:8">
      <c r="B29" s="466" t="s">
        <v>31</v>
      </c>
      <c r="C29" s="464">
        <v>2041</v>
      </c>
      <c r="D29" s="464">
        <v>0</v>
      </c>
      <c r="E29" s="895"/>
      <c r="F29" s="889" t="e">
        <f>+(C29/D29-1)*100</f>
        <v>#DIV/0!</v>
      </c>
    </row>
    <row r="30" spans="2:8">
      <c r="B30" s="466" t="s">
        <v>277</v>
      </c>
      <c r="C30" s="1131">
        <v>3815</v>
      </c>
      <c r="D30" s="1131">
        <v>1015</v>
      </c>
      <c r="E30" s="895"/>
      <c r="F30" s="889">
        <f>+(C30/D30-1)*100</f>
        <v>275.86206896551727</v>
      </c>
    </row>
    <row r="31" spans="2:8" ht="7.5" customHeight="1" thickBot="1">
      <c r="B31" s="468"/>
      <c r="C31" s="20"/>
      <c r="D31" s="20"/>
      <c r="E31" s="20"/>
      <c r="F31" s="20"/>
    </row>
    <row r="32" spans="2:8" ht="16.5" customHeight="1" thickTop="1" thickBot="1">
      <c r="B32" s="195" t="s">
        <v>33</v>
      </c>
      <c r="C32" s="1133">
        <f>SUM(C19:C30)</f>
        <v>12988689</v>
      </c>
      <c r="D32" s="1133">
        <f>SUM(D19:D30)</f>
        <v>21299981</v>
      </c>
      <c r="E32" s="890" t="e">
        <f>+#REF!/#REF!</f>
        <v>#REF!</v>
      </c>
      <c r="F32" s="891">
        <f>+(C32/D32-1)*100</f>
        <v>-39.020185041479614</v>
      </c>
      <c r="H32" s="465"/>
    </row>
    <row r="33" spans="1:9" ht="3.75" customHeight="1" thickTop="1" thickBot="1">
      <c r="B33" s="468"/>
      <c r="C33" s="20"/>
      <c r="D33" s="20"/>
      <c r="E33" s="20"/>
      <c r="F33" s="20"/>
    </row>
    <row r="34" spans="1:9" ht="16.5" customHeight="1" thickTop="1" thickBot="1">
      <c r="B34" s="201" t="s">
        <v>34</v>
      </c>
      <c r="C34" s="206">
        <f>+C17+C32</f>
        <v>14634358</v>
      </c>
      <c r="D34" s="206">
        <f>+D17+D32</f>
        <v>22014672</v>
      </c>
      <c r="E34" s="890" t="e">
        <f>+#REF!/#REF!</f>
        <v>#REF!</v>
      </c>
      <c r="F34" s="896">
        <f>+(C34/D34-1)*100</f>
        <v>-33.524524008352252</v>
      </c>
      <c r="H34" s="465"/>
    </row>
    <row r="35" spans="1:9" ht="16.5" customHeight="1" thickTop="1" thickBot="1">
      <c r="B35" s="203" t="s">
        <v>35</v>
      </c>
      <c r="C35" s="204">
        <f>+C34/C91</f>
        <v>3751.1587192954125</v>
      </c>
      <c r="D35" s="204">
        <f>+D34/D91</f>
        <v>4992.9514759080548</v>
      </c>
      <c r="E35" s="897"/>
      <c r="F35" s="898">
        <f>+(C35/D35-1)*100</f>
        <v>-24.870915782068582</v>
      </c>
    </row>
    <row r="36" spans="1:9" ht="3.75" customHeight="1" thickTop="1" thickBot="1">
      <c r="F36" s="10"/>
    </row>
    <row r="37" spans="1:9" ht="16.5" customHeight="1" thickTop="1">
      <c r="B37" s="192" t="s">
        <v>36</v>
      </c>
      <c r="C37" s="1131">
        <v>609598</v>
      </c>
      <c r="D37" s="1131">
        <v>27369</v>
      </c>
      <c r="E37" s="882" t="e">
        <f>+#REF!/#REF!</f>
        <v>#REF!</v>
      </c>
      <c r="F37" s="883">
        <f t="shared" ref="F37:F45" si="1">+(C37/D37-1)*100</f>
        <v>2127.3301910921118</v>
      </c>
    </row>
    <row r="38" spans="1:9" ht="16.5" customHeight="1">
      <c r="B38" s="192" t="s">
        <v>37</v>
      </c>
      <c r="C38" s="1131">
        <v>1026</v>
      </c>
      <c r="D38" s="1131">
        <v>2050</v>
      </c>
      <c r="E38" s="884"/>
      <c r="F38" s="885">
        <f t="shared" si="1"/>
        <v>-49.951219512195124</v>
      </c>
    </row>
    <row r="39" spans="1:9" ht="16.5" customHeight="1">
      <c r="A39" s="32"/>
      <c r="B39" s="192" t="s">
        <v>38</v>
      </c>
      <c r="C39" s="1131">
        <v>7464</v>
      </c>
      <c r="D39" s="1131">
        <v>164744</v>
      </c>
      <c r="E39" s="884"/>
      <c r="F39" s="885">
        <f t="shared" si="1"/>
        <v>-95.469334239790214</v>
      </c>
    </row>
    <row r="40" spans="1:9" ht="16.5" customHeight="1">
      <c r="B40" s="192" t="s">
        <v>278</v>
      </c>
      <c r="C40" s="1131">
        <f>289315</f>
        <v>289315</v>
      </c>
      <c r="D40" s="1131">
        <v>154061</v>
      </c>
      <c r="E40" s="887" t="e">
        <f>+#REF!/#REF!</f>
        <v>#REF!</v>
      </c>
      <c r="F40" s="883">
        <f t="shared" si="1"/>
        <v>87.792497776854631</v>
      </c>
      <c r="I40" s="32"/>
    </row>
    <row r="41" spans="1:9" ht="16.5" customHeight="1">
      <c r="B41" s="463" t="s">
        <v>40</v>
      </c>
      <c r="C41" s="1131">
        <v>0</v>
      </c>
      <c r="D41" s="1131">
        <v>55</v>
      </c>
      <c r="E41" s="888" t="e">
        <f>+#REF!/#REF!</f>
        <v>#REF!</v>
      </c>
      <c r="F41" s="885">
        <f t="shared" si="1"/>
        <v>-100</v>
      </c>
    </row>
    <row r="42" spans="1:9" ht="22.5" customHeight="1">
      <c r="B42" s="192" t="s">
        <v>41</v>
      </c>
      <c r="C42" s="464">
        <v>58986</v>
      </c>
      <c r="D42" s="464">
        <v>218015</v>
      </c>
      <c r="E42" s="469" t="e">
        <f>+#REF!/#REF!</f>
        <v>#REF!</v>
      </c>
      <c r="F42" s="885">
        <f t="shared" si="1"/>
        <v>-72.944063481870515</v>
      </c>
    </row>
    <row r="43" spans="1:9" ht="16.5" customHeight="1">
      <c r="B43" s="192" t="s">
        <v>42</v>
      </c>
      <c r="C43" s="1131">
        <v>13699</v>
      </c>
      <c r="D43" s="1131">
        <v>18737</v>
      </c>
      <c r="E43" s="888" t="e">
        <f>+#REF!/#REF!</f>
        <v>#REF!</v>
      </c>
      <c r="F43" s="885">
        <f t="shared" si="1"/>
        <v>-26.887975663126429</v>
      </c>
    </row>
    <row r="44" spans="1:9" ht="13.5" hidden="1" thickBot="1">
      <c r="A44" s="32"/>
      <c r="B44" s="192" t="s">
        <v>43</v>
      </c>
      <c r="C44" s="1134"/>
      <c r="D44" s="1134"/>
      <c r="E44" s="899"/>
      <c r="F44" s="885" t="e">
        <f t="shared" si="1"/>
        <v>#DIV/0!</v>
      </c>
    </row>
    <row r="45" spans="1:9" ht="13.5" hidden="1" thickTop="1">
      <c r="A45" s="32"/>
      <c r="B45" s="192" t="s">
        <v>44</v>
      </c>
      <c r="C45" s="1135"/>
      <c r="D45" s="1135"/>
      <c r="E45" s="470" t="e">
        <f>+#REF!/#REF!</f>
        <v>#REF!</v>
      </c>
      <c r="F45" s="885" t="e">
        <f t="shared" si="1"/>
        <v>#DIV/0!</v>
      </c>
    </row>
    <row r="46" spans="1:9" ht="13" hidden="1">
      <c r="A46" s="32"/>
      <c r="B46" s="192" t="s">
        <v>189</v>
      </c>
      <c r="C46" s="1136"/>
      <c r="D46" s="1136"/>
      <c r="E46" s="470"/>
      <c r="F46" s="885" t="s">
        <v>267</v>
      </c>
    </row>
    <row r="47" spans="1:9" ht="16.5" customHeight="1">
      <c r="A47" s="32"/>
      <c r="B47" s="192" t="s">
        <v>279</v>
      </c>
      <c r="C47" s="1131">
        <v>118843</v>
      </c>
      <c r="D47" s="1131">
        <f>148643+2+5235</f>
        <v>153880</v>
      </c>
      <c r="E47" s="888" t="e">
        <f>+#REF!/#REF!</f>
        <v>#REF!</v>
      </c>
      <c r="F47" s="885">
        <f>+(C47/D47-1)*100</f>
        <v>-22.769040811021579</v>
      </c>
    </row>
    <row r="48" spans="1:9" ht="13" thickBot="1">
      <c r="A48" s="32"/>
      <c r="B48" s="192" t="s">
        <v>31</v>
      </c>
      <c r="C48" s="1131">
        <v>3357</v>
      </c>
      <c r="D48" s="1131">
        <v>3730</v>
      </c>
      <c r="E48" s="895" t="e">
        <f>+#REF!/#REF!</f>
        <v>#REF!</v>
      </c>
      <c r="F48" s="885">
        <f>+(C48/D48-1)*100</f>
        <v>-9.9999999999999982</v>
      </c>
    </row>
    <row r="49" spans="1:8" ht="13" hidden="1" thickBot="1">
      <c r="A49" s="32"/>
      <c r="B49" s="192" t="s">
        <v>47</v>
      </c>
      <c r="C49" s="467"/>
      <c r="D49" s="467"/>
      <c r="E49" s="895" t="e">
        <f>+#REF!/#REF!</f>
        <v>#REF!</v>
      </c>
      <c r="F49" s="889" t="s">
        <v>267</v>
      </c>
    </row>
    <row r="50" spans="1:8" ht="16.5" customHeight="1" thickTop="1" thickBot="1">
      <c r="B50" s="195" t="s">
        <v>48</v>
      </c>
      <c r="C50" s="1133">
        <f>+SUM(C37:C49)</f>
        <v>1102288</v>
      </c>
      <c r="D50" s="1133">
        <f>+SUM(D37:D49)</f>
        <v>742641</v>
      </c>
      <c r="E50" s="890" t="e">
        <f>+#REF!/#REF!</f>
        <v>#REF!</v>
      </c>
      <c r="F50" s="891">
        <f>+(C50/D50-1)*100</f>
        <v>48.428109948144524</v>
      </c>
      <c r="H50" s="465"/>
    </row>
    <row r="51" spans="1:8" ht="5.25" customHeight="1" thickTop="1" thickBot="1">
      <c r="C51" s="2"/>
      <c r="D51" s="2"/>
      <c r="E51" s="20"/>
      <c r="F51" s="20"/>
    </row>
    <row r="52" spans="1:8" ht="16.5" customHeight="1" thickTop="1">
      <c r="B52" s="466" t="s">
        <v>36</v>
      </c>
      <c r="C52" s="1131">
        <v>769721</v>
      </c>
      <c r="D52" s="1131">
        <v>892491</v>
      </c>
      <c r="E52" s="882" t="e">
        <f>+#REF!/#REF!</f>
        <v>#REF!</v>
      </c>
      <c r="F52" s="883">
        <f t="shared" ref="F52:F60" si="2">+(C52/D52-1)*100</f>
        <v>-13.755881011685267</v>
      </c>
    </row>
    <row r="53" spans="1:8" ht="16.5" customHeight="1">
      <c r="B53" s="466" t="s">
        <v>190</v>
      </c>
      <c r="C53" s="1131">
        <v>2480</v>
      </c>
      <c r="D53" s="1131">
        <v>2813</v>
      </c>
      <c r="E53" s="884"/>
      <c r="F53" s="885">
        <f t="shared" si="2"/>
        <v>-11.837895485247063</v>
      </c>
    </row>
    <row r="54" spans="1:8" ht="16.5" customHeight="1">
      <c r="B54" s="192" t="s">
        <v>38</v>
      </c>
      <c r="C54" s="1131">
        <v>654962</v>
      </c>
      <c r="D54" s="1131">
        <v>671105</v>
      </c>
      <c r="E54" s="884"/>
      <c r="F54" s="885">
        <f t="shared" si="2"/>
        <v>-2.4054358110876861</v>
      </c>
      <c r="G54" s="32"/>
    </row>
    <row r="55" spans="1:8" ht="16.5" customHeight="1">
      <c r="A55" s="32"/>
      <c r="B55" s="466" t="s">
        <v>30</v>
      </c>
      <c r="C55" s="464">
        <v>719131</v>
      </c>
      <c r="D55" s="1131">
        <f>723040+232683-19023-1832</f>
        <v>934868</v>
      </c>
      <c r="E55" s="884"/>
      <c r="F55" s="885">
        <f t="shared" si="2"/>
        <v>-23.076733827663375</v>
      </c>
      <c r="G55" s="32"/>
    </row>
    <row r="56" spans="1:8" hidden="1">
      <c r="A56" s="32"/>
      <c r="B56" s="466" t="s">
        <v>40</v>
      </c>
      <c r="C56" s="464">
        <v>102626</v>
      </c>
      <c r="D56" s="464">
        <v>0</v>
      </c>
      <c r="E56" s="884"/>
      <c r="F56" s="885" t="e">
        <f t="shared" si="2"/>
        <v>#DIV/0!</v>
      </c>
    </row>
    <row r="57" spans="1:8" hidden="1">
      <c r="B57" s="466" t="s">
        <v>50</v>
      </c>
      <c r="C57" s="464"/>
      <c r="D57" s="464"/>
      <c r="E57" s="884"/>
      <c r="F57" s="885" t="e">
        <f t="shared" si="2"/>
        <v>#DIV/0!</v>
      </c>
    </row>
    <row r="58" spans="1:8" ht="16.5" customHeight="1">
      <c r="B58" s="466" t="s">
        <v>42</v>
      </c>
      <c r="C58" s="1131">
        <v>1897</v>
      </c>
      <c r="D58" s="1131">
        <v>1897</v>
      </c>
      <c r="E58" s="884"/>
      <c r="F58" s="885">
        <f t="shared" si="2"/>
        <v>0</v>
      </c>
    </row>
    <row r="59" spans="1:8" hidden="1">
      <c r="B59" s="466" t="s">
        <v>43</v>
      </c>
      <c r="C59" s="1131"/>
      <c r="D59" s="1131"/>
      <c r="E59" s="884"/>
      <c r="F59" s="885" t="e">
        <f>+(C59/#REF!-1)*100</f>
        <v>#REF!</v>
      </c>
    </row>
    <row r="60" spans="1:8">
      <c r="B60" s="192" t="s">
        <v>31</v>
      </c>
      <c r="C60" s="464">
        <v>0</v>
      </c>
      <c r="D60" s="464">
        <v>1167</v>
      </c>
      <c r="E60" s="888" t="e">
        <f>+#REF!/#REF!</f>
        <v>#REF!</v>
      </c>
      <c r="F60" s="885">
        <f t="shared" si="2"/>
        <v>-100</v>
      </c>
    </row>
    <row r="61" spans="1:8" ht="12.65" hidden="1" customHeight="1">
      <c r="A61" s="32"/>
      <c r="B61" s="466" t="s">
        <v>279</v>
      </c>
      <c r="C61" s="464">
        <v>0</v>
      </c>
      <c r="D61" s="464">
        <v>0</v>
      </c>
      <c r="E61" s="888"/>
      <c r="F61" s="889" t="s">
        <v>267</v>
      </c>
    </row>
    <row r="62" spans="1:8" ht="3.65" customHeight="1">
      <c r="A62" s="32"/>
      <c r="B62" s="468"/>
      <c r="C62" s="471"/>
      <c r="D62" s="471"/>
      <c r="E62" s="895"/>
      <c r="F62" s="472"/>
    </row>
    <row r="63" spans="1:8" ht="2.15" customHeight="1" thickBot="1">
      <c r="B63" s="468"/>
      <c r="C63" s="20"/>
      <c r="D63" s="20"/>
      <c r="E63" s="20"/>
      <c r="F63" s="20"/>
    </row>
    <row r="64" spans="1:8" ht="16.5" customHeight="1" thickTop="1" thickBot="1">
      <c r="B64" s="195" t="s">
        <v>52</v>
      </c>
      <c r="C64" s="1133">
        <f>SUM(C52:C63)</f>
        <v>2250817</v>
      </c>
      <c r="D64" s="1133">
        <f>SUM(D52:D63)</f>
        <v>2504341</v>
      </c>
      <c r="E64" s="890" t="e">
        <f>+#REF!/#REF!</f>
        <v>#REF!</v>
      </c>
      <c r="F64" s="891">
        <f>+(C64/D64-1)*100</f>
        <v>-10.123381759912087</v>
      </c>
      <c r="H64" s="465"/>
    </row>
    <row r="65" spans="2:8" ht="3.75" customHeight="1" thickTop="1" thickBot="1">
      <c r="B65" s="468"/>
      <c r="C65" s="20"/>
      <c r="D65" s="20"/>
      <c r="E65" s="20"/>
      <c r="F65" s="20"/>
    </row>
    <row r="66" spans="2:8" ht="16.5" customHeight="1" thickTop="1" thickBot="1">
      <c r="B66" s="201" t="s">
        <v>53</v>
      </c>
      <c r="C66" s="206">
        <f>+C50+C64</f>
        <v>3353105</v>
      </c>
      <c r="D66" s="206">
        <f>+D50+D64</f>
        <v>3246982</v>
      </c>
      <c r="E66" s="890" t="e">
        <f>+#REF!/#REF!</f>
        <v>#REF!</v>
      </c>
      <c r="F66" s="896">
        <f>+(C66/D66-1)*100</f>
        <v>3.2683581245599669</v>
      </c>
      <c r="H66" s="465"/>
    </row>
    <row r="67" spans="2:8" ht="16.5" customHeight="1" thickTop="1" thickBot="1">
      <c r="B67" s="203" t="s">
        <v>35</v>
      </c>
      <c r="C67" s="204">
        <f>+C66/C91</f>
        <v>859.48622122426173</v>
      </c>
      <c r="D67" s="204">
        <f>+D66/D91</f>
        <v>736.41903768300017</v>
      </c>
      <c r="E67" s="897"/>
      <c r="F67" s="898">
        <f>+(C67/D67-1)*100</f>
        <v>16.711570076796022</v>
      </c>
    </row>
    <row r="68" spans="2:8" ht="5.25" customHeight="1" thickTop="1" thickBot="1">
      <c r="C68" s="20"/>
      <c r="D68" s="20"/>
      <c r="E68" s="20"/>
      <c r="F68" s="20"/>
    </row>
    <row r="69" spans="2:8" ht="16.5" customHeight="1" thickTop="1" thickBot="1">
      <c r="B69" s="201" t="s">
        <v>54</v>
      </c>
      <c r="C69" s="206">
        <f>C87</f>
        <v>11281253</v>
      </c>
      <c r="D69" s="206">
        <f>D87</f>
        <v>18767690</v>
      </c>
      <c r="E69" s="890"/>
      <c r="F69" s="896">
        <f>+(C69/D69-1)*100</f>
        <v>-39.890029087223844</v>
      </c>
      <c r="H69" s="465"/>
    </row>
    <row r="70" spans="2:8" ht="16.5" customHeight="1" thickTop="1" thickBot="1">
      <c r="B70" s="203" t="s">
        <v>35</v>
      </c>
      <c r="C70" s="204">
        <f>+C69/C91</f>
        <v>2891.672498071151</v>
      </c>
      <c r="D70" s="204">
        <f>+D69/D91</f>
        <v>4256.5324382250546</v>
      </c>
      <c r="E70" s="897"/>
      <c r="F70" s="898">
        <f>+(C70/D70-1)*100</f>
        <v>-32.065066106322007</v>
      </c>
    </row>
    <row r="71" spans="2:8" ht="3.75" customHeight="1" thickTop="1" thickBot="1">
      <c r="B71" s="468"/>
      <c r="C71" s="20"/>
      <c r="D71" s="20"/>
      <c r="E71" s="20"/>
      <c r="F71" s="20"/>
    </row>
    <row r="72" spans="2:8" ht="20.25" customHeight="1" thickTop="1" thickBot="1">
      <c r="B72" s="195" t="s">
        <v>55</v>
      </c>
      <c r="C72" s="1133">
        <f>+C66+C69</f>
        <v>14634358</v>
      </c>
      <c r="D72" s="1133">
        <f>+D66+D69</f>
        <v>22014672</v>
      </c>
      <c r="E72" s="890"/>
      <c r="F72" s="891">
        <f>+(C72/D72-1)*100</f>
        <v>-33.524524008352252</v>
      </c>
    </row>
    <row r="73" spans="2:8" ht="21.75" hidden="1" customHeight="1" thickTop="1" thickBot="1">
      <c r="C73" s="207">
        <f>+C69-C87</f>
        <v>0</v>
      </c>
      <c r="D73" s="207">
        <f>+D69-D87</f>
        <v>0</v>
      </c>
      <c r="E73" s="20"/>
    </row>
    <row r="74" spans="2:8" ht="13.5" hidden="1" customHeight="1" thickTop="1" thickBot="1">
      <c r="B74" s="2" t="s">
        <v>236</v>
      </c>
      <c r="C74" s="207">
        <f>+C66+C69-C34</f>
        <v>0</v>
      </c>
      <c r="D74" s="207">
        <f>+D66+D69-D34</f>
        <v>0</v>
      </c>
      <c r="E74" s="20"/>
    </row>
    <row r="75" spans="2:8" ht="16.5" customHeight="1" thickTop="1" thickBot="1">
      <c r="C75" s="20"/>
      <c r="D75" s="20"/>
      <c r="E75" s="20"/>
    </row>
    <row r="76" spans="2:8" ht="36" customHeight="1" thickTop="1" thickBot="1">
      <c r="C76" s="213">
        <f>+C6</f>
        <v>45901</v>
      </c>
      <c r="D76" s="213">
        <f>+D6</f>
        <v>45627</v>
      </c>
      <c r="E76" s="191" t="s">
        <v>232</v>
      </c>
      <c r="F76" s="213" t="s">
        <v>233</v>
      </c>
      <c r="G76" s="210"/>
    </row>
    <row r="77" spans="2:8" ht="16.5" customHeight="1" thickTop="1" thickBot="1">
      <c r="F77" s="10"/>
      <c r="G77" s="211"/>
    </row>
    <row r="78" spans="2:8" ht="16.5" customHeight="1" thickTop="1">
      <c r="B78" s="466" t="s">
        <v>56</v>
      </c>
      <c r="C78" s="1131">
        <v>54934</v>
      </c>
      <c r="D78" s="1131">
        <v>54697</v>
      </c>
      <c r="E78" s="900" t="e">
        <f>+#REF!/#REF!</f>
        <v>#REF!</v>
      </c>
      <c r="F78" s="885">
        <f t="shared" ref="F78:F85" si="3">+(C78/D78-1)*100</f>
        <v>0.43329615883869188</v>
      </c>
      <c r="G78" s="211"/>
    </row>
    <row r="79" spans="2:8" ht="16.5" customHeight="1">
      <c r="B79" s="466" t="s">
        <v>57</v>
      </c>
      <c r="C79" s="1131">
        <v>0</v>
      </c>
      <c r="D79" s="1131">
        <v>1503373</v>
      </c>
      <c r="E79" s="888" t="e">
        <f>+#REF!/#REF!</f>
        <v>#REF!</v>
      </c>
      <c r="F79" s="885">
        <f t="shared" si="3"/>
        <v>-100</v>
      </c>
      <c r="G79" s="211"/>
    </row>
    <row r="80" spans="2:8" ht="16.5" customHeight="1">
      <c r="B80" s="466" t="s">
        <v>249</v>
      </c>
      <c r="C80" s="1131">
        <v>-525164</v>
      </c>
      <c r="D80" s="1131">
        <v>-428360</v>
      </c>
      <c r="E80" s="887"/>
      <c r="F80" s="885">
        <f t="shared" si="3"/>
        <v>22.598748716033246</v>
      </c>
      <c r="G80" s="211"/>
    </row>
    <row r="81" spans="2:7" ht="16.5" customHeight="1">
      <c r="B81" s="466" t="s">
        <v>58</v>
      </c>
      <c r="C81" s="1131">
        <v>164609</v>
      </c>
      <c r="D81" s="1131">
        <v>1110895</v>
      </c>
      <c r="E81" s="888"/>
      <c r="F81" s="885">
        <f t="shared" si="3"/>
        <v>-85.182307958898008</v>
      </c>
      <c r="G81" s="211"/>
    </row>
    <row r="82" spans="2:7" s="10" customFormat="1" ht="15.75" customHeight="1">
      <c r="B82" s="466" t="s">
        <v>59</v>
      </c>
      <c r="C82" s="1131">
        <v>2739886</v>
      </c>
      <c r="D82" s="1131">
        <v>3344004</v>
      </c>
      <c r="E82" s="888" t="e">
        <f>+#REF!/#REF!</f>
        <v>#REF!</v>
      </c>
      <c r="F82" s="885">
        <f t="shared" si="3"/>
        <v>-18.065708055373143</v>
      </c>
      <c r="G82" s="473"/>
    </row>
    <row r="83" spans="2:7" s="10" customFormat="1" ht="16.5" customHeight="1">
      <c r="B83" s="466" t="s">
        <v>60</v>
      </c>
      <c r="C83" s="464">
        <v>300372</v>
      </c>
      <c r="D83" s="464">
        <v>396439</v>
      </c>
      <c r="E83" s="901"/>
      <c r="F83" s="883">
        <f t="shared" si="3"/>
        <v>-24.232479650084883</v>
      </c>
      <c r="G83" s="210"/>
    </row>
    <row r="84" spans="2:7" s="10" customFormat="1" ht="16.5" customHeight="1">
      <c r="B84" s="474" t="s">
        <v>61</v>
      </c>
      <c r="C84" s="1137">
        <v>4243170</v>
      </c>
      <c r="D84" s="1138">
        <v>10254655</v>
      </c>
      <c r="E84" s="902"/>
      <c r="F84" s="885">
        <f t="shared" si="3"/>
        <v>-58.622011174437375</v>
      </c>
      <c r="G84" s="211"/>
    </row>
    <row r="85" spans="2:7" s="10" customFormat="1" ht="16.5" customHeight="1" thickBot="1">
      <c r="B85" s="466" t="s">
        <v>63</v>
      </c>
      <c r="C85" s="475">
        <v>4303446</v>
      </c>
      <c r="D85" s="475">
        <f>2535390-5235+1832</f>
        <v>2531987</v>
      </c>
      <c r="E85" s="894" t="e">
        <f>+#REF!/#REF!</f>
        <v>#REF!</v>
      </c>
      <c r="F85" s="885">
        <f t="shared" si="3"/>
        <v>69.963194913717956</v>
      </c>
      <c r="G85" s="211"/>
    </row>
    <row r="86" spans="2:7" s="10" customFormat="1" ht="16.5" customHeight="1" thickTop="1" thickBot="1">
      <c r="B86" s="468"/>
      <c r="C86" s="20"/>
      <c r="D86" s="20"/>
      <c r="E86" s="20"/>
      <c r="F86" s="20"/>
      <c r="G86" s="211"/>
    </row>
    <row r="87" spans="2:7" s="10" customFormat="1" ht="16.5" customHeight="1" thickTop="1" thickBot="1">
      <c r="B87" s="195" t="s">
        <v>54</v>
      </c>
      <c r="C87" s="1133">
        <f>+SUM(C78:C85)</f>
        <v>11281253</v>
      </c>
      <c r="D87" s="1133">
        <f>+SUM(D78:D85)</f>
        <v>18767690</v>
      </c>
      <c r="E87" s="890"/>
      <c r="F87" s="891">
        <f>+(C87/D87-1)*100</f>
        <v>-39.890029087223844</v>
      </c>
      <c r="G87" s="211"/>
    </row>
    <row r="88" spans="2:7" s="10" customFormat="1" ht="16.5" customHeight="1" thickTop="1">
      <c r="B88" s="2"/>
      <c r="F88" s="2"/>
      <c r="G88" s="211"/>
    </row>
    <row r="89" spans="2:7" s="10" customFormat="1" ht="16.5" customHeight="1">
      <c r="B89" s="2"/>
      <c r="C89" s="208">
        <f>+C34-C66-C87</f>
        <v>0</v>
      </c>
      <c r="D89" s="208"/>
      <c r="F89" s="2"/>
      <c r="G89" s="211"/>
    </row>
    <row r="90" spans="2:7" s="10" customFormat="1" ht="16.5" customHeight="1">
      <c r="B90" s="2"/>
      <c r="C90" s="148">
        <f>+C35-C67-C70</f>
        <v>0</v>
      </c>
      <c r="D90" s="216"/>
      <c r="F90" s="2"/>
      <c r="G90" s="208"/>
    </row>
    <row r="91" spans="2:7" s="10" customFormat="1" ht="16.5" customHeight="1">
      <c r="B91" s="10" t="s">
        <v>280</v>
      </c>
      <c r="C91" s="476">
        <v>3901.29</v>
      </c>
      <c r="D91" s="476">
        <v>4409.1499999999996</v>
      </c>
      <c r="F91" s="2"/>
      <c r="G91" s="208"/>
    </row>
    <row r="92" spans="2:7" s="10" customFormat="1" ht="16.5" customHeight="1">
      <c r="B92" s="2"/>
      <c r="C92" s="2"/>
      <c r="D92" s="2"/>
      <c r="F92" s="2"/>
      <c r="G92" s="208"/>
    </row>
    <row r="93" spans="2:7" s="10" customFormat="1" ht="16.5" customHeight="1">
      <c r="B93" s="219" t="s">
        <v>440</v>
      </c>
      <c r="C93" s="1023">
        <f>+C85-'ER GA separado Acum.'!C61</f>
        <v>0</v>
      </c>
      <c r="D93" s="477"/>
      <c r="G93" s="208"/>
    </row>
    <row r="94" spans="2:7" s="10" customFormat="1" ht="16.5" customHeight="1">
      <c r="G94" s="208"/>
    </row>
    <row r="95" spans="2:7" s="10" customFormat="1" ht="16.5" customHeight="1">
      <c r="G95" s="208"/>
    </row>
    <row r="96" spans="2:7" s="10" customFormat="1" ht="16.5" customHeight="1">
      <c r="G96" s="208"/>
    </row>
    <row r="97" spans="1:7" s="10" customFormat="1" ht="16.5" customHeight="1">
      <c r="G97" s="208"/>
    </row>
    <row r="98" spans="1:7" s="10" customFormat="1" ht="16.5" customHeight="1">
      <c r="G98" s="208"/>
    </row>
    <row r="99" spans="1:7" ht="16.5" customHeight="1"/>
    <row r="100" spans="1:7" s="218" customFormat="1" ht="16.5" customHeight="1">
      <c r="A100" s="2"/>
      <c r="B100" s="2"/>
      <c r="C100" s="10"/>
      <c r="D100" s="10"/>
      <c r="E100" s="10"/>
      <c r="F100" s="2"/>
    </row>
    <row r="101" spans="1:7" s="218" customFormat="1" ht="16.5" customHeight="1">
      <c r="A101" s="2"/>
      <c r="B101" s="2"/>
      <c r="C101" s="10"/>
      <c r="D101" s="10"/>
      <c r="E101" s="10"/>
      <c r="F101" s="2"/>
    </row>
    <row r="102" spans="1:7" s="218" customFormat="1" ht="16.5" customHeight="1">
      <c r="A102" s="2"/>
      <c r="B102" s="2"/>
      <c r="C102" s="10"/>
      <c r="D102" s="10"/>
      <c r="E102" s="10"/>
      <c r="F102" s="2"/>
    </row>
    <row r="103" spans="1:7" s="218" customFormat="1" ht="16.5" customHeight="1">
      <c r="A103" s="2"/>
      <c r="B103" s="2"/>
      <c r="C103" s="10"/>
      <c r="D103" s="10"/>
      <c r="E103" s="10"/>
      <c r="F103" s="2"/>
    </row>
    <row r="107" spans="1:7" s="218" customFormat="1" ht="21" customHeight="1">
      <c r="A107" s="2"/>
      <c r="B107" s="2"/>
      <c r="C107" s="10"/>
      <c r="D107" s="10"/>
      <c r="E107" s="10"/>
      <c r="F107" s="2"/>
    </row>
    <row r="108" spans="1:7" s="218" customFormat="1" ht="3.75" customHeight="1">
      <c r="A108" s="2"/>
      <c r="B108" s="2"/>
      <c r="C108" s="10"/>
      <c r="D108" s="10"/>
      <c r="E108" s="10"/>
      <c r="F108" s="3"/>
    </row>
    <row r="109" spans="1:7" s="218" customFormat="1" ht="16.5" customHeight="1">
      <c r="A109" s="2"/>
      <c r="B109" s="2"/>
      <c r="C109" s="10"/>
      <c r="D109" s="10"/>
      <c r="E109" s="10"/>
      <c r="F109" s="2"/>
    </row>
    <row r="110" spans="1:7" s="218" customFormat="1" ht="16.5" customHeight="1">
      <c r="A110" s="2"/>
      <c r="B110" s="2"/>
      <c r="C110" s="10"/>
      <c r="D110" s="10"/>
      <c r="E110" s="10"/>
      <c r="F110" s="2"/>
    </row>
    <row r="111" spans="1:7" s="218" customFormat="1" ht="16.5" customHeight="1">
      <c r="A111" s="2"/>
      <c r="B111" s="2"/>
      <c r="C111" s="10"/>
      <c r="D111" s="10"/>
      <c r="E111" s="10"/>
      <c r="F111" s="2"/>
    </row>
    <row r="112" spans="1:7" s="218" customFormat="1" ht="16.5" customHeight="1">
      <c r="A112" s="2"/>
      <c r="B112" s="2"/>
      <c r="C112" s="10"/>
      <c r="D112" s="10"/>
      <c r="E112" s="10"/>
      <c r="F112" s="2"/>
    </row>
    <row r="113" spans="1:6" s="218" customFormat="1" ht="14.25" customHeight="1">
      <c r="A113" s="2"/>
      <c r="B113" s="2"/>
      <c r="C113" s="10"/>
      <c r="D113" s="10"/>
      <c r="E113" s="10"/>
      <c r="F113" s="2"/>
    </row>
    <row r="114" spans="1:6" s="218" customFormat="1" ht="16.5" customHeight="1">
      <c r="A114" s="2"/>
      <c r="B114" s="2"/>
      <c r="C114" s="10"/>
      <c r="D114" s="10"/>
      <c r="E114" s="10"/>
      <c r="F114" s="2"/>
    </row>
    <row r="115" spans="1:6" s="218" customFormat="1" ht="3.75" customHeight="1">
      <c r="A115" s="2"/>
      <c r="B115" s="2"/>
      <c r="C115" s="10"/>
      <c r="D115" s="10"/>
      <c r="E115" s="10"/>
      <c r="F115" s="2"/>
    </row>
    <row r="116" spans="1:6" s="218" customFormat="1" ht="16.5" customHeight="1">
      <c r="A116" s="2"/>
      <c r="B116" s="2"/>
      <c r="C116" s="10"/>
      <c r="D116" s="10"/>
      <c r="E116" s="10"/>
      <c r="F116" s="2"/>
    </row>
    <row r="118" spans="1:6" s="218" customFormat="1" ht="14.25" customHeight="1">
      <c r="A118" s="2"/>
      <c r="B118" s="1197"/>
      <c r="C118" s="1197"/>
      <c r="D118" s="1197"/>
      <c r="E118" s="10"/>
      <c r="F118" s="2"/>
    </row>
    <row r="122" spans="1:6" s="218" customFormat="1" ht="14.5">
      <c r="A122" s="2"/>
      <c r="B122" s="45"/>
      <c r="C122" s="10"/>
      <c r="D122" s="10"/>
      <c r="E122" s="10"/>
      <c r="F122" s="2"/>
    </row>
    <row r="123" spans="1:6" s="218" customFormat="1" ht="14.5">
      <c r="A123" s="2"/>
      <c r="B123" s="47"/>
      <c r="C123" s="10"/>
      <c r="D123" s="10"/>
      <c r="E123" s="10"/>
      <c r="F123" s="226"/>
    </row>
    <row r="124" spans="1:6" s="218" customFormat="1" ht="14.5">
      <c r="A124" s="2"/>
      <c r="B124" s="47"/>
      <c r="C124" s="10"/>
      <c r="D124" s="10"/>
      <c r="E124" s="10"/>
      <c r="F124" s="228"/>
    </row>
    <row r="125" spans="1:6" s="218" customFormat="1" ht="14.5">
      <c r="A125" s="2"/>
      <c r="B125" s="47"/>
      <c r="C125" s="10"/>
      <c r="D125" s="10"/>
      <c r="E125" s="10"/>
      <c r="F125" s="228"/>
    </row>
    <row r="126" spans="1:6" s="218" customFormat="1" ht="14.5">
      <c r="A126" s="2"/>
      <c r="B126" s="47"/>
      <c r="C126" s="10"/>
      <c r="D126" s="10"/>
      <c r="E126" s="10"/>
      <c r="F126" s="228"/>
    </row>
    <row r="127" spans="1:6" s="218" customFormat="1" ht="14.5">
      <c r="A127" s="2"/>
      <c r="B127" s="47"/>
      <c r="C127" s="10"/>
      <c r="D127" s="10"/>
      <c r="E127" s="10"/>
      <c r="F127" s="228"/>
    </row>
    <row r="128" spans="1:6" s="218" customFormat="1" ht="14.5">
      <c r="A128" s="2"/>
      <c r="B128" s="47"/>
      <c r="C128" s="10"/>
      <c r="D128" s="10"/>
      <c r="E128" s="10"/>
      <c r="F128" s="228"/>
    </row>
    <row r="129" spans="1:6" s="218" customFormat="1" ht="14.5">
      <c r="A129" s="2"/>
      <c r="B129" s="47"/>
      <c r="C129" s="10"/>
      <c r="D129" s="10"/>
      <c r="E129" s="10"/>
      <c r="F129" s="228"/>
    </row>
    <row r="130" spans="1:6" s="218" customFormat="1" ht="14.5">
      <c r="A130" s="2"/>
      <c r="B130" s="47"/>
      <c r="C130" s="10"/>
      <c r="D130" s="10"/>
      <c r="E130" s="10"/>
      <c r="F130" s="228"/>
    </row>
    <row r="131" spans="1:6" s="218" customFormat="1" ht="14.5">
      <c r="A131" s="2"/>
      <c r="B131" s="47"/>
      <c r="C131" s="10"/>
      <c r="D131" s="10"/>
      <c r="E131" s="10"/>
      <c r="F131" s="2"/>
    </row>
    <row r="132" spans="1:6" s="218" customFormat="1" ht="14.5">
      <c r="A132" s="2"/>
      <c r="B132" s="45"/>
      <c r="C132" s="10"/>
      <c r="D132" s="10"/>
      <c r="E132" s="10"/>
      <c r="F132" s="230"/>
    </row>
  </sheetData>
  <mergeCells count="4">
    <mergeCell ref="B1:F1"/>
    <mergeCell ref="B2:F2"/>
    <mergeCell ref="B3:F3"/>
    <mergeCell ref="B118:D118"/>
  </mergeCells>
  <conditionalFormatting sqref="C85:D85">
    <cfRule type="expression" dxfId="47" priority="1">
      <formula>$E$5="Millones"</formula>
    </cfRule>
    <cfRule type="expression" dxfId="46" priority="2">
      <formula>$E$5="Miles"</formula>
    </cfRule>
  </conditionalFormatting>
  <pageMargins left="0.7" right="0.7" top="0.75" bottom="0.75" header="0.3" footer="0.3"/>
  <customProperties>
    <customPr name="EpmWorksheetKeyString_GUID" r:id="rId1"/>
    <customPr name="FPMExcelClientCellBasedFunctionStatus" r:id="rId2"/>
  </customProperties>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6BDA7-16CF-420E-9265-C9590F9B8C81}">
  <dimension ref="A1:AH84"/>
  <sheetViews>
    <sheetView showGridLines="0" zoomScale="90" zoomScaleNormal="90" workbookViewId="0">
      <selection activeCell="B97" sqref="B97"/>
    </sheetView>
  </sheetViews>
  <sheetFormatPr baseColWidth="10" defaultColWidth="13" defaultRowHeight="12.5"/>
  <cols>
    <col min="1" max="1" width="2.54296875" style="51" customWidth="1"/>
    <col min="2" max="2" width="42.1796875" style="51" customWidth="1"/>
    <col min="3" max="3" width="13.81640625" style="51" customWidth="1"/>
    <col min="4" max="4" width="2.453125" style="51" customWidth="1"/>
    <col min="5" max="5" width="11.26953125" style="51" bestFit="1" customWidth="1"/>
    <col min="6" max="6" width="1" style="51" customWidth="1"/>
    <col min="7" max="7" width="10.453125" style="51" customWidth="1"/>
    <col min="8" max="8" width="12" style="51" bestFit="1" customWidth="1"/>
    <col min="9" max="9" width="41" style="51" customWidth="1"/>
    <col min="10" max="10" width="3" style="51" customWidth="1"/>
    <col min="11" max="11" width="12.26953125" style="51" bestFit="1" customWidth="1"/>
    <col min="12" max="12" width="0.81640625" style="51" customWidth="1"/>
    <col min="13" max="13" width="12.1796875" style="51" customWidth="1"/>
    <col min="14" max="14" width="0.7265625" style="51" customWidth="1"/>
    <col min="15" max="15" width="10.7265625" style="51" hidden="1" customWidth="1"/>
    <col min="16" max="16" width="2.1796875" style="51" hidden="1" customWidth="1"/>
    <col min="17" max="17" width="10.7265625" style="51" hidden="1" customWidth="1"/>
    <col min="18" max="18" width="3" style="51" hidden="1" customWidth="1"/>
    <col min="19" max="19" width="10.7265625" style="51" hidden="1" customWidth="1"/>
    <col min="20" max="20" width="1.7265625" style="51" hidden="1" customWidth="1"/>
    <col min="21" max="21" width="10.26953125" style="51" hidden="1" customWidth="1"/>
    <col min="22" max="22" width="3.1796875" style="51" customWidth="1"/>
    <col min="23" max="23" width="8.81640625" style="51" customWidth="1"/>
    <col min="24" max="25" width="3.1796875" style="51" customWidth="1"/>
    <col min="26" max="27" width="13" style="51"/>
    <col min="28" max="28" width="14.1796875" style="51" bestFit="1" customWidth="1"/>
    <col min="29" max="29" width="9.26953125" style="51" customWidth="1"/>
    <col min="30" max="30" width="19.453125" style="51" customWidth="1"/>
    <col min="31" max="16384" width="13" style="51"/>
  </cols>
  <sheetData>
    <row r="1" spans="1:34" ht="16.5" customHeight="1">
      <c r="B1" s="50" t="s">
        <v>0</v>
      </c>
      <c r="C1" s="50"/>
      <c r="D1" s="50"/>
      <c r="E1" s="50"/>
      <c r="F1" s="50"/>
      <c r="G1" s="50"/>
      <c r="H1" s="50"/>
      <c r="I1" s="50"/>
      <c r="J1" s="50"/>
      <c r="K1" s="50"/>
      <c r="L1" s="50"/>
      <c r="M1" s="50"/>
      <c r="N1" s="50"/>
      <c r="O1" s="50"/>
      <c r="P1" s="50"/>
      <c r="Q1" s="50"/>
      <c r="R1" s="50"/>
    </row>
    <row r="2" spans="1:34" ht="13">
      <c r="B2" s="50" t="s">
        <v>191</v>
      </c>
      <c r="C2" s="231"/>
      <c r="D2" s="50"/>
      <c r="E2" s="231"/>
      <c r="F2" s="50"/>
      <c r="G2" s="231"/>
      <c r="H2" s="50"/>
      <c r="I2" s="50"/>
      <c r="J2" s="50"/>
      <c r="K2" s="50"/>
      <c r="L2" s="50"/>
      <c r="M2" s="50"/>
      <c r="N2" s="50"/>
      <c r="O2" s="50"/>
      <c r="P2" s="50"/>
      <c r="Q2" s="50"/>
      <c r="R2" s="50"/>
    </row>
    <row r="3" spans="1:34" ht="12.75" customHeight="1">
      <c r="B3" s="53" t="s">
        <v>192</v>
      </c>
      <c r="C3" s="240"/>
      <c r="D3" s="53"/>
      <c r="E3" s="240"/>
      <c r="F3" s="53"/>
      <c r="G3" s="240"/>
      <c r="H3" s="240"/>
      <c r="I3" s="53"/>
      <c r="J3" s="53"/>
      <c r="K3" s="53"/>
      <c r="L3" s="53"/>
      <c r="M3" s="238"/>
      <c r="N3" s="53"/>
      <c r="O3" s="53"/>
      <c r="P3" s="53"/>
      <c r="Q3" s="53"/>
      <c r="R3" s="53"/>
    </row>
    <row r="4" spans="1:34" ht="16.5" customHeight="1" thickBot="1">
      <c r="B4" s="478"/>
      <c r="C4" s="478"/>
      <c r="D4" s="478"/>
      <c r="E4" s="478"/>
      <c r="F4" s="478"/>
      <c r="G4" s="478"/>
      <c r="H4" s="478"/>
      <c r="I4" s="478"/>
      <c r="J4" s="478"/>
      <c r="K4" s="478"/>
      <c r="L4" s="478"/>
      <c r="M4" s="478"/>
      <c r="N4" s="478"/>
      <c r="O4" s="478"/>
      <c r="P4" s="478"/>
      <c r="Q4" s="478"/>
      <c r="R4" s="478"/>
      <c r="S4" s="478"/>
      <c r="T4" s="478"/>
      <c r="U4" s="478"/>
      <c r="V4" s="478"/>
      <c r="W4" s="478"/>
    </row>
    <row r="5" spans="1:34" ht="48.75" customHeight="1" thickTop="1" thickBot="1">
      <c r="B5" s="479"/>
      <c r="C5" s="7" t="s">
        <v>609</v>
      </c>
      <c r="D5" s="8"/>
      <c r="E5" s="7" t="s">
        <v>610</v>
      </c>
      <c r="F5" s="8"/>
      <c r="G5" s="131" t="s">
        <v>281</v>
      </c>
      <c r="H5" s="7" t="s">
        <v>253</v>
      </c>
      <c r="I5" s="7" t="s">
        <v>254</v>
      </c>
      <c r="K5" s="131" t="s">
        <v>611</v>
      </c>
      <c r="M5" s="131" t="s">
        <v>255</v>
      </c>
      <c r="N5" s="289"/>
      <c r="O5" s="131" t="s">
        <v>282</v>
      </c>
      <c r="Q5" s="7" t="s">
        <v>462</v>
      </c>
      <c r="S5" s="131" t="s">
        <v>258</v>
      </c>
      <c r="T5" s="8"/>
      <c r="U5" s="131" t="s">
        <v>463</v>
      </c>
    </row>
    <row r="6" spans="1:34" ht="4.5" customHeight="1" thickTop="1">
      <c r="K6" s="480"/>
      <c r="N6" s="289"/>
      <c r="U6" s="480"/>
    </row>
    <row r="7" spans="1:34" ht="17.25" customHeight="1">
      <c r="A7" s="60"/>
      <c r="B7" s="481" t="s">
        <v>283</v>
      </c>
      <c r="C7" s="482">
        <f>SUM(C10:C12)</f>
        <v>1834809</v>
      </c>
      <c r="D7" s="71"/>
      <c r="E7" s="482">
        <f>SUM(E10:E12)</f>
        <v>3153591</v>
      </c>
      <c r="F7" s="71"/>
      <c r="G7" s="483">
        <f>IF(E7&lt;0,-((C7/E7)-1),(C7/E7)-1)*100</f>
        <v>-41.818422236745349</v>
      </c>
      <c r="H7" s="484">
        <f>+C7-E7</f>
        <v>-1318782</v>
      </c>
      <c r="I7" s="485"/>
      <c r="K7" s="482">
        <f>SUM(K10:K12)</f>
        <v>1616736</v>
      </c>
      <c r="L7" s="109"/>
      <c r="M7" s="486">
        <f>IF(ISERR(1+(C7-K7)/ABS(K7)),"N/A",1+(C7-K7)/ABS(K7))*100</f>
        <v>113.48847307167034</v>
      </c>
      <c r="O7" s="487">
        <f>+C7-Q7</f>
        <v>1340462</v>
      </c>
      <c r="Q7" s="482">
        <f>SUM(Q10:Q12)</f>
        <v>494347</v>
      </c>
      <c r="S7" s="488">
        <f>+K7-U7</f>
        <v>1233918</v>
      </c>
      <c r="T7" s="489"/>
      <c r="U7" s="482">
        <f>SUM(U10:U12)</f>
        <v>382818</v>
      </c>
      <c r="W7" s="490">
        <f>+E7+H7-C7</f>
        <v>0</v>
      </c>
      <c r="X7" s="167"/>
      <c r="AH7" s="60"/>
    </row>
    <row r="8" spans="1:34" ht="6" customHeight="1">
      <c r="B8" s="56"/>
      <c r="C8" s="71"/>
      <c r="D8" s="71"/>
      <c r="E8" s="71"/>
      <c r="F8" s="71"/>
      <c r="G8" s="903"/>
      <c r="H8" s="71"/>
      <c r="I8" s="906"/>
      <c r="K8" s="71"/>
      <c r="L8" s="109"/>
      <c r="M8" s="903"/>
      <c r="O8" s="491"/>
      <c r="Q8" s="71"/>
      <c r="R8" s="492"/>
      <c r="S8" s="491"/>
      <c r="T8" s="489"/>
      <c r="U8" s="71"/>
      <c r="W8" s="237"/>
      <c r="AH8" s="60"/>
    </row>
    <row r="9" spans="1:34" s="492" customFormat="1" ht="12.75" hidden="1" customHeight="1">
      <c r="B9" s="493" t="s">
        <v>35</v>
      </c>
      <c r="C9" s="494">
        <v>347.1</v>
      </c>
      <c r="D9" s="495"/>
      <c r="E9" s="494">
        <v>347.1</v>
      </c>
      <c r="F9" s="495"/>
      <c r="G9" s="496" t="e">
        <f>IF(#REF!&lt;0,-((C9/#REF!)-1),(C9/#REF!)-1)*100</f>
        <v>#REF!</v>
      </c>
      <c r="H9" s="495" t="e">
        <f>IF(#REF!&lt;0,-((#REF!/#REF!)-1),(#REF!/#REF!)-1)*100</f>
        <v>#REF!</v>
      </c>
      <c r="I9" s="820" t="str">
        <f>+IFERROR(IF((AND((ABS(G9)&gt;8),(ABS(H9)&gt;5000))),"Explicar","No explicar"),"N/A")</f>
        <v>N/A</v>
      </c>
      <c r="K9" s="497">
        <f>+K7/2329</f>
        <v>694.17604121940747</v>
      </c>
      <c r="M9" s="498">
        <f>IF(ISERR(1+(C9-K9)/ABS(K9)),"N/A",1+(C9-K9)/ABS(K9))*100</f>
        <v>50.001725699186508</v>
      </c>
      <c r="O9" s="499">
        <f>+C9-Q9</f>
        <v>0</v>
      </c>
      <c r="Q9" s="494">
        <v>347.1</v>
      </c>
      <c r="R9" s="51"/>
      <c r="S9" s="500">
        <f>+K9-U9</f>
        <v>529.80592528982402</v>
      </c>
      <c r="T9" s="501"/>
      <c r="U9" s="497">
        <f>+U7/2329</f>
        <v>164.37011592958351</v>
      </c>
      <c r="W9" s="502"/>
      <c r="AH9" s="60"/>
    </row>
    <row r="10" spans="1:34" ht="16.5" customHeight="1">
      <c r="A10" s="60"/>
      <c r="B10" s="503" t="s">
        <v>123</v>
      </c>
      <c r="C10" s="846">
        <v>15344</v>
      </c>
      <c r="D10" s="505"/>
      <c r="E10" s="846">
        <v>3090</v>
      </c>
      <c r="F10" s="174"/>
      <c r="G10" s="867">
        <f>IF(E10&lt;0,-((C10/E10)-1),(C10/E10)-1)*100</f>
        <v>396.56957928802586</v>
      </c>
      <c r="H10" s="506">
        <f>+C10-E10</f>
        <v>12254</v>
      </c>
      <c r="I10" s="906" t="s">
        <v>612</v>
      </c>
      <c r="K10" s="846">
        <v>269408</v>
      </c>
      <c r="L10" s="109"/>
      <c r="M10" s="904">
        <v>100</v>
      </c>
      <c r="O10" s="507">
        <f>+C10-Q10</f>
        <v>-208447</v>
      </c>
      <c r="Q10" s="504">
        <v>223791</v>
      </c>
      <c r="S10" s="507">
        <f>+K10-U10</f>
        <v>-150254</v>
      </c>
      <c r="T10" s="285"/>
      <c r="U10" s="504">
        <v>419662</v>
      </c>
      <c r="V10" s="77"/>
      <c r="W10" s="490">
        <f t="shared" ref="W10:W61" si="0">+E10+H10-C10</f>
        <v>0</v>
      </c>
      <c r="X10" s="167"/>
      <c r="AH10" s="60"/>
    </row>
    <row r="11" spans="1:34" ht="13.5" customHeight="1">
      <c r="A11" s="60"/>
      <c r="B11" s="368" t="s">
        <v>124</v>
      </c>
      <c r="C11" s="847">
        <v>179967</v>
      </c>
      <c r="D11" s="166"/>
      <c r="E11" s="847">
        <v>70091</v>
      </c>
      <c r="F11" s="119"/>
      <c r="G11" s="905">
        <f>IF(E11&lt;0,-((C11/E11)-1),(C11/E11)-1)*100</f>
        <v>156.76192378479405</v>
      </c>
      <c r="H11" s="508">
        <f>(+C11-E11)</f>
        <v>109876</v>
      </c>
      <c r="I11" s="906" t="s">
        <v>613</v>
      </c>
      <c r="K11" s="847">
        <v>149755</v>
      </c>
      <c r="L11" s="109"/>
      <c r="M11" s="907">
        <f>IF(ISERR(1+(C11-K11)/ABS(K11)),"N/A",1+(C11-K11)/ABS(K11))*100</f>
        <v>120.17428466495276</v>
      </c>
      <c r="O11" s="510">
        <f>+C11-Q11</f>
        <v>37147</v>
      </c>
      <c r="Q11" s="508">
        <v>142820</v>
      </c>
      <c r="S11" s="510">
        <f>+K11-U11</f>
        <v>111218</v>
      </c>
      <c r="T11" s="285"/>
      <c r="U11" s="508">
        <v>38537</v>
      </c>
      <c r="W11" s="490">
        <f t="shared" si="0"/>
        <v>0</v>
      </c>
      <c r="X11" s="167"/>
      <c r="Y11" s="167"/>
      <c r="AH11" s="60"/>
    </row>
    <row r="12" spans="1:34" ht="16.5" customHeight="1">
      <c r="A12" s="60"/>
      <c r="B12" s="511" t="s">
        <v>213</v>
      </c>
      <c r="C12" s="512">
        <v>1639498</v>
      </c>
      <c r="D12" s="505"/>
      <c r="E12" s="512">
        <v>3080410</v>
      </c>
      <c r="F12" s="513"/>
      <c r="G12" s="908">
        <f>IF(E12&lt;0,-((C12/E12)-1),(C12/E12)-1)*100</f>
        <v>-46.776630383617771</v>
      </c>
      <c r="H12" s="514">
        <f>+C12-E12</f>
        <v>-1440912</v>
      </c>
      <c r="I12" s="906" t="s">
        <v>614</v>
      </c>
      <c r="K12" s="848">
        <v>1197573</v>
      </c>
      <c r="L12" s="109"/>
      <c r="M12" s="909">
        <f>IF(ISERR(1+(C12-K12)/ABS(K12)),"N/A",1+(C12-K12)/ABS(K12))*100</f>
        <v>136.90171705607926</v>
      </c>
      <c r="O12" s="515">
        <f>+C12-Q12</f>
        <v>1511762</v>
      </c>
      <c r="Q12" s="512">
        <v>127736</v>
      </c>
      <c r="S12" s="515">
        <f>+K12-U12</f>
        <v>1272954</v>
      </c>
      <c r="T12" s="285"/>
      <c r="U12" s="512">
        <v>-75381</v>
      </c>
      <c r="W12" s="490">
        <f t="shared" si="0"/>
        <v>0</v>
      </c>
      <c r="X12" s="167"/>
      <c r="Z12" s="60"/>
      <c r="AA12" s="60"/>
      <c r="AH12" s="60"/>
    </row>
    <row r="13" spans="1:34" ht="4.5" customHeight="1">
      <c r="F13" s="167"/>
      <c r="H13" s="167"/>
      <c r="I13" s="821"/>
      <c r="L13" s="167"/>
      <c r="W13" s="237"/>
      <c r="AH13" s="60"/>
    </row>
    <row r="14" spans="1:34" ht="16.5" customHeight="1">
      <c r="B14" s="516" t="s">
        <v>127</v>
      </c>
      <c r="C14" s="517">
        <f>SUM(C15:C16)</f>
        <v>60229</v>
      </c>
      <c r="D14" s="71"/>
      <c r="E14" s="517">
        <f>SUM(E15:E16)</f>
        <v>63209</v>
      </c>
      <c r="F14" s="71"/>
      <c r="G14" s="518">
        <f>IF(E14&lt;0,-((C14/E14)-1),(C14/E14)-1)*100</f>
        <v>-4.7145185021120417</v>
      </c>
      <c r="H14" s="517">
        <f>+C14-E14</f>
        <v>-2980</v>
      </c>
      <c r="I14" s="537"/>
      <c r="K14" s="517">
        <f>SUM(K15:K16)</f>
        <v>43817</v>
      </c>
      <c r="L14" s="109"/>
      <c r="M14" s="910" t="s">
        <v>284</v>
      </c>
      <c r="O14" s="519">
        <f>+C14-Q14</f>
        <v>23429</v>
      </c>
      <c r="Q14" s="517">
        <f>SUM(Q15:Q16)</f>
        <v>36800</v>
      </c>
      <c r="S14" s="519">
        <f>+K14-U14</f>
        <v>-21237</v>
      </c>
      <c r="T14" s="489"/>
      <c r="U14" s="517">
        <f>SUM(U15:U16)</f>
        <v>65054</v>
      </c>
      <c r="W14" s="490">
        <f t="shared" si="0"/>
        <v>0</v>
      </c>
      <c r="X14" s="1201"/>
      <c r="Y14" s="1201"/>
      <c r="Z14" s="1201"/>
      <c r="AA14" s="1201"/>
      <c r="AB14" s="1201"/>
      <c r="AC14" s="1201"/>
      <c r="AH14" s="60"/>
    </row>
    <row r="15" spans="1:34" ht="16.5" customHeight="1">
      <c r="B15" s="368" t="s">
        <v>285</v>
      </c>
      <c r="C15" s="508">
        <v>15315</v>
      </c>
      <c r="D15" s="166"/>
      <c r="E15" s="508">
        <v>0</v>
      </c>
      <c r="F15" s="167"/>
      <c r="G15" s="905">
        <v>100</v>
      </c>
      <c r="H15" s="508">
        <f>+C15-E15</f>
        <v>15315</v>
      </c>
      <c r="I15" s="906" t="s">
        <v>615</v>
      </c>
      <c r="K15" s="508">
        <v>0</v>
      </c>
      <c r="L15" s="167"/>
      <c r="M15" s="911" t="s">
        <v>284</v>
      </c>
      <c r="O15" s="510">
        <f>+C15-Q15</f>
        <v>15315</v>
      </c>
      <c r="Q15" s="508">
        <v>0</v>
      </c>
      <c r="S15" s="520">
        <f>+K15-U15</f>
        <v>-64617</v>
      </c>
      <c r="T15" s="285"/>
      <c r="U15" s="508">
        <v>64617</v>
      </c>
      <c r="V15" s="60"/>
      <c r="W15" s="490">
        <f t="shared" si="0"/>
        <v>0</v>
      </c>
      <c r="AE15" s="521"/>
      <c r="AF15" s="521"/>
      <c r="AH15" s="60"/>
    </row>
    <row r="16" spans="1:34" ht="16.5" customHeight="1">
      <c r="B16" s="522" t="s">
        <v>131</v>
      </c>
      <c r="C16" s="512">
        <v>44914</v>
      </c>
      <c r="D16" s="166"/>
      <c r="E16" s="512">
        <v>63209</v>
      </c>
      <c r="F16" s="167"/>
      <c r="G16" s="908">
        <f>IF(E16&lt;0,-((C16/E16)-1),(C16/E16)-1)*100</f>
        <v>-28.943663085952952</v>
      </c>
      <c r="H16" s="523">
        <f>+C16-E16</f>
        <v>-18295</v>
      </c>
      <c r="I16" s="868" t="s">
        <v>616</v>
      </c>
      <c r="K16" s="512">
        <v>43817</v>
      </c>
      <c r="L16" s="167"/>
      <c r="M16" s="515" t="s">
        <v>284</v>
      </c>
      <c r="O16" s="515">
        <f>+C16-Q16</f>
        <v>8114</v>
      </c>
      <c r="Q16" s="512">
        <v>36800</v>
      </c>
      <c r="S16" s="524">
        <f>+K16-U16</f>
        <v>43380</v>
      </c>
      <c r="T16" s="285"/>
      <c r="U16" s="512">
        <v>437</v>
      </c>
      <c r="W16" s="490">
        <f t="shared" si="0"/>
        <v>0</v>
      </c>
      <c r="X16" s="1226"/>
      <c r="Y16" s="1226"/>
      <c r="Z16" s="1226"/>
      <c r="AA16" s="1226"/>
      <c r="AB16" s="1226"/>
      <c r="AC16" s="1226"/>
      <c r="AD16" s="1226"/>
      <c r="AE16" s="1226"/>
      <c r="AF16" s="1226"/>
      <c r="AG16" s="1226"/>
      <c r="AH16" s="60"/>
    </row>
    <row r="17" spans="1:34" ht="3.75" customHeight="1">
      <c r="F17" s="167"/>
      <c r="H17" s="167"/>
      <c r="I17" s="821"/>
      <c r="L17" s="167"/>
      <c r="R17" s="56"/>
      <c r="W17" s="490">
        <f t="shared" si="0"/>
        <v>0</v>
      </c>
      <c r="AE17" s="521"/>
      <c r="AF17" s="521"/>
      <c r="AH17" s="60"/>
    </row>
    <row r="18" spans="1:34" s="56" customFormat="1" ht="15.75" customHeight="1">
      <c r="B18" s="516" t="s">
        <v>132</v>
      </c>
      <c r="C18" s="519">
        <f>+C7-C14</f>
        <v>1774580</v>
      </c>
      <c r="D18" s="71"/>
      <c r="E18" s="519">
        <f>+E7-E14</f>
        <v>3090382</v>
      </c>
      <c r="F18" s="71"/>
      <c r="G18" s="518">
        <f>IF(E18&lt;0,-((C18/E18)-1),(C18/E18)-1)*100</f>
        <v>-42.57732539213599</v>
      </c>
      <c r="H18" s="519">
        <f>+C18-E18</f>
        <v>-1315802</v>
      </c>
      <c r="K18" s="519">
        <f>+K7-K14</f>
        <v>1572919</v>
      </c>
      <c r="L18" s="109"/>
      <c r="M18" s="971">
        <f>IF(ISERR(1+(C18-K18)/ABS(K18)),"N/A",1+(C18-K18)/ABS(K18))*100</f>
        <v>112.82081276912544</v>
      </c>
      <c r="O18" s="526">
        <f>+C18-Q18</f>
        <v>1317033</v>
      </c>
      <c r="Q18" s="519">
        <f>+Q7-Q14</f>
        <v>457547</v>
      </c>
      <c r="R18" s="99"/>
      <c r="S18" s="526">
        <f>+K18-U18</f>
        <v>1255155</v>
      </c>
      <c r="T18" s="489"/>
      <c r="U18" s="519">
        <f>+U7-U14</f>
        <v>317764</v>
      </c>
      <c r="V18" s="109"/>
      <c r="W18" s="490">
        <f t="shared" si="0"/>
        <v>0</v>
      </c>
      <c r="AE18" s="521"/>
      <c r="AF18" s="521"/>
      <c r="AH18" s="60"/>
    </row>
    <row r="19" spans="1:34" ht="16.5" customHeight="1">
      <c r="B19" s="527" t="s">
        <v>133</v>
      </c>
      <c r="C19" s="912">
        <f>+C18/C$7</f>
        <v>0.9671742399345109</v>
      </c>
      <c r="D19" s="913"/>
      <c r="E19" s="912">
        <f>+E18/E$7</f>
        <v>0.97995650038321391</v>
      </c>
      <c r="F19" s="913"/>
      <c r="G19" s="914"/>
      <c r="H19" s="912">
        <f>+C19-E19</f>
        <v>-1.2782260448703009E-2</v>
      </c>
      <c r="I19" s="525"/>
      <c r="J19" s="99"/>
      <c r="K19" s="912">
        <f>+K18/K$7</f>
        <v>0.97289786334936568</v>
      </c>
      <c r="L19" s="913"/>
      <c r="M19" s="912"/>
      <c r="N19" s="99"/>
      <c r="O19" s="530">
        <f>+C19-Q19</f>
        <v>4.1615877084124397E-2</v>
      </c>
      <c r="P19" s="99"/>
      <c r="Q19" s="528">
        <f>+Q18/Q$7</f>
        <v>0.92555836285038651</v>
      </c>
      <c r="S19" s="530">
        <f>+K19-U19</f>
        <v>0.1428324014327369</v>
      </c>
      <c r="T19" s="529"/>
      <c r="U19" s="528">
        <f>+U18/U$7</f>
        <v>0.83006546191662878</v>
      </c>
      <c r="W19" s="490">
        <f t="shared" si="0"/>
        <v>0</v>
      </c>
      <c r="AH19" s="60"/>
    </row>
    <row r="20" spans="1:34" ht="4.5" customHeight="1">
      <c r="F20" s="167"/>
      <c r="H20" s="167"/>
      <c r="I20" s="821"/>
      <c r="L20" s="167"/>
      <c r="W20" s="490">
        <f t="shared" si="0"/>
        <v>0</v>
      </c>
      <c r="AH20" s="60"/>
    </row>
    <row r="21" spans="1:34" ht="15" customHeight="1">
      <c r="A21" s="60"/>
      <c r="B21" s="516" t="s">
        <v>286</v>
      </c>
      <c r="C21" s="517">
        <f>SUM(C22:C25)</f>
        <v>133636</v>
      </c>
      <c r="D21" s="71"/>
      <c r="E21" s="517">
        <f>SUM(E22:E25)</f>
        <v>144287</v>
      </c>
      <c r="F21" s="71"/>
      <c r="G21" s="518">
        <f>IF(E21&lt;0,-((C21/E21)-1),(C21/E21)-1)*100</f>
        <v>-7.3818154095656618</v>
      </c>
      <c r="H21" s="517">
        <f>+C21-E21</f>
        <v>-10651</v>
      </c>
      <c r="I21" s="525"/>
      <c r="K21" s="517">
        <f>SUM(K22:K25)</f>
        <v>127390</v>
      </c>
      <c r="L21" s="109"/>
      <c r="M21" s="971">
        <f>IF(ISERR(1+(C21-K21)/ABS(K21)),"N/A",1+(C21-K21)/ABS(K21))*100</f>
        <v>104.90305361488343</v>
      </c>
      <c r="O21" s="526">
        <f>+C21-Q21</f>
        <v>62838</v>
      </c>
      <c r="Q21" s="517">
        <f>SUM(Q22:Q25)</f>
        <v>70798</v>
      </c>
      <c r="S21" s="526">
        <f>+K21-U21</f>
        <v>42842</v>
      </c>
      <c r="T21" s="489"/>
      <c r="U21" s="517">
        <f>SUM(U22:U25)</f>
        <v>84548</v>
      </c>
      <c r="W21" s="490">
        <f t="shared" si="0"/>
        <v>0</v>
      </c>
      <c r="AH21" s="60"/>
    </row>
    <row r="22" spans="1:34" ht="16.5" customHeight="1">
      <c r="B22" s="368" t="s">
        <v>135</v>
      </c>
      <c r="C22" s="508">
        <f>130448-1</f>
        <v>130447</v>
      </c>
      <c r="D22" s="166"/>
      <c r="E22" s="508">
        <v>141265</v>
      </c>
      <c r="F22" s="167"/>
      <c r="G22" s="905">
        <f>IF(E22&lt;0,-((C22/E22)-1),(C22/E22)-1)*100</f>
        <v>-7.6579478285491831</v>
      </c>
      <c r="H22" s="508">
        <f>+C22-E22</f>
        <v>-10818</v>
      </c>
      <c r="I22" s="906" t="s">
        <v>617</v>
      </c>
      <c r="K22" s="508">
        <v>124139</v>
      </c>
      <c r="L22" s="167"/>
      <c r="M22" s="532">
        <f>IF(ISERR(1+(C22-K22)/ABS(K22)),"N/A",1+(C22-K22)/ABS(K22))*100</f>
        <v>105.08140068793853</v>
      </c>
      <c r="O22" s="510">
        <f>+C22-Q22</f>
        <v>61579</v>
      </c>
      <c r="Q22" s="508">
        <v>68868</v>
      </c>
      <c r="S22" s="510">
        <f>+K22-U22</f>
        <v>41646</v>
      </c>
      <c r="T22" s="285"/>
      <c r="U22" s="508">
        <v>82493</v>
      </c>
      <c r="W22" s="490">
        <f t="shared" si="0"/>
        <v>0</v>
      </c>
      <c r="AH22" s="60"/>
    </row>
    <row r="23" spans="1:34" ht="16.5" customHeight="1">
      <c r="B23" s="368" t="s">
        <v>215</v>
      </c>
      <c r="C23" s="508">
        <v>1928</v>
      </c>
      <c r="D23" s="166"/>
      <c r="E23" s="508">
        <v>2116</v>
      </c>
      <c r="F23" s="167"/>
      <c r="G23" s="905">
        <f>IF(E23&lt;0,-((C23/E23)-1),(C23/E23)-1)*100</f>
        <v>-8.8846880907372352</v>
      </c>
      <c r="H23" s="508">
        <f>+C23-E23</f>
        <v>-188</v>
      </c>
      <c r="I23" s="509" t="s">
        <v>287</v>
      </c>
      <c r="K23" s="508">
        <f>1920-1</f>
        <v>1919</v>
      </c>
      <c r="L23" s="167"/>
      <c r="M23" s="532">
        <f>IF(ISERR(1+(C23-K23)/ABS(K23)),"N/A",1+(C23-K23)/ABS(K23))*100</f>
        <v>100.46899426784783</v>
      </c>
      <c r="O23" s="510">
        <f>+C23-Q23</f>
        <v>941</v>
      </c>
      <c r="Q23" s="508">
        <v>987</v>
      </c>
      <c r="S23" s="510">
        <f>+K23-U23</f>
        <v>751</v>
      </c>
      <c r="T23" s="285"/>
      <c r="U23" s="508">
        <v>1168</v>
      </c>
      <c r="W23" s="490">
        <f t="shared" si="0"/>
        <v>0</v>
      </c>
      <c r="AH23" s="60"/>
    </row>
    <row r="24" spans="1:34" ht="14.25" customHeight="1">
      <c r="B24" s="522" t="s">
        <v>137</v>
      </c>
      <c r="C24" s="533">
        <v>1261</v>
      </c>
      <c r="D24" s="166"/>
      <c r="E24" s="533">
        <v>906</v>
      </c>
      <c r="F24" s="167"/>
      <c r="G24" s="908">
        <f>IF(E24&lt;0,-((C24/E24)-1),(C24/E24)-1)*100</f>
        <v>39.183222958057385</v>
      </c>
      <c r="H24" s="533">
        <f>+C24-E24</f>
        <v>355</v>
      </c>
      <c r="I24" s="509" t="s">
        <v>287</v>
      </c>
      <c r="K24" s="533">
        <v>1332</v>
      </c>
      <c r="L24" s="167"/>
      <c r="M24" s="909">
        <f>IF(ISERR(1+(C24-K24)/ABS(K24)),"N/A",1+(C24-K24)/ABS(K24))*100</f>
        <v>94.669669669669659</v>
      </c>
      <c r="O24" s="515">
        <f>+C24-Q24</f>
        <v>318</v>
      </c>
      <c r="Q24" s="533">
        <v>943</v>
      </c>
      <c r="S24" s="524">
        <f>+K24-U24</f>
        <v>445</v>
      </c>
      <c r="T24" s="285"/>
      <c r="U24" s="533">
        <v>887</v>
      </c>
      <c r="W24" s="490">
        <f t="shared" si="0"/>
        <v>0</v>
      </c>
      <c r="AH24" s="60"/>
    </row>
    <row r="25" spans="1:34" ht="12.75" hidden="1" customHeight="1">
      <c r="B25" s="511" t="s">
        <v>216</v>
      </c>
      <c r="C25" s="534">
        <v>0</v>
      </c>
      <c r="D25" s="167"/>
      <c r="E25" s="534">
        <v>0</v>
      </c>
      <c r="F25" s="167"/>
      <c r="G25" s="535" t="e">
        <f>IF(#REF!&lt;0,-((C25/#REF!)-1),(C25/#REF!)-1)*100</f>
        <v>#REF!</v>
      </c>
      <c r="H25" s="167">
        <f>+C25-E25</f>
        <v>0</v>
      </c>
      <c r="I25" s="821"/>
      <c r="K25" s="534"/>
      <c r="L25" s="167"/>
      <c r="M25" s="535" t="e">
        <f>IF(ISERR(1+(C25-K25)/ABS(K25)),"N/A",1+(C25-K25)/ABS(K25))*100</f>
        <v>#VALUE!</v>
      </c>
      <c r="O25" s="534">
        <f>+C25-Q25</f>
        <v>0</v>
      </c>
      <c r="Q25" s="534">
        <v>0</v>
      </c>
      <c r="S25" s="51">
        <f>+K25-U25</f>
        <v>0</v>
      </c>
      <c r="U25" s="534">
        <v>0</v>
      </c>
      <c r="W25" s="490">
        <f t="shared" si="0"/>
        <v>0</v>
      </c>
      <c r="AH25" s="60"/>
    </row>
    <row r="26" spans="1:34" ht="3.75" customHeight="1">
      <c r="F26" s="167"/>
      <c r="H26" s="167"/>
      <c r="I26" s="821"/>
      <c r="L26" s="167"/>
      <c r="W26" s="490">
        <f t="shared" si="0"/>
        <v>0</v>
      </c>
      <c r="AH26" s="60"/>
    </row>
    <row r="27" spans="1:34" ht="15" customHeight="1">
      <c r="B27" s="516" t="s">
        <v>139</v>
      </c>
      <c r="C27" s="517">
        <f>+C28-C29-C30</f>
        <v>-13989</v>
      </c>
      <c r="D27" s="536"/>
      <c r="E27" s="517">
        <f>+E28-E29-E30</f>
        <v>64069</v>
      </c>
      <c r="F27" s="536"/>
      <c r="G27" s="518">
        <f>IF(E27&lt;0,-((C27/E27)-1),(C27/E27)-1)*100</f>
        <v>-121.83427242504175</v>
      </c>
      <c r="H27" s="517">
        <f>(C27-E27)</f>
        <v>-78058</v>
      </c>
      <c r="I27" s="537"/>
      <c r="J27" s="538"/>
      <c r="K27" s="517">
        <f>+K28-K29-K30</f>
        <v>-17142</v>
      </c>
      <c r="L27" s="109"/>
      <c r="M27" s="539">
        <f>IF(ISERR(1+(C27-K27)/ABS(K27)),"N/A",1+(C27-K27)/ABS(K27))*100</f>
        <v>118.39341967098356</v>
      </c>
      <c r="N27" s="538"/>
      <c r="O27" s="526">
        <f>+C27-Q27</f>
        <v>-6885</v>
      </c>
      <c r="Q27" s="517">
        <f>+Q28-Q29-Q30</f>
        <v>-7104</v>
      </c>
      <c r="R27" s="538"/>
      <c r="S27" s="526">
        <f>+K27-U27</f>
        <v>-11162</v>
      </c>
      <c r="T27" s="536"/>
      <c r="U27" s="517">
        <f>+U28-U29-U30</f>
        <v>-5980</v>
      </c>
      <c r="W27" s="490">
        <f>+E27-H27-C27</f>
        <v>156116</v>
      </c>
      <c r="AH27" s="60"/>
    </row>
    <row r="28" spans="1:34" ht="15" customHeight="1">
      <c r="B28" s="540" t="s">
        <v>140</v>
      </c>
      <c r="C28" s="508">
        <v>4154</v>
      </c>
      <c r="D28" s="166"/>
      <c r="E28" s="508">
        <v>76739</v>
      </c>
      <c r="F28" s="167"/>
      <c r="G28" s="905">
        <f>IF(E28&lt;0,-((C28/E28)-1),(C28/E28)-1)*100</f>
        <v>-94.586846323251535</v>
      </c>
      <c r="H28" s="508">
        <f>+C28-E28</f>
        <v>-72585</v>
      </c>
      <c r="I28" s="869" t="s">
        <v>618</v>
      </c>
      <c r="J28" s="538"/>
      <c r="K28" s="508">
        <v>0</v>
      </c>
      <c r="L28" s="167"/>
      <c r="M28" s="542" t="s">
        <v>267</v>
      </c>
      <c r="N28" s="538"/>
      <c r="O28" s="510">
        <f>+C28-Q28</f>
        <v>3351</v>
      </c>
      <c r="Q28" s="508">
        <v>803</v>
      </c>
      <c r="R28" s="538"/>
      <c r="S28" s="510">
        <f>+K28-U28</f>
        <v>0</v>
      </c>
      <c r="T28" s="543"/>
      <c r="U28" s="508">
        <v>0</v>
      </c>
      <c r="W28" s="490">
        <f t="shared" si="0"/>
        <v>0</v>
      </c>
      <c r="AD28" s="165"/>
      <c r="AE28" s="165"/>
      <c r="AH28" s="60"/>
    </row>
    <row r="29" spans="1:34" ht="15" customHeight="1">
      <c r="B29" s="540" t="s">
        <v>141</v>
      </c>
      <c r="C29" s="508">
        <v>18143</v>
      </c>
      <c r="D29" s="166"/>
      <c r="E29" s="508">
        <v>12670</v>
      </c>
      <c r="F29" s="167"/>
      <c r="G29" s="905">
        <f>IF(E29&lt;0,-((C29/E29)-1),(C29/E29)-1)*100</f>
        <v>43.196527229676398</v>
      </c>
      <c r="H29" s="508">
        <f>+C29-E29</f>
        <v>5473</v>
      </c>
      <c r="I29" s="869" t="s">
        <v>619</v>
      </c>
      <c r="J29" s="538"/>
      <c r="K29" s="508">
        <v>17142</v>
      </c>
      <c r="L29" s="167"/>
      <c r="M29" s="542">
        <f>IF(ISERR(1+(C29-K29)/ABS(K29)),"N/A",1+(C29-K29)/ABS(K29))*100</f>
        <v>105.83945863959865</v>
      </c>
      <c r="N29" s="538"/>
      <c r="O29" s="510">
        <f>+C29-Q29</f>
        <v>10236</v>
      </c>
      <c r="Q29" s="508">
        <v>7907</v>
      </c>
      <c r="R29" s="538"/>
      <c r="S29" s="510">
        <f>+K29-U29</f>
        <v>11162</v>
      </c>
      <c r="T29" s="543"/>
      <c r="U29" s="508">
        <v>5980</v>
      </c>
      <c r="W29" s="490">
        <f t="shared" si="0"/>
        <v>0</v>
      </c>
      <c r="X29" s="1201"/>
      <c r="Y29" s="1201"/>
      <c r="Z29" s="1201"/>
      <c r="AA29" s="1201"/>
      <c r="AB29" s="1201"/>
      <c r="AC29" s="1201"/>
      <c r="AD29" s="165"/>
      <c r="AE29" s="165"/>
      <c r="AH29" s="60"/>
    </row>
    <row r="30" spans="1:34" s="323" customFormat="1" ht="14.5" hidden="1">
      <c r="B30" s="511" t="s">
        <v>142</v>
      </c>
      <c r="C30" s="523">
        <v>0</v>
      </c>
      <c r="D30" s="166"/>
      <c r="E30" s="523">
        <v>0</v>
      </c>
      <c r="F30" s="544"/>
      <c r="G30" s="908">
        <v>0</v>
      </c>
      <c r="H30" s="523">
        <f>+C30-E30</f>
        <v>0</v>
      </c>
      <c r="I30" s="822"/>
      <c r="J30" s="538"/>
      <c r="K30" s="523">
        <v>0</v>
      </c>
      <c r="L30" s="167"/>
      <c r="M30" s="909" t="s">
        <v>267</v>
      </c>
      <c r="N30" s="538"/>
      <c r="O30" s="515">
        <f>+C30-Q30</f>
        <v>0</v>
      </c>
      <c r="P30" s="51"/>
      <c r="Q30" s="523">
        <v>0</v>
      </c>
      <c r="R30" s="51"/>
      <c r="S30" s="523">
        <v>0</v>
      </c>
      <c r="T30" s="545"/>
      <c r="U30" s="523">
        <v>0</v>
      </c>
      <c r="W30" s="490">
        <f t="shared" si="0"/>
        <v>0</v>
      </c>
      <c r="X30" s="1201"/>
      <c r="Y30" s="1201"/>
      <c r="Z30" s="1201"/>
      <c r="AA30" s="1201"/>
      <c r="AB30" s="1201"/>
      <c r="AC30" s="1201"/>
      <c r="AH30" s="60"/>
    </row>
    <row r="31" spans="1:34" ht="3" customHeight="1">
      <c r="B31" s="546"/>
      <c r="F31" s="167"/>
      <c r="H31" s="167"/>
      <c r="I31" s="821"/>
      <c r="L31" s="167"/>
      <c r="W31" s="490">
        <f t="shared" si="0"/>
        <v>0</v>
      </c>
      <c r="AH31" s="60"/>
    </row>
    <row r="32" spans="1:34" s="56" customFormat="1" ht="16.5" customHeight="1">
      <c r="B32" s="516" t="s">
        <v>143</v>
      </c>
      <c r="C32" s="519">
        <f>+C18-C21+C27</f>
        <v>1626955</v>
      </c>
      <c r="D32" s="71"/>
      <c r="E32" s="519">
        <f>+E18-E21+E27</f>
        <v>3010164</v>
      </c>
      <c r="F32" s="71"/>
      <c r="G32" s="518">
        <f>IF(E32&lt;0,-((C32/E32)-1),(C32/E32)-1)*100</f>
        <v>-45.951283717432013</v>
      </c>
      <c r="H32" s="519">
        <f>(+C32-E32)</f>
        <v>-1383209</v>
      </c>
      <c r="I32" s="525"/>
      <c r="J32" s="547"/>
      <c r="K32" s="519">
        <f>+K18-K21+K27</f>
        <v>1428387</v>
      </c>
      <c r="L32" s="109"/>
      <c r="M32" s="971">
        <f>IF(ISERR(1+(C32-K32)/ABS(K32)),"N/A",1+(C32-K32)/ABS(K32))*100</f>
        <v>113.90155469071057</v>
      </c>
      <c r="N32" s="547"/>
      <c r="O32" s="526">
        <f>+C32-Q32</f>
        <v>1247310</v>
      </c>
      <c r="Q32" s="519">
        <f>+Q18-Q21+Q27</f>
        <v>379645</v>
      </c>
      <c r="R32" s="548"/>
      <c r="S32" s="526">
        <f>+K32-U32</f>
        <v>1201151</v>
      </c>
      <c r="T32" s="489"/>
      <c r="U32" s="519">
        <f>+U18-U21+U27</f>
        <v>227236</v>
      </c>
      <c r="W32" s="490">
        <f t="shared" si="0"/>
        <v>0</v>
      </c>
      <c r="X32" s="51"/>
      <c r="Y32" s="1201"/>
      <c r="Z32" s="1201"/>
      <c r="AA32" s="1201"/>
      <c r="AB32" s="1201"/>
      <c r="AC32" s="1201"/>
      <c r="AD32" s="1201"/>
      <c r="AE32" s="1201"/>
      <c r="AF32" s="1201"/>
      <c r="AH32" s="60"/>
    </row>
    <row r="33" spans="1:34" s="549" customFormat="1" ht="17.25" hidden="1" customHeight="1">
      <c r="B33" s="550" t="s">
        <v>35</v>
      </c>
      <c r="C33" s="551">
        <v>149.19999999999999</v>
      </c>
      <c r="D33" s="495"/>
      <c r="E33" s="551">
        <v>149.19999999999999</v>
      </c>
      <c r="F33" s="495"/>
      <c r="G33" s="551" t="e">
        <f>IF(#REF!&lt;0,-((C33/#REF!)-1),(C33/#REF!)-1)*100</f>
        <v>#REF!</v>
      </c>
      <c r="H33" s="551">
        <f>+C33-E33</f>
        <v>0</v>
      </c>
      <c r="I33" s="823"/>
      <c r="J33" s="548"/>
      <c r="K33" s="551">
        <v>149.19999999999999</v>
      </c>
      <c r="M33" s="552">
        <f>IF(ISERR(1+(C33-K33)/ABS(K33)),"N/A",1+(C33-K33)/ABS(K33))*100</f>
        <v>100</v>
      </c>
      <c r="N33" s="548"/>
      <c r="O33" s="553">
        <f>+C33-Q33</f>
        <v>0</v>
      </c>
      <c r="Q33" s="551">
        <v>149.19999999999999</v>
      </c>
      <c r="R33" s="554"/>
      <c r="S33" s="553">
        <f>+K33-U33</f>
        <v>0</v>
      </c>
      <c r="T33" s="501"/>
      <c r="U33" s="551">
        <v>149.19999999999999</v>
      </c>
      <c r="W33" s="490">
        <f t="shared" si="0"/>
        <v>0</v>
      </c>
      <c r="X33" s="51"/>
      <c r="Y33" s="51"/>
      <c r="Z33" s="51"/>
      <c r="AA33" s="51"/>
      <c r="AB33" s="51"/>
      <c r="AH33" s="60"/>
    </row>
    <row r="34" spans="1:34" ht="16.5" customHeight="1">
      <c r="B34" s="527" t="s">
        <v>144</v>
      </c>
      <c r="C34" s="916">
        <f>+C32/C$7</f>
        <v>0.88671627400999231</v>
      </c>
      <c r="D34" s="913"/>
      <c r="E34" s="916">
        <f>+E32/E$7</f>
        <v>0.9545194668554039</v>
      </c>
      <c r="F34" s="913"/>
      <c r="G34" s="917"/>
      <c r="H34" s="916">
        <f>+C34-E34</f>
        <v>-6.7803192845411586E-2</v>
      </c>
      <c r="I34" s="918"/>
      <c r="J34" s="554"/>
      <c r="K34" s="916">
        <f>+K32/K$7</f>
        <v>0.88350046018644979</v>
      </c>
      <c r="L34" s="913"/>
      <c r="M34" s="916"/>
      <c r="N34" s="554"/>
      <c r="O34" s="530">
        <f>+C34-Q34</f>
        <v>0.11874357467126873</v>
      </c>
      <c r="P34" s="99"/>
      <c r="Q34" s="555">
        <f>+Q32/Q$7</f>
        <v>0.76797269933872359</v>
      </c>
      <c r="S34" s="530">
        <f>+K34-U34</f>
        <v>0.28991290683211435</v>
      </c>
      <c r="T34" s="529"/>
      <c r="U34" s="555">
        <f>+U32/U$7</f>
        <v>0.59358755335433544</v>
      </c>
      <c r="W34" s="490">
        <f t="shared" si="0"/>
        <v>0</v>
      </c>
      <c r="AH34" s="60"/>
    </row>
    <row r="35" spans="1:34" ht="5.25" customHeight="1">
      <c r="B35" s="503"/>
      <c r="C35" s="556"/>
      <c r="D35" s="167"/>
      <c r="E35" s="556"/>
      <c r="F35" s="167"/>
      <c r="G35" s="919"/>
      <c r="H35" s="167"/>
      <c r="I35" s="821"/>
      <c r="K35" s="556"/>
      <c r="L35" s="109"/>
      <c r="M35" s="972"/>
      <c r="O35" s="557"/>
      <c r="Q35" s="556"/>
      <c r="R35" s="56"/>
      <c r="U35" s="556"/>
      <c r="W35" s="490">
        <f t="shared" si="0"/>
        <v>0</v>
      </c>
      <c r="AH35" s="60"/>
    </row>
    <row r="36" spans="1:34" s="56" customFormat="1" ht="16.5" customHeight="1">
      <c r="B36" s="988" t="s">
        <v>145</v>
      </c>
      <c r="C36" s="519">
        <f>+C32+C23+C25-C30</f>
        <v>1628883</v>
      </c>
      <c r="D36" s="71"/>
      <c r="E36" s="519">
        <f>+E32+E23+E25-E30</f>
        <v>3012280</v>
      </c>
      <c r="F36" s="71"/>
      <c r="G36" s="518">
        <f>IF(E36&lt;0,-((C36/E36)-1),(C36/E36)-1)*100</f>
        <v>-45.925245993068373</v>
      </c>
      <c r="H36" s="519">
        <f>(+C36-E36)</f>
        <v>-1383397</v>
      </c>
      <c r="I36" s="525"/>
      <c r="K36" s="519">
        <f>+K32+K23+K25-K30</f>
        <v>1430306</v>
      </c>
      <c r="L36" s="109"/>
      <c r="M36" s="971">
        <f>IF(ISERR(1+(C36-K36)/ABS(K36)),"N/A",1+(C36-K36)/ABS(K36))*100</f>
        <v>113.88353261469923</v>
      </c>
      <c r="O36" s="824">
        <f>+O32+O23+O25-O30</f>
        <v>1248251</v>
      </c>
      <c r="Q36" s="519">
        <f>+Q32+Q23+Q25-Q30</f>
        <v>380632</v>
      </c>
      <c r="R36" s="549"/>
      <c r="S36" s="526">
        <f>+K36-U36</f>
        <v>1201902</v>
      </c>
      <c r="T36" s="489"/>
      <c r="U36" s="519">
        <f>+U32+U23+U25-U30</f>
        <v>228404</v>
      </c>
      <c r="W36" s="490">
        <f t="shared" si="0"/>
        <v>0</v>
      </c>
      <c r="X36" s="51"/>
      <c r="Y36" s="51"/>
      <c r="Z36" s="51"/>
      <c r="AA36" s="51"/>
      <c r="AB36" s="51"/>
      <c r="AH36" s="60"/>
    </row>
    <row r="37" spans="1:34" s="549" customFormat="1" ht="17.25" hidden="1" customHeight="1">
      <c r="B37" s="989" t="s">
        <v>35</v>
      </c>
      <c r="C37" s="558">
        <v>150</v>
      </c>
      <c r="D37" s="495"/>
      <c r="E37" s="558">
        <v>150</v>
      </c>
      <c r="F37" s="495"/>
      <c r="G37" s="551" t="e">
        <f>IF(#REF!&lt;0,-((C37/#REF!)-1),(C37/#REF!)-1)*100</f>
        <v>#REF!</v>
      </c>
      <c r="H37" s="559">
        <f>+C37-E37</f>
        <v>0</v>
      </c>
      <c r="I37" s="825"/>
      <c r="K37" s="558">
        <v>150</v>
      </c>
      <c r="M37" s="552">
        <f>IF(ISERR(1+(C37-K37)/ABS(K37)),"N/A",1+(C37-K37)/ABS(K37))*100</f>
        <v>100</v>
      </c>
      <c r="O37" s="560">
        <f>+C37-Q37</f>
        <v>0</v>
      </c>
      <c r="Q37" s="558">
        <v>150</v>
      </c>
      <c r="R37" s="99"/>
      <c r="S37" s="553">
        <f>+K37-U37</f>
        <v>0</v>
      </c>
      <c r="T37" s="501"/>
      <c r="U37" s="558">
        <v>150</v>
      </c>
      <c r="W37" s="490">
        <f t="shared" si="0"/>
        <v>0</v>
      </c>
      <c r="X37" s="51"/>
      <c r="Y37" s="51"/>
      <c r="Z37" s="51"/>
      <c r="AA37" s="51"/>
      <c r="AB37" s="51"/>
      <c r="AH37" s="60"/>
    </row>
    <row r="38" spans="1:34" s="77" customFormat="1" ht="16.5" customHeight="1">
      <c r="B38" s="990" t="s">
        <v>146</v>
      </c>
      <c r="C38" s="920">
        <f>+C36/C$7</f>
        <v>0.88776706458274401</v>
      </c>
      <c r="D38" s="913"/>
      <c r="E38" s="920">
        <f>+E36/E$7</f>
        <v>0.9551904479686808</v>
      </c>
      <c r="F38" s="913"/>
      <c r="G38" s="917"/>
      <c r="H38" s="921">
        <f>+C38-E38</f>
        <v>-6.7423383385936786E-2</v>
      </c>
      <c r="I38" s="922"/>
      <c r="J38" s="99"/>
      <c r="K38" s="920">
        <f>+K36/K$7</f>
        <v>0.88468741959107733</v>
      </c>
      <c r="L38" s="562"/>
      <c r="M38" s="973"/>
      <c r="N38" s="99"/>
      <c r="O38" s="561">
        <f>+C38-Q38</f>
        <v>0.11779779198677398</v>
      </c>
      <c r="Q38" s="366">
        <f>+Q36/Q$7</f>
        <v>0.76996927259597003</v>
      </c>
      <c r="R38" s="563"/>
      <c r="S38" s="530">
        <f>+K38-U38</f>
        <v>0.28804880803153732</v>
      </c>
      <c r="T38" s="529"/>
      <c r="U38" s="366">
        <f>+U36/U$7</f>
        <v>0.59663861155954001</v>
      </c>
      <c r="W38" s="490">
        <f t="shared" si="0"/>
        <v>0</v>
      </c>
      <c r="X38" s="51"/>
      <c r="Y38" s="51"/>
      <c r="Z38" s="51"/>
      <c r="AA38" s="51"/>
      <c r="AB38" s="51"/>
      <c r="AH38" s="60"/>
    </row>
    <row r="39" spans="1:34" s="563" customFormat="1" ht="4.5" customHeight="1">
      <c r="I39" s="564"/>
      <c r="R39" s="51"/>
      <c r="W39" s="490">
        <f t="shared" si="0"/>
        <v>0</v>
      </c>
      <c r="X39" s="51"/>
      <c r="Y39" s="51"/>
      <c r="Z39" s="51"/>
      <c r="AA39" s="51"/>
      <c r="AB39" s="51"/>
      <c r="AH39" s="60"/>
    </row>
    <row r="40" spans="1:34" ht="29.25" hidden="1" customHeight="1" thickTop="1" thickBot="1">
      <c r="C40" s="566" t="str">
        <f>+C5</f>
        <v>Sep.25</v>
      </c>
      <c r="D40" s="566"/>
      <c r="E40" s="565" t="str">
        <f>+E5</f>
        <v>Sep.24 (re presentado)</v>
      </c>
      <c r="F40" s="566"/>
      <c r="G40" s="8" t="s">
        <v>288</v>
      </c>
      <c r="H40" s="566" t="e">
        <f t="shared" ref="H40:H45" si="1">+C40-E40</f>
        <v>#VALUE!</v>
      </c>
      <c r="I40" s="826"/>
      <c r="K40" s="566" t="str">
        <f>+K5</f>
        <v>Ppto Sep.25</v>
      </c>
      <c r="L40" s="8" t="s">
        <v>255</v>
      </c>
      <c r="M40" s="8"/>
      <c r="O40" s="131" t="s">
        <v>282</v>
      </c>
      <c r="Q40" s="565" t="str">
        <f>+Q5</f>
        <v>May.23</v>
      </c>
      <c r="S40" s="7" t="s">
        <v>258</v>
      </c>
      <c r="T40" s="8"/>
      <c r="U40" s="565" t="str">
        <f>+U5</f>
        <v>Ppto May. 23</v>
      </c>
      <c r="W40" s="490" t="e">
        <f t="shared" si="0"/>
        <v>#VALUE!</v>
      </c>
      <c r="AH40" s="60"/>
    </row>
    <row r="41" spans="1:34" ht="4.5" hidden="1" customHeight="1" thickTop="1">
      <c r="I41" s="827"/>
      <c r="Q41" s="480"/>
      <c r="R41" s="56"/>
      <c r="U41" s="480"/>
      <c r="W41" s="490">
        <f t="shared" si="0"/>
        <v>0</v>
      </c>
      <c r="AH41" s="60"/>
    </row>
    <row r="42" spans="1:34" s="56" customFormat="1" ht="16.5" hidden="1" customHeight="1">
      <c r="B42" s="516" t="s">
        <v>145</v>
      </c>
      <c r="C42" s="531">
        <f>+C36</f>
        <v>1628883</v>
      </c>
      <c r="D42" s="71"/>
      <c r="E42" s="531">
        <f>+E36</f>
        <v>3012280</v>
      </c>
      <c r="F42" s="71"/>
      <c r="G42" s="567">
        <f>IF(E36&lt;0,-((C36/E36)-1),(C36/E36)-1)*100</f>
        <v>-45.925245993068373</v>
      </c>
      <c r="H42" s="531">
        <f t="shared" si="1"/>
        <v>-1383397</v>
      </c>
      <c r="I42" s="991"/>
      <c r="K42" s="531">
        <f>+K36</f>
        <v>1430306</v>
      </c>
      <c r="L42" s="109"/>
      <c r="M42" s="971">
        <f>IF(ISERR(1+(C42-K42)/ABS(K42)),"N/A",1+(C42-K42)/ABS(K42))*100</f>
        <v>113.88353261469923</v>
      </c>
      <c r="O42" s="526">
        <f>+C42-Q42</f>
        <v>1248251</v>
      </c>
      <c r="Q42" s="531">
        <f>+Q36</f>
        <v>380632</v>
      </c>
      <c r="R42" s="549"/>
      <c r="S42" s="526">
        <f>+K42-U42</f>
        <v>1201902</v>
      </c>
      <c r="T42" s="489"/>
      <c r="U42" s="531">
        <f>+U36</f>
        <v>228404</v>
      </c>
      <c r="W42" s="490">
        <f t="shared" si="0"/>
        <v>0</v>
      </c>
      <c r="X42" s="51"/>
      <c r="Y42" s="51"/>
      <c r="Z42" s="51"/>
      <c r="AA42" s="51"/>
      <c r="AB42" s="51"/>
      <c r="AH42" s="60"/>
    </row>
    <row r="43" spans="1:34" s="549" customFormat="1" ht="17.25" hidden="1" customHeight="1">
      <c r="B43" s="550" t="s">
        <v>35</v>
      </c>
      <c r="C43" s="551">
        <f>+C37</f>
        <v>150</v>
      </c>
      <c r="D43" s="176"/>
      <c r="E43" s="551">
        <f>+E37</f>
        <v>150</v>
      </c>
      <c r="F43" s="176"/>
      <c r="G43" s="568" t="e">
        <f>+G37</f>
        <v>#REF!</v>
      </c>
      <c r="H43" s="992">
        <f t="shared" si="1"/>
        <v>0</v>
      </c>
      <c r="I43" s="993"/>
      <c r="K43" s="551">
        <f>+K37</f>
        <v>150</v>
      </c>
      <c r="M43" s="552">
        <f>+M37</f>
        <v>100</v>
      </c>
      <c r="O43" s="568">
        <f>+C43-Q43</f>
        <v>0</v>
      </c>
      <c r="Q43" s="551">
        <f>+Q37</f>
        <v>150</v>
      </c>
      <c r="R43" s="56"/>
      <c r="S43" s="553">
        <f>+K43-U43</f>
        <v>0</v>
      </c>
      <c r="T43" s="501"/>
      <c r="U43" s="551">
        <f>+U37</f>
        <v>150</v>
      </c>
      <c r="W43" s="490">
        <f t="shared" si="0"/>
        <v>0</v>
      </c>
      <c r="X43" s="51"/>
      <c r="Y43" s="51"/>
      <c r="Z43" s="51"/>
      <c r="AA43" s="51"/>
      <c r="AB43" s="51"/>
      <c r="AH43" s="60"/>
    </row>
    <row r="44" spans="1:34" s="56" customFormat="1" ht="16.5" hidden="1" customHeight="1">
      <c r="B44" s="569" t="s">
        <v>146</v>
      </c>
      <c r="C44" s="923">
        <f>+C42/C$7</f>
        <v>0.88776706458274401</v>
      </c>
      <c r="D44" s="924"/>
      <c r="E44" s="923">
        <f>+E42/E$7</f>
        <v>0.9551904479686808</v>
      </c>
      <c r="F44" s="924"/>
      <c r="G44" s="925">
        <f>+G42/G$7</f>
        <v>1.0982060904419872</v>
      </c>
      <c r="H44" s="994">
        <f t="shared" si="1"/>
        <v>-6.7423383385936786E-2</v>
      </c>
      <c r="I44" s="995"/>
      <c r="K44" s="923">
        <f>+K42/K$7</f>
        <v>0.88468741959107733</v>
      </c>
      <c r="L44" s="924"/>
      <c r="M44" s="974"/>
      <c r="O44" s="571">
        <f>+C44-Q44</f>
        <v>0.11779779198677398</v>
      </c>
      <c r="Q44" s="570">
        <f>+Q42/Q$7</f>
        <v>0.76996927259597003</v>
      </c>
      <c r="R44" s="51"/>
      <c r="S44" s="572">
        <f>+K44-U44</f>
        <v>0.28804880803153732</v>
      </c>
      <c r="T44" s="573"/>
      <c r="U44" s="570">
        <f>+U42/U$7</f>
        <v>0.59663861155954001</v>
      </c>
      <c r="W44" s="490">
        <f t="shared" si="0"/>
        <v>0</v>
      </c>
      <c r="X44" s="51"/>
      <c r="Y44" s="51"/>
      <c r="Z44" s="51"/>
      <c r="AA44" s="51"/>
      <c r="AB44" s="51"/>
      <c r="AH44" s="60"/>
    </row>
    <row r="45" spans="1:34" ht="0.75" customHeight="1">
      <c r="C45" s="167"/>
      <c r="E45" s="167"/>
      <c r="F45" s="167"/>
      <c r="G45" s="167"/>
      <c r="H45" s="167">
        <f t="shared" si="1"/>
        <v>0</v>
      </c>
      <c r="I45" s="828"/>
      <c r="K45" s="167"/>
      <c r="L45" s="167"/>
      <c r="Q45" s="167"/>
      <c r="R45" s="56"/>
      <c r="U45" s="167"/>
      <c r="W45" s="490">
        <f t="shared" si="0"/>
        <v>0</v>
      </c>
      <c r="AH45" s="60"/>
    </row>
    <row r="46" spans="1:34" ht="16.5" customHeight="1">
      <c r="B46" s="516" t="s">
        <v>217</v>
      </c>
      <c r="C46" s="574">
        <f>SUM(C47:C51)</f>
        <v>-234222</v>
      </c>
      <c r="D46" s="536"/>
      <c r="E46" s="574">
        <f>SUM(E47:E51)</f>
        <v>-87078</v>
      </c>
      <c r="F46" s="536"/>
      <c r="G46" s="518">
        <f>-IF(E46&lt;0,-((C46/E46)-1),(C46/E46)-1)*100</f>
        <v>168.97953558878248</v>
      </c>
      <c r="H46" s="519">
        <f>-(+C46-E46)</f>
        <v>147144</v>
      </c>
      <c r="I46" s="829"/>
      <c r="J46" s="56"/>
      <c r="K46" s="574">
        <f>SUM(K47:K51)</f>
        <v>-110681</v>
      </c>
      <c r="L46" s="109"/>
      <c r="M46" s="971">
        <f>IF(ISERR(1+(C46-K46)/ABS(K46)),"N/A",1+(C46-K46)/ABS(K46))*100</f>
        <v>-11.618977060200031</v>
      </c>
      <c r="N46" s="56"/>
      <c r="O46" s="575">
        <f>+C46-Q46</f>
        <v>-202337</v>
      </c>
      <c r="P46" s="536"/>
      <c r="Q46" s="574">
        <f>SUM(Q47:Q51)</f>
        <v>-31885</v>
      </c>
      <c r="R46" s="549"/>
      <c r="S46" s="526">
        <f>+K46-U46</f>
        <v>-40801</v>
      </c>
      <c r="T46" s="536"/>
      <c r="U46" s="574">
        <f>SUM(U47:U51)</f>
        <v>-69880</v>
      </c>
      <c r="W46" s="490">
        <f>+E46-H46-C46</f>
        <v>0</v>
      </c>
      <c r="AH46" s="60"/>
    </row>
    <row r="47" spans="1:34" ht="16.5" customHeight="1">
      <c r="A47" s="60"/>
      <c r="B47" s="576" t="s">
        <v>148</v>
      </c>
      <c r="C47" s="541">
        <v>-216849</v>
      </c>
      <c r="D47" s="577"/>
      <c r="E47" s="541">
        <v>-89942</v>
      </c>
      <c r="F47" s="166"/>
      <c r="G47" s="905">
        <f>-IF(E47&lt;0,-((C47/E47)-1),(C47/E47)-1)*100</f>
        <v>141.09870805630297</v>
      </c>
      <c r="H47" s="541">
        <f>+-(C47-E47)</f>
        <v>126907</v>
      </c>
      <c r="I47" s="869" t="s">
        <v>620</v>
      </c>
      <c r="J47" s="549"/>
      <c r="K47" s="541">
        <v>-110681</v>
      </c>
      <c r="L47" s="167"/>
      <c r="M47" s="907">
        <f>IF(ISERR(1+(C47-K47)/ABS(K47)),"N/A",1+(C47-K47)/ABS(K47))*100</f>
        <v>4.0774839403330265</v>
      </c>
      <c r="N47" s="549"/>
      <c r="O47" s="274">
        <f>+C47-Q47</f>
        <v>-187105</v>
      </c>
      <c r="P47" s="280"/>
      <c r="Q47" s="541">
        <v>-29744</v>
      </c>
      <c r="R47" s="56"/>
      <c r="S47" s="510">
        <f>+K47-U47</f>
        <v>-40801</v>
      </c>
      <c r="T47" s="165"/>
      <c r="U47" s="541">
        <v>-69880</v>
      </c>
      <c r="W47" s="490">
        <f>+E47-H47-C47</f>
        <v>0</v>
      </c>
      <c r="AH47" s="60"/>
    </row>
    <row r="48" spans="1:34" ht="15.75" hidden="1" customHeight="1">
      <c r="B48" s="576" t="s">
        <v>218</v>
      </c>
      <c r="C48" s="578"/>
      <c r="D48" s="119"/>
      <c r="E48" s="578"/>
      <c r="F48" s="167"/>
      <c r="G48" s="996" t="e">
        <f>IF(#REF!&lt;0,-((C48/#REF!)-1),(C48/#REF!)-1)*100</f>
        <v>#REF!</v>
      </c>
      <c r="H48" s="997">
        <f>+C48-E48</f>
        <v>0</v>
      </c>
      <c r="I48" s="870" t="str">
        <f>+IFERROR(IF((AND((ABS(G48)&gt;8%),(ABS(H48)&gt;5000))),"Explicar","No explicar"),"N/A")</f>
        <v>N/A</v>
      </c>
      <c r="J48" s="56"/>
      <c r="K48" s="578"/>
      <c r="L48" s="167"/>
      <c r="M48" s="907"/>
      <c r="N48" s="56"/>
      <c r="O48" s="579">
        <f>+C48-Q48</f>
        <v>0</v>
      </c>
      <c r="Q48" s="578">
        <v>0</v>
      </c>
      <c r="R48" s="56"/>
      <c r="S48" s="538">
        <f>+K48-U48</f>
        <v>0</v>
      </c>
      <c r="U48" s="578"/>
      <c r="W48" s="490">
        <f t="shared" si="0"/>
        <v>0</v>
      </c>
      <c r="AH48" s="60"/>
    </row>
    <row r="49" spans="1:34" ht="12.75" customHeight="1">
      <c r="B49" s="576" t="s">
        <v>149</v>
      </c>
      <c r="C49" s="541">
        <f>-17374+1</f>
        <v>-17373</v>
      </c>
      <c r="D49" s="577"/>
      <c r="E49" s="541">
        <f>2864</f>
        <v>2864</v>
      </c>
      <c r="F49" s="166"/>
      <c r="G49" s="580">
        <f>IF(E49&lt;0,-((C49/E49)-1),(C49/E49)-1)*100</f>
        <v>-706.59916201117323</v>
      </c>
      <c r="H49" s="541">
        <f>(+C49-E49)</f>
        <v>-20237</v>
      </c>
      <c r="I49" s="869" t="s">
        <v>621</v>
      </c>
      <c r="J49" s="56"/>
      <c r="K49" s="541">
        <v>0</v>
      </c>
      <c r="L49" s="167"/>
      <c r="M49" s="911" t="s">
        <v>267</v>
      </c>
      <c r="N49" s="56"/>
      <c r="O49" s="510">
        <f>+C49-Q49</f>
        <v>-15232</v>
      </c>
      <c r="Q49" s="541">
        <v>-2141</v>
      </c>
      <c r="R49" s="549"/>
      <c r="S49" s="520">
        <f>+K49-U49</f>
        <v>0</v>
      </c>
      <c r="T49" s="285"/>
      <c r="U49" s="541">
        <v>0</v>
      </c>
      <c r="W49" s="490">
        <f t="shared" si="0"/>
        <v>0</v>
      </c>
      <c r="AH49" s="60"/>
    </row>
    <row r="50" spans="1:34" ht="15.75" hidden="1" customHeight="1">
      <c r="B50" s="576" t="s">
        <v>219</v>
      </c>
      <c r="C50" s="1140">
        <v>0</v>
      </c>
      <c r="D50" s="119"/>
      <c r="E50" s="578">
        <v>0</v>
      </c>
      <c r="F50" s="119"/>
      <c r="G50" s="926"/>
      <c r="H50" s="581">
        <f>+C50-E50</f>
        <v>0</v>
      </c>
      <c r="I50" s="830"/>
      <c r="J50" s="549"/>
      <c r="K50" s="1141">
        <v>0</v>
      </c>
      <c r="L50" s="167"/>
      <c r="M50" s="907"/>
      <c r="N50" s="549"/>
      <c r="O50" s="579">
        <f>+C50-Q50</f>
        <v>0</v>
      </c>
      <c r="Q50" s="578">
        <v>0</v>
      </c>
      <c r="R50" s="56"/>
      <c r="S50" s="538">
        <f>+K50-U50</f>
        <v>0</v>
      </c>
      <c r="U50" s="578">
        <v>0</v>
      </c>
      <c r="W50" s="490">
        <f t="shared" si="0"/>
        <v>0</v>
      </c>
      <c r="AH50" s="60"/>
    </row>
    <row r="51" spans="1:34" ht="5.25" customHeight="1">
      <c r="B51" s="582"/>
      <c r="C51" s="583"/>
      <c r="D51" s="167"/>
      <c r="E51" s="583"/>
      <c r="F51" s="119"/>
      <c r="G51" s="927"/>
      <c r="H51" s="584"/>
      <c r="I51" s="831"/>
      <c r="J51" s="56"/>
      <c r="K51" s="583"/>
      <c r="L51" s="167"/>
      <c r="M51" s="975"/>
      <c r="N51" s="56"/>
      <c r="O51" s="354"/>
      <c r="Q51" s="583"/>
      <c r="R51" s="56"/>
      <c r="S51" s="585"/>
      <c r="U51" s="583"/>
      <c r="W51" s="490">
        <f t="shared" si="0"/>
        <v>0</v>
      </c>
      <c r="AH51" s="60"/>
    </row>
    <row r="52" spans="1:34" ht="3.75" customHeight="1">
      <c r="C52" s="167"/>
      <c r="E52" s="167"/>
      <c r="F52" s="167"/>
      <c r="G52" s="167"/>
      <c r="H52" s="167"/>
      <c r="I52" s="821"/>
      <c r="J52" s="56"/>
      <c r="K52" s="167"/>
      <c r="L52" s="167"/>
      <c r="N52" s="56"/>
      <c r="Q52" s="167"/>
      <c r="R52" s="549"/>
      <c r="U52" s="167"/>
      <c r="W52" s="490">
        <f t="shared" si="0"/>
        <v>0</v>
      </c>
      <c r="AH52" s="60"/>
    </row>
    <row r="53" spans="1:34" ht="16.5" customHeight="1">
      <c r="B53" s="586" t="s">
        <v>150</v>
      </c>
      <c r="C53" s="587">
        <f>+C32+C46</f>
        <v>1392733</v>
      </c>
      <c r="D53" s="71"/>
      <c r="E53" s="587">
        <f>+E32+E46</f>
        <v>2923086</v>
      </c>
      <c r="F53" s="71"/>
      <c r="G53" s="483">
        <f>IF(E53&lt;0,-((C53/E53)-1),(C53/E53)-1)*100</f>
        <v>-52.354019005940991</v>
      </c>
      <c r="H53" s="587">
        <f>(+C53-E53)</f>
        <v>-1530353</v>
      </c>
      <c r="I53" s="588"/>
      <c r="J53" s="549"/>
      <c r="K53" s="587">
        <f>+K32+K46</f>
        <v>1317706</v>
      </c>
      <c r="L53" s="109"/>
      <c r="M53" s="589">
        <f>IF(ISERR(1+(C53-K53)/ABS(K53)),"N/A",1+(C53-K53)/ABS(K53))*100</f>
        <v>105.69375869882964</v>
      </c>
      <c r="N53" s="549"/>
      <c r="O53" s="832">
        <f>+O32+O46</f>
        <v>1044973</v>
      </c>
      <c r="Q53" s="587">
        <f>+Q32+Q46</f>
        <v>347760</v>
      </c>
      <c r="R53" s="56"/>
      <c r="S53" s="488">
        <f>+K53-U53</f>
        <v>1160350</v>
      </c>
      <c r="T53" s="536"/>
      <c r="U53" s="587">
        <f>+U32+U46</f>
        <v>157356</v>
      </c>
      <c r="W53" s="490">
        <f t="shared" si="0"/>
        <v>0</v>
      </c>
      <c r="AH53" s="60"/>
    </row>
    <row r="54" spans="1:34" s="323" customFormat="1" ht="5.25" hidden="1" customHeight="1">
      <c r="B54" s="51"/>
      <c r="D54" s="51"/>
      <c r="J54" s="56"/>
      <c r="N54" s="56"/>
      <c r="O54" s="51">
        <f>+C54-Q54</f>
        <v>0</v>
      </c>
      <c r="R54" s="56"/>
      <c r="S54" s="323">
        <f>+K54-U54</f>
        <v>0</v>
      </c>
      <c r="W54" s="490">
        <f t="shared" si="0"/>
        <v>0</v>
      </c>
      <c r="X54" s="51"/>
      <c r="Y54" s="51"/>
      <c r="Z54" s="51"/>
      <c r="AA54" s="51"/>
      <c r="AB54" s="51"/>
      <c r="AH54" s="60"/>
    </row>
    <row r="55" spans="1:34" s="323" customFormat="1" ht="3.75" customHeight="1">
      <c r="B55" s="51"/>
      <c r="D55" s="51"/>
      <c r="J55" s="56"/>
      <c r="N55" s="56"/>
      <c r="O55" s="51"/>
      <c r="R55" s="549"/>
      <c r="W55" s="490">
        <f t="shared" si="0"/>
        <v>0</v>
      </c>
      <c r="X55" s="51"/>
      <c r="Y55" s="51"/>
      <c r="Z55" s="51"/>
      <c r="AA55" s="51"/>
      <c r="AB55" s="51"/>
      <c r="AH55" s="60"/>
    </row>
    <row r="56" spans="1:34" s="323" customFormat="1" ht="14.5">
      <c r="B56" s="590"/>
      <c r="C56" s="591"/>
      <c r="D56" s="119"/>
      <c r="E56" s="591"/>
      <c r="F56" s="592"/>
      <c r="G56" s="928"/>
      <c r="H56" s="593"/>
      <c r="I56" s="833"/>
      <c r="J56" s="549"/>
      <c r="K56" s="591"/>
      <c r="M56" s="928"/>
      <c r="N56" s="549"/>
      <c r="O56" s="507"/>
      <c r="Q56" s="591"/>
      <c r="R56" s="56"/>
      <c r="S56" s="594"/>
      <c r="T56" s="285"/>
      <c r="U56" s="591"/>
      <c r="W56" s="490">
        <f t="shared" si="0"/>
        <v>0</v>
      </c>
      <c r="X56" s="51"/>
      <c r="Y56" s="51"/>
      <c r="Z56" s="51"/>
      <c r="AA56" s="51"/>
      <c r="AB56" s="51"/>
      <c r="AH56" s="60"/>
    </row>
    <row r="57" spans="1:34" ht="15.75" customHeight="1">
      <c r="B57" s="595" t="s">
        <v>289</v>
      </c>
      <c r="C57" s="583">
        <v>301313</v>
      </c>
      <c r="D57" s="119"/>
      <c r="E57" s="583">
        <v>117674</v>
      </c>
      <c r="F57" s="166"/>
      <c r="G57" s="908">
        <f>IF(E57&lt;0,-((C57/E57)-1),(C57/E57)-1)*100</f>
        <v>156.05741285245676</v>
      </c>
      <c r="H57" s="515">
        <f>+C57-E57</f>
        <v>183639</v>
      </c>
      <c r="I57" s="998" t="s">
        <v>273</v>
      </c>
      <c r="J57" s="56"/>
      <c r="K57" s="583">
        <v>25836</v>
      </c>
      <c r="L57" s="167"/>
      <c r="M57" s="976">
        <f>IF(ISERR(1+(C57-K57)/ABS(K57)),"N/A",1+(C57-K57)/ABS(K57))*100</f>
        <v>1166.2525158693295</v>
      </c>
      <c r="N57" s="56"/>
      <c r="O57" s="515">
        <f>+C57-Q57</f>
        <v>289585</v>
      </c>
      <c r="Q57" s="583">
        <v>11728</v>
      </c>
      <c r="S57" s="596">
        <f>+K57-U57</f>
        <v>11878</v>
      </c>
      <c r="T57" s="60"/>
      <c r="U57" s="583">
        <f>13958</f>
        <v>13958</v>
      </c>
      <c r="W57" s="490">
        <f t="shared" si="0"/>
        <v>0</v>
      </c>
      <c r="AH57" s="60"/>
    </row>
    <row r="58" spans="1:34" ht="3.75" customHeight="1">
      <c r="F58" s="167"/>
      <c r="H58" s="167"/>
      <c r="I58" s="821"/>
      <c r="L58" s="167"/>
      <c r="R58" s="56"/>
      <c r="S58" s="597"/>
      <c r="W58" s="490">
        <f t="shared" si="0"/>
        <v>0</v>
      </c>
      <c r="AH58" s="60"/>
    </row>
    <row r="59" spans="1:34" s="56" customFormat="1" ht="16.5" customHeight="1">
      <c r="A59" s="536"/>
      <c r="B59" s="303" t="s">
        <v>669</v>
      </c>
      <c r="C59" s="263">
        <f>+C53-C57-C56</f>
        <v>1091420</v>
      </c>
      <c r="D59" s="264"/>
      <c r="E59" s="263">
        <f>+E53-E57-E56</f>
        <v>2805412</v>
      </c>
      <c r="F59" s="265"/>
      <c r="G59" s="518">
        <f>IF(E59&lt;0,-((C59/E59)-1),(C59/E59)-1)*100</f>
        <v>-61.095910333312901</v>
      </c>
      <c r="H59" s="598">
        <f>(+C59-E59)</f>
        <v>-1713992</v>
      </c>
      <c r="I59" s="425"/>
      <c r="J59" s="51"/>
      <c r="K59" s="598">
        <f>+K53-K57-K56</f>
        <v>1291870</v>
      </c>
      <c r="L59" s="109"/>
      <c r="M59" s="600">
        <f>IF(ISERR(1+(C59-K59)/ABS(K59)),"N/A",1+(C59-K59)/ABS(K59))*100</f>
        <v>84.483732883339655</v>
      </c>
      <c r="O59" s="598">
        <f>+C59-Q59</f>
        <v>755388</v>
      </c>
      <c r="Q59" s="598">
        <f>+Q53-Q57-Q56</f>
        <v>336032</v>
      </c>
      <c r="R59" s="549"/>
      <c r="S59" s="526">
        <f>+K59-U59</f>
        <v>1148472</v>
      </c>
      <c r="T59" s="536"/>
      <c r="U59" s="598">
        <f>+U53-U57-U56</f>
        <v>143398</v>
      </c>
      <c r="W59" s="490">
        <f t="shared" si="0"/>
        <v>0</v>
      </c>
      <c r="X59" s="51"/>
      <c r="Y59" s="51"/>
      <c r="Z59" s="51"/>
      <c r="AA59" s="51"/>
      <c r="AB59" s="51"/>
      <c r="AH59" s="60"/>
    </row>
    <row r="60" spans="1:34" s="549" customFormat="1" ht="13">
      <c r="B60" s="427" t="s">
        <v>515</v>
      </c>
      <c r="C60" s="274">
        <v>3212026</v>
      </c>
      <c r="D60" s="275"/>
      <c r="E60" s="274">
        <v>2739</v>
      </c>
      <c r="F60" s="380"/>
      <c r="G60" s="908">
        <f>-IF(E60&lt;0,-((C60/E60)-1),(C60/E60)-1)*100</f>
        <v>-117170.02555677254</v>
      </c>
      <c r="H60" s="515">
        <f>(+C60-E60)</f>
        <v>3209287</v>
      </c>
      <c r="I60" s="1142" t="s">
        <v>622</v>
      </c>
      <c r="J60" s="51"/>
      <c r="K60" s="999">
        <v>0</v>
      </c>
      <c r="L60" s="167"/>
      <c r="M60" s="976">
        <v>100</v>
      </c>
      <c r="O60" s="601">
        <f>+C60-Q60</f>
        <v>3212034.1252104151</v>
      </c>
      <c r="Q60" s="601">
        <v>-8.1252104148988007</v>
      </c>
      <c r="R60" s="99"/>
      <c r="S60" s="553">
        <f>+K60-U60</f>
        <v>8.1252104148988007</v>
      </c>
      <c r="T60" s="501"/>
      <c r="U60" s="601">
        <v>-8.1252104148988007</v>
      </c>
      <c r="W60" s="490">
        <f t="shared" si="0"/>
        <v>0</v>
      </c>
      <c r="X60" s="51"/>
      <c r="Y60" s="51"/>
      <c r="Z60" s="51"/>
      <c r="AA60" s="51"/>
      <c r="AB60" s="51"/>
    </row>
    <row r="61" spans="1:34" s="99" customFormat="1" ht="16.5" customHeight="1">
      <c r="B61" s="516" t="s">
        <v>220</v>
      </c>
      <c r="C61" s="598">
        <f>+C59+C60</f>
        <v>4303446</v>
      </c>
      <c r="D61" s="71"/>
      <c r="E61" s="598">
        <f>+E59+E60</f>
        <v>2808151</v>
      </c>
      <c r="F61" s="71"/>
      <c r="G61" s="518">
        <f>IF(E61&lt;0,-((C61/E61)-1),(C61/E61)-1)*100</f>
        <v>53.248383010742664</v>
      </c>
      <c r="H61" s="598">
        <f>(+C61-E61)</f>
        <v>1495295</v>
      </c>
      <c r="I61" s="599"/>
      <c r="J61" s="56"/>
      <c r="K61" s="598">
        <f>+K59+K60</f>
        <v>1291870</v>
      </c>
      <c r="L61" s="109"/>
      <c r="M61" s="600">
        <f>IF(ISERR(1+(C61-K61)/ABS(K61)),"N/A",1+(C61-K61)/ABS(K61))*100</f>
        <v>333.11757374968067</v>
      </c>
      <c r="O61" s="555">
        <f>+O59/O7</f>
        <v>0.56352809702923323</v>
      </c>
      <c r="Q61" s="555">
        <f>+Q59/Q7</f>
        <v>0.67974924496355804</v>
      </c>
      <c r="R61" s="51"/>
      <c r="S61" s="602">
        <f>+S59/S7</f>
        <v>0.93075228661872178</v>
      </c>
      <c r="T61" s="529"/>
      <c r="U61" s="555">
        <f>+U59/U7</f>
        <v>0.37458531208041418</v>
      </c>
      <c r="W61" s="490">
        <f t="shared" si="0"/>
        <v>0</v>
      </c>
      <c r="X61" s="51"/>
      <c r="Y61" s="51"/>
      <c r="Z61" s="50"/>
      <c r="AB61" s="50"/>
      <c r="AH61" s="60"/>
    </row>
    <row r="62" spans="1:34" ht="9" hidden="1" customHeight="1">
      <c r="B62" s="550" t="s">
        <v>35</v>
      </c>
      <c r="C62" s="601">
        <v>-8.1252104148988007</v>
      </c>
      <c r="D62" s="495"/>
      <c r="E62" s="601">
        <v>-8.1252104148988007</v>
      </c>
      <c r="F62" s="495"/>
      <c r="G62" s="551" t="e">
        <f>IF(#REF!&lt;0,-((C62/#REF!)-1),(C62/#REF!)-1)*100</f>
        <v>#REF!</v>
      </c>
      <c r="H62" s="601">
        <f>+C62-E62</f>
        <v>0</v>
      </c>
      <c r="I62" s="842"/>
      <c r="J62" s="549"/>
      <c r="K62" s="601">
        <v>-8.1252104148988007</v>
      </c>
      <c r="L62" s="549"/>
      <c r="M62" s="552">
        <f>IF(ISERR(1+(C62-K62)/ABS(K62)),"N/A",1+(C62-K62)/ABS(K62))*100</f>
        <v>100</v>
      </c>
      <c r="W62" s="60"/>
    </row>
    <row r="63" spans="1:34" ht="13">
      <c r="B63" s="527" t="s">
        <v>153</v>
      </c>
      <c r="C63" s="916">
        <f>+C61/C7</f>
        <v>2.3454463107604115</v>
      </c>
      <c r="D63" s="913"/>
      <c r="E63" s="916">
        <f>+E61/E7</f>
        <v>0.89046138196107227</v>
      </c>
      <c r="F63" s="913"/>
      <c r="G63" s="834"/>
      <c r="H63" s="916">
        <f>+C63-E63</f>
        <v>1.4549849287993393</v>
      </c>
      <c r="I63" s="918"/>
      <c r="J63" s="99"/>
      <c r="K63" s="916">
        <f>+K61/K7</f>
        <v>0.79906057637115768</v>
      </c>
      <c r="L63" s="915"/>
      <c r="M63" s="929"/>
      <c r="O63" s="119"/>
      <c r="R63" s="492"/>
      <c r="U63" s="603"/>
      <c r="W63" s="60"/>
    </row>
    <row r="64" spans="1:34" ht="9" customHeight="1">
      <c r="I64" s="95"/>
      <c r="W64" s="60"/>
    </row>
    <row r="65" spans="2:23" ht="16.5" hidden="1" customHeight="1">
      <c r="H65" s="930"/>
      <c r="I65" s="95"/>
      <c r="K65" s="603"/>
      <c r="Q65" s="604" t="e">
        <f>+#REF!</f>
        <v>#REF!</v>
      </c>
      <c r="W65" s="60"/>
    </row>
    <row r="66" spans="2:23" ht="16.5" hidden="1" customHeight="1">
      <c r="I66" s="95"/>
      <c r="Q66" s="604" t="e">
        <f>+Q59-Q65</f>
        <v>#REF!</v>
      </c>
      <c r="W66" s="60"/>
    </row>
    <row r="67" spans="2:23" ht="16.5" hidden="1" customHeight="1">
      <c r="B67" s="100" t="s">
        <v>290</v>
      </c>
      <c r="C67" s="604" t="e">
        <f>+#REF!</f>
        <v>#REF!</v>
      </c>
      <c r="E67" s="604" t="e">
        <f>+#REF!</f>
        <v>#REF!</v>
      </c>
      <c r="I67" s="95"/>
      <c r="Q67" s="605">
        <v>-288683</v>
      </c>
      <c r="W67" s="60"/>
    </row>
    <row r="68" spans="2:23" ht="16.5" hidden="1" customHeight="1">
      <c r="B68" s="100" t="s">
        <v>291</v>
      </c>
      <c r="C68" s="604" t="e">
        <f>+C61-C67</f>
        <v>#REF!</v>
      </c>
      <c r="E68" s="604" t="e">
        <f>+E61-E67</f>
        <v>#REF!</v>
      </c>
      <c r="I68" s="95"/>
      <c r="Q68" s="606">
        <v>-10150</v>
      </c>
      <c r="W68" s="60"/>
    </row>
    <row r="69" spans="2:23" ht="23.25" hidden="1" customHeight="1">
      <c r="B69" s="100" t="s">
        <v>292</v>
      </c>
      <c r="C69" s="605">
        <v>-288683</v>
      </c>
      <c r="E69" s="605">
        <v>-288683</v>
      </c>
      <c r="I69" s="95"/>
      <c r="Q69" s="606">
        <v>-33254</v>
      </c>
      <c r="W69" s="60"/>
    </row>
    <row r="70" spans="2:23" ht="16.5" hidden="1" customHeight="1">
      <c r="B70" s="100" t="s">
        <v>293</v>
      </c>
      <c r="C70" s="606">
        <v>-10150</v>
      </c>
      <c r="E70" s="606">
        <v>-10150</v>
      </c>
      <c r="I70" s="95"/>
      <c r="Q70" s="606" t="e">
        <f>+#REF!-9113</f>
        <v>#REF!</v>
      </c>
      <c r="W70" s="60"/>
    </row>
    <row r="71" spans="2:23" ht="16.5" hidden="1" customHeight="1">
      <c r="B71" s="100" t="s">
        <v>294</v>
      </c>
      <c r="C71" s="606">
        <v>-33254</v>
      </c>
      <c r="E71" s="606">
        <v>-33254</v>
      </c>
      <c r="I71" s="95"/>
      <c r="Q71" s="606">
        <v>2362</v>
      </c>
      <c r="W71" s="60"/>
    </row>
    <row r="72" spans="2:23" ht="16.5" hidden="1" customHeight="1">
      <c r="B72" s="100" t="s">
        <v>295</v>
      </c>
      <c r="C72" s="606" t="e">
        <f>+#REF!-9113</f>
        <v>#REF!</v>
      </c>
      <c r="E72" s="606" t="e">
        <f>+#REF!-9113</f>
        <v>#REF!</v>
      </c>
      <c r="G72" s="607"/>
      <c r="I72" s="95"/>
      <c r="Q72" s="606">
        <v>-74214</v>
      </c>
      <c r="R72" s="56"/>
      <c r="W72" s="60"/>
    </row>
    <row r="73" spans="2:23" ht="16.5" hidden="1" customHeight="1">
      <c r="B73" s="100" t="s">
        <v>296</v>
      </c>
      <c r="C73" s="606">
        <v>2362</v>
      </c>
      <c r="E73" s="606">
        <v>2362</v>
      </c>
      <c r="I73" s="95"/>
      <c r="Q73" s="606">
        <v>132</v>
      </c>
      <c r="R73" s="99"/>
      <c r="W73" s="60"/>
    </row>
    <row r="74" spans="2:23" ht="16.5" hidden="1" customHeight="1">
      <c r="B74" s="100" t="s">
        <v>297</v>
      </c>
      <c r="C74" s="606">
        <v>-74214</v>
      </c>
      <c r="E74" s="606">
        <v>-74214</v>
      </c>
      <c r="I74" s="95"/>
      <c r="Q74" s="604" t="e">
        <f>+SUM(Q67:Q73)</f>
        <v>#REF!</v>
      </c>
      <c r="W74" s="60"/>
    </row>
    <row r="75" spans="2:23" ht="16.5" hidden="1" customHeight="1">
      <c r="B75" s="100" t="s">
        <v>298</v>
      </c>
      <c r="C75" s="606">
        <v>132</v>
      </c>
      <c r="E75" s="606">
        <v>132</v>
      </c>
      <c r="I75" s="95"/>
      <c r="W75" s="60"/>
    </row>
    <row r="76" spans="2:23" ht="16.5" hidden="1" customHeight="1">
      <c r="B76" s="608" t="s">
        <v>299</v>
      </c>
      <c r="C76" s="604" t="e">
        <f>+SUM(C69:C75)</f>
        <v>#REF!</v>
      </c>
      <c r="E76" s="604" t="e">
        <f>+SUM(E69:E75)</f>
        <v>#REF!</v>
      </c>
      <c r="I76" s="95"/>
      <c r="Q76" s="60" t="e">
        <f>+Q66+Q74</f>
        <v>#REF!</v>
      </c>
      <c r="W76" s="60"/>
    </row>
    <row r="77" spans="2:23" ht="16.5" hidden="1" customHeight="1">
      <c r="I77" s="95"/>
      <c r="W77" s="60"/>
    </row>
    <row r="78" spans="2:23" ht="16.5" hidden="1" customHeight="1">
      <c r="C78" s="60" t="e">
        <f>+C68+C76</f>
        <v>#REF!</v>
      </c>
      <c r="E78" s="60" t="e">
        <f>+E68+E76</f>
        <v>#REF!</v>
      </c>
      <c r="I78" s="95"/>
      <c r="W78" s="60"/>
    </row>
    <row r="79" spans="2:23" ht="16.5" hidden="1" customHeight="1">
      <c r="I79" s="95"/>
      <c r="W79" s="60"/>
    </row>
    <row r="80" spans="2:23" ht="16.5" hidden="1" customHeight="1">
      <c r="I80" s="95"/>
      <c r="W80" s="60"/>
    </row>
    <row r="81" spans="2:30" ht="16.5" customHeight="1">
      <c r="I81" s="95"/>
      <c r="O81" s="610">
        <f>+C81-Q81</f>
        <v>-336032</v>
      </c>
      <c r="Q81" s="609">
        <v>336032</v>
      </c>
      <c r="R81" s="538"/>
      <c r="S81" s="610">
        <f>+K81-U81</f>
        <v>-143398</v>
      </c>
      <c r="U81" s="609">
        <v>143398</v>
      </c>
      <c r="W81" s="60"/>
      <c r="X81" s="611"/>
      <c r="Z81" s="612"/>
      <c r="AB81" s="612"/>
    </row>
    <row r="82" spans="2:30" ht="16.5" customHeight="1">
      <c r="I82" s="95"/>
      <c r="O82" s="165">
        <f>+O59-O81</f>
        <v>1091420</v>
      </c>
      <c r="Q82" s="165">
        <f>+Q59-Q81</f>
        <v>0</v>
      </c>
      <c r="S82" s="168">
        <f>+S59-S81</f>
        <v>1291870</v>
      </c>
      <c r="U82" s="168">
        <f>+U59-U81</f>
        <v>0</v>
      </c>
      <c r="X82" s="613"/>
      <c r="Z82" s="612"/>
      <c r="AB82" s="612"/>
    </row>
    <row r="83" spans="2:30" ht="16.5" customHeight="1">
      <c r="B83" s="56" t="s">
        <v>300</v>
      </c>
      <c r="C83" s="577">
        <v>4303446</v>
      </c>
      <c r="D83" s="1143"/>
      <c r="E83" s="577">
        <v>2808151</v>
      </c>
      <c r="H83" s="1144"/>
      <c r="I83" s="95"/>
      <c r="K83" s="577">
        <v>1291870</v>
      </c>
      <c r="M83" s="60"/>
      <c r="Z83" s="611"/>
      <c r="AB83" s="612"/>
      <c r="AD83" s="612"/>
    </row>
    <row r="84" spans="2:30">
      <c r="C84" s="166">
        <f>+C61-C83</f>
        <v>0</v>
      </c>
      <c r="D84" s="1145"/>
      <c r="E84" s="166">
        <f>+E61-E83</f>
        <v>0</v>
      </c>
      <c r="F84" s="1145"/>
      <c r="G84" s="1145"/>
      <c r="H84" s="1144"/>
      <c r="I84" s="1146"/>
      <c r="J84" s="1145"/>
      <c r="K84" s="166">
        <f>+K61-K83</f>
        <v>0</v>
      </c>
    </row>
  </sheetData>
  <mergeCells count="5">
    <mergeCell ref="X14:AC14"/>
    <mergeCell ref="X16:AG16"/>
    <mergeCell ref="X29:AC29"/>
    <mergeCell ref="X30:AC30"/>
    <mergeCell ref="Y32:AF32"/>
  </mergeCells>
  <conditionalFormatting sqref="C67:C68 C76">
    <cfRule type="expression" dxfId="45" priority="15">
      <formula>#REF!="Miles"</formula>
    </cfRule>
    <cfRule type="expression" dxfId="44" priority="16">
      <formula>#REF!="Millones"</formula>
    </cfRule>
  </conditionalFormatting>
  <conditionalFormatting sqref="C67:C68">
    <cfRule type="expression" dxfId="43" priority="17">
      <formula>COLUMN()=8</formula>
    </cfRule>
    <cfRule type="expression" dxfId="42" priority="18">
      <formula>COLUMN()=10</formula>
    </cfRule>
  </conditionalFormatting>
  <conditionalFormatting sqref="C76">
    <cfRule type="expression" dxfId="41" priority="19">
      <formula>COLUMN()=8</formula>
    </cfRule>
    <cfRule type="expression" dxfId="40" priority="20">
      <formula>COLUMN()=10</formula>
    </cfRule>
  </conditionalFormatting>
  <conditionalFormatting sqref="C83:E83">
    <cfRule type="expression" dxfId="39" priority="1">
      <formula>#REF!="Miles"</formula>
    </cfRule>
    <cfRule type="expression" dxfId="38" priority="2">
      <formula>#REF!="Millones"</formula>
    </cfRule>
    <cfRule type="expression" dxfId="37" priority="3">
      <formula>COLUMN()=8</formula>
    </cfRule>
    <cfRule type="expression" dxfId="36" priority="4">
      <formula>COLUMN()=10</formula>
    </cfRule>
  </conditionalFormatting>
  <conditionalFormatting sqref="E67:E68 E76">
    <cfRule type="expression" dxfId="35" priority="9">
      <formula>#REF!="Miles"</formula>
    </cfRule>
    <cfRule type="expression" dxfId="34" priority="10">
      <formula>#REF!="Millones"</formula>
    </cfRule>
  </conditionalFormatting>
  <conditionalFormatting sqref="E67:E68">
    <cfRule type="expression" dxfId="33" priority="11">
      <formula>COLUMN()=8</formula>
    </cfRule>
    <cfRule type="expression" dxfId="32" priority="12">
      <formula>COLUMN()=10</formula>
    </cfRule>
  </conditionalFormatting>
  <conditionalFormatting sqref="E76">
    <cfRule type="expression" dxfId="31" priority="13">
      <formula>COLUMN()=8</formula>
    </cfRule>
    <cfRule type="expression" dxfId="30" priority="14">
      <formula>COLUMN()=10</formula>
    </cfRule>
  </conditionalFormatting>
  <conditionalFormatting sqref="K83">
    <cfRule type="expression" dxfId="29" priority="5">
      <formula>#REF!="Miles"</formula>
    </cfRule>
    <cfRule type="expression" dxfId="28" priority="7">
      <formula>COLUMN()=8</formula>
    </cfRule>
    <cfRule type="expression" dxfId="27" priority="8">
      <formula>COLUMN()=10</formula>
    </cfRule>
    <cfRule type="expression" dxfId="26" priority="6">
      <formula>#REF!="Millones"</formula>
    </cfRule>
  </conditionalFormatting>
  <conditionalFormatting sqref="O81">
    <cfRule type="expression" dxfId="25" priority="300">
      <formula>#REF!="Millones"</formula>
    </cfRule>
    <cfRule type="expression" dxfId="24" priority="297">
      <formula>COLUMN()=8</formula>
    </cfRule>
    <cfRule type="expression" dxfId="23" priority="298">
      <formula>COLUMN()=10</formula>
    </cfRule>
    <cfRule type="expression" dxfId="22" priority="299">
      <formula>#REF!="Miles"</formula>
    </cfRule>
  </conditionalFormatting>
  <conditionalFormatting sqref="Q65:Q66 Q74">
    <cfRule type="expression" dxfId="21" priority="253">
      <formula>#REF!="Miles"</formula>
    </cfRule>
    <cfRule type="expression" dxfId="20" priority="254">
      <formula>#REF!="Millones"</formula>
    </cfRule>
  </conditionalFormatting>
  <conditionalFormatting sqref="Q65:Q66">
    <cfRule type="expression" dxfId="19" priority="256">
      <formula>COLUMN()=10</formula>
    </cfRule>
    <cfRule type="expression" dxfId="18" priority="255">
      <formula>COLUMN()=8</formula>
    </cfRule>
  </conditionalFormatting>
  <conditionalFormatting sqref="Q74">
    <cfRule type="expression" dxfId="17" priority="257">
      <formula>COLUMN()=8</formula>
    </cfRule>
    <cfRule type="expression" dxfId="16" priority="258">
      <formula>COLUMN()=10</formula>
    </cfRule>
  </conditionalFormatting>
  <conditionalFormatting sqref="Q81">
    <cfRule type="expression" dxfId="15" priority="249">
      <formula>#REF!="Miles"</formula>
    </cfRule>
    <cfRule type="expression" dxfId="14" priority="251">
      <formula>COLUMN()=8</formula>
    </cfRule>
    <cfRule type="expression" dxfId="13" priority="250">
      <formula>#REF!="Millones"</formula>
    </cfRule>
    <cfRule type="expression" dxfId="12" priority="252">
      <formula>COLUMN()=10</formula>
    </cfRule>
  </conditionalFormatting>
  <conditionalFormatting sqref="S81">
    <cfRule type="expression" dxfId="11" priority="293">
      <formula>COLUMN()=8</formula>
    </cfRule>
    <cfRule type="expression" dxfId="10" priority="294">
      <formula>COLUMN()=10</formula>
    </cfRule>
    <cfRule type="expression" dxfId="9" priority="296">
      <formula>#REF!="Millones"</formula>
    </cfRule>
    <cfRule type="expression" dxfId="8" priority="295">
      <formula>#REF!="Miles"</formula>
    </cfRule>
  </conditionalFormatting>
  <conditionalFormatting sqref="U81">
    <cfRule type="expression" dxfId="7" priority="245">
      <formula>#REF!="Miles"</formula>
    </cfRule>
    <cfRule type="expression" dxfId="6" priority="247">
      <formula>COLUMN()=8</formula>
    </cfRule>
    <cfRule type="expression" dxfId="5" priority="248">
      <formula>COLUMN()=10</formula>
    </cfRule>
    <cfRule type="expression" dxfId="4" priority="246">
      <formula>#REF!="Millones"</formula>
    </cfRule>
  </conditionalFormatting>
  <pageMargins left="0.7" right="0.7" top="0.75" bottom="0.75" header="0.3" footer="0.3"/>
  <customProperties>
    <customPr name="EpmWorksheetKeyString_GUID" r:id="rId1"/>
  </customPropertie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502CA-9D36-4946-8480-606B3C73DFD9}">
  <sheetPr transitionEvaluation="1" codeName="Hoja5">
    <tabColor rgb="FFFFFF00"/>
  </sheetPr>
  <dimension ref="A1:AJ70"/>
  <sheetViews>
    <sheetView showGridLines="0" topLeftCell="A24" zoomScale="90" zoomScaleNormal="90" workbookViewId="0">
      <selection activeCell="B35" sqref="B35"/>
    </sheetView>
  </sheetViews>
  <sheetFormatPr baseColWidth="10" defaultRowHeight="14.5"/>
  <cols>
    <col min="1" max="1" width="5.7265625" style="614" customWidth="1"/>
    <col min="2" max="2" width="32.1796875" style="614" customWidth="1"/>
    <col min="3" max="3" width="11.453125" style="614" customWidth="1"/>
    <col min="4" max="4" width="13.54296875" style="614" bestFit="1" customWidth="1"/>
    <col min="5" max="5" width="8.6328125" style="614" bestFit="1" customWidth="1"/>
    <col min="6" max="6" width="10.81640625" style="614" bestFit="1" customWidth="1"/>
    <col min="7" max="7" width="12.81640625" style="614" bestFit="1" customWidth="1"/>
    <col min="8" max="8" width="6.7265625" style="614" customWidth="1"/>
    <col min="9" max="9" width="1" style="614" customWidth="1"/>
    <col min="10" max="10" width="9.26953125" style="614" customWidth="1"/>
    <col min="11" max="11" width="9.26953125" style="614" bestFit="1" customWidth="1"/>
    <col min="12" max="12" width="8.26953125" style="614" bestFit="1" customWidth="1"/>
    <col min="13" max="13" width="10.1796875" style="614" bestFit="1" customWidth="1"/>
    <col min="14" max="14" width="10.453125" style="614" bestFit="1" customWidth="1"/>
    <col min="15" max="15" width="8.6328125" style="614" bestFit="1" customWidth="1"/>
    <col min="16" max="16" width="11.08984375" style="614" customWidth="1"/>
    <col min="17" max="17" width="15.1796875" style="614" customWidth="1"/>
    <col min="18" max="18" width="11.26953125" style="614" bestFit="1" customWidth="1"/>
    <col min="19" max="19" width="9.26953125" style="614" bestFit="1" customWidth="1"/>
    <col min="20" max="20" width="6.7265625" style="614" bestFit="1" customWidth="1"/>
    <col min="21" max="22" width="10.81640625" style="614" bestFit="1" customWidth="1"/>
    <col min="23" max="23" width="7.6328125" style="614" bestFit="1" customWidth="1"/>
    <col min="24" max="24" width="17.1796875" style="614" customWidth="1"/>
    <col min="25" max="25" width="4.81640625" style="614" bestFit="1" customWidth="1"/>
    <col min="26" max="26" width="16" style="614" customWidth="1"/>
    <col min="27" max="27" width="13.7265625" style="706" bestFit="1" customWidth="1"/>
    <col min="28" max="28" width="13.1796875" style="624" bestFit="1" customWidth="1"/>
    <col min="29" max="29" width="7.6328125" style="614" bestFit="1" customWidth="1"/>
    <col min="30" max="30" width="10.90625" style="614"/>
    <col min="31" max="31" width="15.453125" style="614" bestFit="1" customWidth="1"/>
    <col min="32" max="251" width="10.90625" style="614"/>
    <col min="252" max="252" width="5.7265625" style="614" customWidth="1"/>
    <col min="253" max="253" width="35.1796875" style="614" customWidth="1"/>
    <col min="254" max="255" width="10.26953125" style="614" customWidth="1"/>
    <col min="256" max="256" width="7.453125" style="614" customWidth="1"/>
    <col min="257" max="258" width="10.26953125" style="614" customWidth="1"/>
    <col min="259" max="259" width="7" style="614" customWidth="1"/>
    <col min="260" max="260" width="1" style="614" customWidth="1"/>
    <col min="261" max="262" width="8.7265625" style="614" customWidth="1"/>
    <col min="263" max="263" width="7.453125" style="614" customWidth="1"/>
    <col min="264" max="265" width="8.7265625" style="614" customWidth="1"/>
    <col min="266" max="266" width="8.453125" style="614" bestFit="1" customWidth="1"/>
    <col min="267" max="267" width="10.26953125" style="614" customWidth="1"/>
    <col min="268" max="268" width="10" style="614" customWidth="1"/>
    <col min="269" max="269" width="5.26953125" style="614" bestFit="1" customWidth="1"/>
    <col min="270" max="271" width="8.7265625" style="614" customWidth="1"/>
    <col min="272" max="272" width="9.7265625" style="614" customWidth="1"/>
    <col min="273" max="274" width="10.26953125" style="614" customWidth="1"/>
    <col min="275" max="275" width="7.81640625" style="614" bestFit="1" customWidth="1"/>
    <col min="276" max="276" width="13.453125" style="614" customWidth="1"/>
    <col min="277" max="277" width="3.26953125" style="614" customWidth="1"/>
    <col min="278" max="278" width="17.1796875" style="614" customWidth="1"/>
    <col min="279" max="279" width="14.453125" style="614" bestFit="1" customWidth="1"/>
    <col min="280" max="280" width="10.26953125" style="614" customWidth="1"/>
    <col min="281" max="281" width="6" style="614" bestFit="1" customWidth="1"/>
    <col min="282" max="282" width="10.90625" style="614"/>
    <col min="283" max="284" width="14.453125" style="614" bestFit="1" customWidth="1"/>
    <col min="285" max="285" width="12.81640625" style="614" bestFit="1" customWidth="1"/>
    <col min="286" max="286" width="14.453125" style="614" bestFit="1" customWidth="1"/>
    <col min="287" max="507" width="10.90625" style="614"/>
    <col min="508" max="508" width="5.7265625" style="614" customWidth="1"/>
    <col min="509" max="509" width="35.1796875" style="614" customWidth="1"/>
    <col min="510" max="511" width="10.26953125" style="614" customWidth="1"/>
    <col min="512" max="512" width="7.453125" style="614" customWidth="1"/>
    <col min="513" max="514" width="10.26953125" style="614" customWidth="1"/>
    <col min="515" max="515" width="7" style="614" customWidth="1"/>
    <col min="516" max="516" width="1" style="614" customWidth="1"/>
    <col min="517" max="518" width="8.7265625" style="614" customWidth="1"/>
    <col min="519" max="519" width="7.453125" style="614" customWidth="1"/>
    <col min="520" max="521" width="8.7265625" style="614" customWidth="1"/>
    <col min="522" max="522" width="8.453125" style="614" bestFit="1" customWidth="1"/>
    <col min="523" max="523" width="10.26953125" style="614" customWidth="1"/>
    <col min="524" max="524" width="10" style="614" customWidth="1"/>
    <col min="525" max="525" width="5.26953125" style="614" bestFit="1" customWidth="1"/>
    <col min="526" max="527" width="8.7265625" style="614" customWidth="1"/>
    <col min="528" max="528" width="9.7265625" style="614" customWidth="1"/>
    <col min="529" max="530" width="10.26953125" style="614" customWidth="1"/>
    <col min="531" max="531" width="7.81640625" style="614" bestFit="1" customWidth="1"/>
    <col min="532" max="532" width="13.453125" style="614" customWidth="1"/>
    <col min="533" max="533" width="3.26953125" style="614" customWidth="1"/>
    <col min="534" max="534" width="17.1796875" style="614" customWidth="1"/>
    <col min="535" max="535" width="14.453125" style="614" bestFit="1" customWidth="1"/>
    <col min="536" max="536" width="10.26953125" style="614" customWidth="1"/>
    <col min="537" max="537" width="6" style="614" bestFit="1" customWidth="1"/>
    <col min="538" max="538" width="10.90625" style="614"/>
    <col min="539" max="540" width="14.453125" style="614" bestFit="1" customWidth="1"/>
    <col min="541" max="541" width="12.81640625" style="614" bestFit="1" customWidth="1"/>
    <col min="542" max="542" width="14.453125" style="614" bestFit="1" customWidth="1"/>
    <col min="543" max="763" width="10.90625" style="614"/>
    <col min="764" max="764" width="5.7265625" style="614" customWidth="1"/>
    <col min="765" max="765" width="35.1796875" style="614" customWidth="1"/>
    <col min="766" max="767" width="10.26953125" style="614" customWidth="1"/>
    <col min="768" max="768" width="7.453125" style="614" customWidth="1"/>
    <col min="769" max="770" width="10.26953125" style="614" customWidth="1"/>
    <col min="771" max="771" width="7" style="614" customWidth="1"/>
    <col min="772" max="772" width="1" style="614" customWidth="1"/>
    <col min="773" max="774" width="8.7265625" style="614" customWidth="1"/>
    <col min="775" max="775" width="7.453125" style="614" customWidth="1"/>
    <col min="776" max="777" width="8.7265625" style="614" customWidth="1"/>
    <col min="778" max="778" width="8.453125" style="614" bestFit="1" customWidth="1"/>
    <col min="779" max="779" width="10.26953125" style="614" customWidth="1"/>
    <col min="780" max="780" width="10" style="614" customWidth="1"/>
    <col min="781" max="781" width="5.26953125" style="614" bestFit="1" customWidth="1"/>
    <col min="782" max="783" width="8.7265625" style="614" customWidth="1"/>
    <col min="784" max="784" width="9.7265625" style="614" customWidth="1"/>
    <col min="785" max="786" width="10.26953125" style="614" customWidth="1"/>
    <col min="787" max="787" width="7.81640625" style="614" bestFit="1" customWidth="1"/>
    <col min="788" max="788" width="13.453125" style="614" customWidth="1"/>
    <col min="789" max="789" width="3.26953125" style="614" customWidth="1"/>
    <col min="790" max="790" width="17.1796875" style="614" customWidth="1"/>
    <col min="791" max="791" width="14.453125" style="614" bestFit="1" customWidth="1"/>
    <col min="792" max="792" width="10.26953125" style="614" customWidth="1"/>
    <col min="793" max="793" width="6" style="614" bestFit="1" customWidth="1"/>
    <col min="794" max="794" width="10.90625" style="614"/>
    <col min="795" max="796" width="14.453125" style="614" bestFit="1" customWidth="1"/>
    <col min="797" max="797" width="12.81640625" style="614" bestFit="1" customWidth="1"/>
    <col min="798" max="798" width="14.453125" style="614" bestFit="1" customWidth="1"/>
    <col min="799" max="1019" width="10.90625" style="614"/>
    <col min="1020" max="1020" width="5.7265625" style="614" customWidth="1"/>
    <col min="1021" max="1021" width="35.1796875" style="614" customWidth="1"/>
    <col min="1022" max="1023" width="10.26953125" style="614" customWidth="1"/>
    <col min="1024" max="1024" width="7.453125" style="614" customWidth="1"/>
    <col min="1025" max="1026" width="10.26953125" style="614" customWidth="1"/>
    <col min="1027" max="1027" width="7" style="614" customWidth="1"/>
    <col min="1028" max="1028" width="1" style="614" customWidth="1"/>
    <col min="1029" max="1030" width="8.7265625" style="614" customWidth="1"/>
    <col min="1031" max="1031" width="7.453125" style="614" customWidth="1"/>
    <col min="1032" max="1033" width="8.7265625" style="614" customWidth="1"/>
    <col min="1034" max="1034" width="8.453125" style="614" bestFit="1" customWidth="1"/>
    <col min="1035" max="1035" width="10.26953125" style="614" customWidth="1"/>
    <col min="1036" max="1036" width="10" style="614" customWidth="1"/>
    <col min="1037" max="1037" width="5.26953125" style="614" bestFit="1" customWidth="1"/>
    <col min="1038" max="1039" width="8.7265625" style="614" customWidth="1"/>
    <col min="1040" max="1040" width="9.7265625" style="614" customWidth="1"/>
    <col min="1041" max="1042" width="10.26953125" style="614" customWidth="1"/>
    <col min="1043" max="1043" width="7.81640625" style="614" bestFit="1" customWidth="1"/>
    <col min="1044" max="1044" width="13.453125" style="614" customWidth="1"/>
    <col min="1045" max="1045" width="3.26953125" style="614" customWidth="1"/>
    <col min="1046" max="1046" width="17.1796875" style="614" customWidth="1"/>
    <col min="1047" max="1047" width="14.453125" style="614" bestFit="1" customWidth="1"/>
    <col min="1048" max="1048" width="10.26953125" style="614" customWidth="1"/>
    <col min="1049" max="1049" width="6" style="614" bestFit="1" customWidth="1"/>
    <col min="1050" max="1050" width="10.90625" style="614"/>
    <col min="1051" max="1052" width="14.453125" style="614" bestFit="1" customWidth="1"/>
    <col min="1053" max="1053" width="12.81640625" style="614" bestFit="1" customWidth="1"/>
    <col min="1054" max="1054" width="14.453125" style="614" bestFit="1" customWidth="1"/>
    <col min="1055" max="1275" width="10.90625" style="614"/>
    <col min="1276" max="1276" width="5.7265625" style="614" customWidth="1"/>
    <col min="1277" max="1277" width="35.1796875" style="614" customWidth="1"/>
    <col min="1278" max="1279" width="10.26953125" style="614" customWidth="1"/>
    <col min="1280" max="1280" width="7.453125" style="614" customWidth="1"/>
    <col min="1281" max="1282" width="10.26953125" style="614" customWidth="1"/>
    <col min="1283" max="1283" width="7" style="614" customWidth="1"/>
    <col min="1284" max="1284" width="1" style="614" customWidth="1"/>
    <col min="1285" max="1286" width="8.7265625" style="614" customWidth="1"/>
    <col min="1287" max="1287" width="7.453125" style="614" customWidth="1"/>
    <col min="1288" max="1289" width="8.7265625" style="614" customWidth="1"/>
    <col min="1290" max="1290" width="8.453125" style="614" bestFit="1" customWidth="1"/>
    <col min="1291" max="1291" width="10.26953125" style="614" customWidth="1"/>
    <col min="1292" max="1292" width="10" style="614" customWidth="1"/>
    <col min="1293" max="1293" width="5.26953125" style="614" bestFit="1" customWidth="1"/>
    <col min="1294" max="1295" width="8.7265625" style="614" customWidth="1"/>
    <col min="1296" max="1296" width="9.7265625" style="614" customWidth="1"/>
    <col min="1297" max="1298" width="10.26953125" style="614" customWidth="1"/>
    <col min="1299" max="1299" width="7.81640625" style="614" bestFit="1" customWidth="1"/>
    <col min="1300" max="1300" width="13.453125" style="614" customWidth="1"/>
    <col min="1301" max="1301" width="3.26953125" style="614" customWidth="1"/>
    <col min="1302" max="1302" width="17.1796875" style="614" customWidth="1"/>
    <col min="1303" max="1303" width="14.453125" style="614" bestFit="1" customWidth="1"/>
    <col min="1304" max="1304" width="10.26953125" style="614" customWidth="1"/>
    <col min="1305" max="1305" width="6" style="614" bestFit="1" customWidth="1"/>
    <col min="1306" max="1306" width="10.90625" style="614"/>
    <col min="1307" max="1308" width="14.453125" style="614" bestFit="1" customWidth="1"/>
    <col min="1309" max="1309" width="12.81640625" style="614" bestFit="1" customWidth="1"/>
    <col min="1310" max="1310" width="14.453125" style="614" bestFit="1" customWidth="1"/>
    <col min="1311" max="1531" width="10.90625" style="614"/>
    <col min="1532" max="1532" width="5.7265625" style="614" customWidth="1"/>
    <col min="1533" max="1533" width="35.1796875" style="614" customWidth="1"/>
    <col min="1534" max="1535" width="10.26953125" style="614" customWidth="1"/>
    <col min="1536" max="1536" width="7.453125" style="614" customWidth="1"/>
    <col min="1537" max="1538" width="10.26953125" style="614" customWidth="1"/>
    <col min="1539" max="1539" width="7" style="614" customWidth="1"/>
    <col min="1540" max="1540" width="1" style="614" customWidth="1"/>
    <col min="1541" max="1542" width="8.7265625" style="614" customWidth="1"/>
    <col min="1543" max="1543" width="7.453125" style="614" customWidth="1"/>
    <col min="1544" max="1545" width="8.7265625" style="614" customWidth="1"/>
    <col min="1546" max="1546" width="8.453125" style="614" bestFit="1" customWidth="1"/>
    <col min="1547" max="1547" width="10.26953125" style="614" customWidth="1"/>
    <col min="1548" max="1548" width="10" style="614" customWidth="1"/>
    <col min="1549" max="1549" width="5.26953125" style="614" bestFit="1" customWidth="1"/>
    <col min="1550" max="1551" width="8.7265625" style="614" customWidth="1"/>
    <col min="1552" max="1552" width="9.7265625" style="614" customWidth="1"/>
    <col min="1553" max="1554" width="10.26953125" style="614" customWidth="1"/>
    <col min="1555" max="1555" width="7.81640625" style="614" bestFit="1" customWidth="1"/>
    <col min="1556" max="1556" width="13.453125" style="614" customWidth="1"/>
    <col min="1557" max="1557" width="3.26953125" style="614" customWidth="1"/>
    <col min="1558" max="1558" width="17.1796875" style="614" customWidth="1"/>
    <col min="1559" max="1559" width="14.453125" style="614" bestFit="1" customWidth="1"/>
    <col min="1560" max="1560" width="10.26953125" style="614" customWidth="1"/>
    <col min="1561" max="1561" width="6" style="614" bestFit="1" customWidth="1"/>
    <col min="1562" max="1562" width="10.90625" style="614"/>
    <col min="1563" max="1564" width="14.453125" style="614" bestFit="1" customWidth="1"/>
    <col min="1565" max="1565" width="12.81640625" style="614" bestFit="1" customWidth="1"/>
    <col min="1566" max="1566" width="14.453125" style="614" bestFit="1" customWidth="1"/>
    <col min="1567" max="1787" width="10.90625" style="614"/>
    <col min="1788" max="1788" width="5.7265625" style="614" customWidth="1"/>
    <col min="1789" max="1789" width="35.1796875" style="614" customWidth="1"/>
    <col min="1790" max="1791" width="10.26953125" style="614" customWidth="1"/>
    <col min="1792" max="1792" width="7.453125" style="614" customWidth="1"/>
    <col min="1793" max="1794" width="10.26953125" style="614" customWidth="1"/>
    <col min="1795" max="1795" width="7" style="614" customWidth="1"/>
    <col min="1796" max="1796" width="1" style="614" customWidth="1"/>
    <col min="1797" max="1798" width="8.7265625" style="614" customWidth="1"/>
    <col min="1799" max="1799" width="7.453125" style="614" customWidth="1"/>
    <col min="1800" max="1801" width="8.7265625" style="614" customWidth="1"/>
    <col min="1802" max="1802" width="8.453125" style="614" bestFit="1" customWidth="1"/>
    <col min="1803" max="1803" width="10.26953125" style="614" customWidth="1"/>
    <col min="1804" max="1804" width="10" style="614" customWidth="1"/>
    <col min="1805" max="1805" width="5.26953125" style="614" bestFit="1" customWidth="1"/>
    <col min="1806" max="1807" width="8.7265625" style="614" customWidth="1"/>
    <col min="1808" max="1808" width="9.7265625" style="614" customWidth="1"/>
    <col min="1809" max="1810" width="10.26953125" style="614" customWidth="1"/>
    <col min="1811" max="1811" width="7.81640625" style="614" bestFit="1" customWidth="1"/>
    <col min="1812" max="1812" width="13.453125" style="614" customWidth="1"/>
    <col min="1813" max="1813" width="3.26953125" style="614" customWidth="1"/>
    <col min="1814" max="1814" width="17.1796875" style="614" customWidth="1"/>
    <col min="1815" max="1815" width="14.453125" style="614" bestFit="1" customWidth="1"/>
    <col min="1816" max="1816" width="10.26953125" style="614" customWidth="1"/>
    <col min="1817" max="1817" width="6" style="614" bestFit="1" customWidth="1"/>
    <col min="1818" max="1818" width="10.90625" style="614"/>
    <col min="1819" max="1820" width="14.453125" style="614" bestFit="1" customWidth="1"/>
    <col min="1821" max="1821" width="12.81640625" style="614" bestFit="1" customWidth="1"/>
    <col min="1822" max="1822" width="14.453125" style="614" bestFit="1" customWidth="1"/>
    <col min="1823" max="2043" width="10.90625" style="614"/>
    <col min="2044" max="2044" width="5.7265625" style="614" customWidth="1"/>
    <col min="2045" max="2045" width="35.1796875" style="614" customWidth="1"/>
    <col min="2046" max="2047" width="10.26953125" style="614" customWidth="1"/>
    <col min="2048" max="2048" width="7.453125" style="614" customWidth="1"/>
    <col min="2049" max="2050" width="10.26953125" style="614" customWidth="1"/>
    <col min="2051" max="2051" width="7" style="614" customWidth="1"/>
    <col min="2052" max="2052" width="1" style="614" customWidth="1"/>
    <col min="2053" max="2054" width="8.7265625" style="614" customWidth="1"/>
    <col min="2055" max="2055" width="7.453125" style="614" customWidth="1"/>
    <col min="2056" max="2057" width="8.7265625" style="614" customWidth="1"/>
    <col min="2058" max="2058" width="8.453125" style="614" bestFit="1" customWidth="1"/>
    <col min="2059" max="2059" width="10.26953125" style="614" customWidth="1"/>
    <col min="2060" max="2060" width="10" style="614" customWidth="1"/>
    <col min="2061" max="2061" width="5.26953125" style="614" bestFit="1" customWidth="1"/>
    <col min="2062" max="2063" width="8.7265625" style="614" customWidth="1"/>
    <col min="2064" max="2064" width="9.7265625" style="614" customWidth="1"/>
    <col min="2065" max="2066" width="10.26953125" style="614" customWidth="1"/>
    <col min="2067" max="2067" width="7.81640625" style="614" bestFit="1" customWidth="1"/>
    <col min="2068" max="2068" width="13.453125" style="614" customWidth="1"/>
    <col min="2069" max="2069" width="3.26953125" style="614" customWidth="1"/>
    <col min="2070" max="2070" width="17.1796875" style="614" customWidth="1"/>
    <col min="2071" max="2071" width="14.453125" style="614" bestFit="1" customWidth="1"/>
    <col min="2072" max="2072" width="10.26953125" style="614" customWidth="1"/>
    <col min="2073" max="2073" width="6" style="614" bestFit="1" customWidth="1"/>
    <col min="2074" max="2074" width="10.90625" style="614"/>
    <col min="2075" max="2076" width="14.453125" style="614" bestFit="1" customWidth="1"/>
    <col min="2077" max="2077" width="12.81640625" style="614" bestFit="1" customWidth="1"/>
    <col min="2078" max="2078" width="14.453125" style="614" bestFit="1" customWidth="1"/>
    <col min="2079" max="2299" width="10.90625" style="614"/>
    <col min="2300" max="2300" width="5.7265625" style="614" customWidth="1"/>
    <col min="2301" max="2301" width="35.1796875" style="614" customWidth="1"/>
    <col min="2302" max="2303" width="10.26953125" style="614" customWidth="1"/>
    <col min="2304" max="2304" width="7.453125" style="614" customWidth="1"/>
    <col min="2305" max="2306" width="10.26953125" style="614" customWidth="1"/>
    <col min="2307" max="2307" width="7" style="614" customWidth="1"/>
    <col min="2308" max="2308" width="1" style="614" customWidth="1"/>
    <col min="2309" max="2310" width="8.7265625" style="614" customWidth="1"/>
    <col min="2311" max="2311" width="7.453125" style="614" customWidth="1"/>
    <col min="2312" max="2313" width="8.7265625" style="614" customWidth="1"/>
    <col min="2314" max="2314" width="8.453125" style="614" bestFit="1" customWidth="1"/>
    <col min="2315" max="2315" width="10.26953125" style="614" customWidth="1"/>
    <col min="2316" max="2316" width="10" style="614" customWidth="1"/>
    <col min="2317" max="2317" width="5.26953125" style="614" bestFit="1" customWidth="1"/>
    <col min="2318" max="2319" width="8.7265625" style="614" customWidth="1"/>
    <col min="2320" max="2320" width="9.7265625" style="614" customWidth="1"/>
    <col min="2321" max="2322" width="10.26953125" style="614" customWidth="1"/>
    <col min="2323" max="2323" width="7.81640625" style="614" bestFit="1" customWidth="1"/>
    <col min="2324" max="2324" width="13.453125" style="614" customWidth="1"/>
    <col min="2325" max="2325" width="3.26953125" style="614" customWidth="1"/>
    <col min="2326" max="2326" width="17.1796875" style="614" customWidth="1"/>
    <col min="2327" max="2327" width="14.453125" style="614" bestFit="1" customWidth="1"/>
    <col min="2328" max="2328" width="10.26953125" style="614" customWidth="1"/>
    <col min="2329" max="2329" width="6" style="614" bestFit="1" customWidth="1"/>
    <col min="2330" max="2330" width="10.90625" style="614"/>
    <col min="2331" max="2332" width="14.453125" style="614" bestFit="1" customWidth="1"/>
    <col min="2333" max="2333" width="12.81640625" style="614" bestFit="1" customWidth="1"/>
    <col min="2334" max="2334" width="14.453125" style="614" bestFit="1" customWidth="1"/>
    <col min="2335" max="2555" width="10.90625" style="614"/>
    <col min="2556" max="2556" width="5.7265625" style="614" customWidth="1"/>
    <col min="2557" max="2557" width="35.1796875" style="614" customWidth="1"/>
    <col min="2558" max="2559" width="10.26953125" style="614" customWidth="1"/>
    <col min="2560" max="2560" width="7.453125" style="614" customWidth="1"/>
    <col min="2561" max="2562" width="10.26953125" style="614" customWidth="1"/>
    <col min="2563" max="2563" width="7" style="614" customWidth="1"/>
    <col min="2564" max="2564" width="1" style="614" customWidth="1"/>
    <col min="2565" max="2566" width="8.7265625" style="614" customWidth="1"/>
    <col min="2567" max="2567" width="7.453125" style="614" customWidth="1"/>
    <col min="2568" max="2569" width="8.7265625" style="614" customWidth="1"/>
    <col min="2570" max="2570" width="8.453125" style="614" bestFit="1" customWidth="1"/>
    <col min="2571" max="2571" width="10.26953125" style="614" customWidth="1"/>
    <col min="2572" max="2572" width="10" style="614" customWidth="1"/>
    <col min="2573" max="2573" width="5.26953125" style="614" bestFit="1" customWidth="1"/>
    <col min="2574" max="2575" width="8.7265625" style="614" customWidth="1"/>
    <col min="2576" max="2576" width="9.7265625" style="614" customWidth="1"/>
    <col min="2577" max="2578" width="10.26953125" style="614" customWidth="1"/>
    <col min="2579" max="2579" width="7.81640625" style="614" bestFit="1" customWidth="1"/>
    <col min="2580" max="2580" width="13.453125" style="614" customWidth="1"/>
    <col min="2581" max="2581" width="3.26953125" style="614" customWidth="1"/>
    <col min="2582" max="2582" width="17.1796875" style="614" customWidth="1"/>
    <col min="2583" max="2583" width="14.453125" style="614" bestFit="1" customWidth="1"/>
    <col min="2584" max="2584" width="10.26953125" style="614" customWidth="1"/>
    <col min="2585" max="2585" width="6" style="614" bestFit="1" customWidth="1"/>
    <col min="2586" max="2586" width="10.90625" style="614"/>
    <col min="2587" max="2588" width="14.453125" style="614" bestFit="1" customWidth="1"/>
    <col min="2589" max="2589" width="12.81640625" style="614" bestFit="1" customWidth="1"/>
    <col min="2590" max="2590" width="14.453125" style="614" bestFit="1" customWidth="1"/>
    <col min="2591" max="2811" width="10.90625" style="614"/>
    <col min="2812" max="2812" width="5.7265625" style="614" customWidth="1"/>
    <col min="2813" max="2813" width="35.1796875" style="614" customWidth="1"/>
    <col min="2814" max="2815" width="10.26953125" style="614" customWidth="1"/>
    <col min="2816" max="2816" width="7.453125" style="614" customWidth="1"/>
    <col min="2817" max="2818" width="10.26953125" style="614" customWidth="1"/>
    <col min="2819" max="2819" width="7" style="614" customWidth="1"/>
    <col min="2820" max="2820" width="1" style="614" customWidth="1"/>
    <col min="2821" max="2822" width="8.7265625" style="614" customWidth="1"/>
    <col min="2823" max="2823" width="7.453125" style="614" customWidth="1"/>
    <col min="2824" max="2825" width="8.7265625" style="614" customWidth="1"/>
    <col min="2826" max="2826" width="8.453125" style="614" bestFit="1" customWidth="1"/>
    <col min="2827" max="2827" width="10.26953125" style="614" customWidth="1"/>
    <col min="2828" max="2828" width="10" style="614" customWidth="1"/>
    <col min="2829" max="2829" width="5.26953125" style="614" bestFit="1" customWidth="1"/>
    <col min="2830" max="2831" width="8.7265625" style="614" customWidth="1"/>
    <col min="2832" max="2832" width="9.7265625" style="614" customWidth="1"/>
    <col min="2833" max="2834" width="10.26953125" style="614" customWidth="1"/>
    <col min="2835" max="2835" width="7.81640625" style="614" bestFit="1" customWidth="1"/>
    <col min="2836" max="2836" width="13.453125" style="614" customWidth="1"/>
    <col min="2837" max="2837" width="3.26953125" style="614" customWidth="1"/>
    <col min="2838" max="2838" width="17.1796875" style="614" customWidth="1"/>
    <col min="2839" max="2839" width="14.453125" style="614" bestFit="1" customWidth="1"/>
    <col min="2840" max="2840" width="10.26953125" style="614" customWidth="1"/>
    <col min="2841" max="2841" width="6" style="614" bestFit="1" customWidth="1"/>
    <col min="2842" max="2842" width="10.90625" style="614"/>
    <col min="2843" max="2844" width="14.453125" style="614" bestFit="1" customWidth="1"/>
    <col min="2845" max="2845" width="12.81640625" style="614" bestFit="1" customWidth="1"/>
    <col min="2846" max="2846" width="14.453125" style="614" bestFit="1" customWidth="1"/>
    <col min="2847" max="3067" width="10.90625" style="614"/>
    <col min="3068" max="3068" width="5.7265625" style="614" customWidth="1"/>
    <col min="3069" max="3069" width="35.1796875" style="614" customWidth="1"/>
    <col min="3070" max="3071" width="10.26953125" style="614" customWidth="1"/>
    <col min="3072" max="3072" width="7.453125" style="614" customWidth="1"/>
    <col min="3073" max="3074" width="10.26953125" style="614" customWidth="1"/>
    <col min="3075" max="3075" width="7" style="614" customWidth="1"/>
    <col min="3076" max="3076" width="1" style="614" customWidth="1"/>
    <col min="3077" max="3078" width="8.7265625" style="614" customWidth="1"/>
    <col min="3079" max="3079" width="7.453125" style="614" customWidth="1"/>
    <col min="3080" max="3081" width="8.7265625" style="614" customWidth="1"/>
    <col min="3082" max="3082" width="8.453125" style="614" bestFit="1" customWidth="1"/>
    <col min="3083" max="3083" width="10.26953125" style="614" customWidth="1"/>
    <col min="3084" max="3084" width="10" style="614" customWidth="1"/>
    <col min="3085" max="3085" width="5.26953125" style="614" bestFit="1" customWidth="1"/>
    <col min="3086" max="3087" width="8.7265625" style="614" customWidth="1"/>
    <col min="3088" max="3088" width="9.7265625" style="614" customWidth="1"/>
    <col min="3089" max="3090" width="10.26953125" style="614" customWidth="1"/>
    <col min="3091" max="3091" width="7.81640625" style="614" bestFit="1" customWidth="1"/>
    <col min="3092" max="3092" width="13.453125" style="614" customWidth="1"/>
    <col min="3093" max="3093" width="3.26953125" style="614" customWidth="1"/>
    <col min="3094" max="3094" width="17.1796875" style="614" customWidth="1"/>
    <col min="3095" max="3095" width="14.453125" style="614" bestFit="1" customWidth="1"/>
    <col min="3096" max="3096" width="10.26953125" style="614" customWidth="1"/>
    <col min="3097" max="3097" width="6" style="614" bestFit="1" customWidth="1"/>
    <col min="3098" max="3098" width="10.90625" style="614"/>
    <col min="3099" max="3100" width="14.453125" style="614" bestFit="1" customWidth="1"/>
    <col min="3101" max="3101" width="12.81640625" style="614" bestFit="1" customWidth="1"/>
    <col min="3102" max="3102" width="14.453125" style="614" bestFit="1" customWidth="1"/>
    <col min="3103" max="3323" width="10.90625" style="614"/>
    <col min="3324" max="3324" width="5.7265625" style="614" customWidth="1"/>
    <col min="3325" max="3325" width="35.1796875" style="614" customWidth="1"/>
    <col min="3326" max="3327" width="10.26953125" style="614" customWidth="1"/>
    <col min="3328" max="3328" width="7.453125" style="614" customWidth="1"/>
    <col min="3329" max="3330" width="10.26953125" style="614" customWidth="1"/>
    <col min="3331" max="3331" width="7" style="614" customWidth="1"/>
    <col min="3332" max="3332" width="1" style="614" customWidth="1"/>
    <col min="3333" max="3334" width="8.7265625" style="614" customWidth="1"/>
    <col min="3335" max="3335" width="7.453125" style="614" customWidth="1"/>
    <col min="3336" max="3337" width="8.7265625" style="614" customWidth="1"/>
    <col min="3338" max="3338" width="8.453125" style="614" bestFit="1" customWidth="1"/>
    <col min="3339" max="3339" width="10.26953125" style="614" customWidth="1"/>
    <col min="3340" max="3340" width="10" style="614" customWidth="1"/>
    <col min="3341" max="3341" width="5.26953125" style="614" bestFit="1" customWidth="1"/>
    <col min="3342" max="3343" width="8.7265625" style="614" customWidth="1"/>
    <col min="3344" max="3344" width="9.7265625" style="614" customWidth="1"/>
    <col min="3345" max="3346" width="10.26953125" style="614" customWidth="1"/>
    <col min="3347" max="3347" width="7.81640625" style="614" bestFit="1" customWidth="1"/>
    <col min="3348" max="3348" width="13.453125" style="614" customWidth="1"/>
    <col min="3349" max="3349" width="3.26953125" style="614" customWidth="1"/>
    <col min="3350" max="3350" width="17.1796875" style="614" customWidth="1"/>
    <col min="3351" max="3351" width="14.453125" style="614" bestFit="1" customWidth="1"/>
    <col min="3352" max="3352" width="10.26953125" style="614" customWidth="1"/>
    <col min="3353" max="3353" width="6" style="614" bestFit="1" customWidth="1"/>
    <col min="3354" max="3354" width="10.90625" style="614"/>
    <col min="3355" max="3356" width="14.453125" style="614" bestFit="1" customWidth="1"/>
    <col min="3357" max="3357" width="12.81640625" style="614" bestFit="1" customWidth="1"/>
    <col min="3358" max="3358" width="14.453125" style="614" bestFit="1" customWidth="1"/>
    <col min="3359" max="3579" width="10.90625" style="614"/>
    <col min="3580" max="3580" width="5.7265625" style="614" customWidth="1"/>
    <col min="3581" max="3581" width="35.1796875" style="614" customWidth="1"/>
    <col min="3582" max="3583" width="10.26953125" style="614" customWidth="1"/>
    <col min="3584" max="3584" width="7.453125" style="614" customWidth="1"/>
    <col min="3585" max="3586" width="10.26953125" style="614" customWidth="1"/>
    <col min="3587" max="3587" width="7" style="614" customWidth="1"/>
    <col min="3588" max="3588" width="1" style="614" customWidth="1"/>
    <col min="3589" max="3590" width="8.7265625" style="614" customWidth="1"/>
    <col min="3591" max="3591" width="7.453125" style="614" customWidth="1"/>
    <col min="3592" max="3593" width="8.7265625" style="614" customWidth="1"/>
    <col min="3594" max="3594" width="8.453125" style="614" bestFit="1" customWidth="1"/>
    <col min="3595" max="3595" width="10.26953125" style="614" customWidth="1"/>
    <col min="3596" max="3596" width="10" style="614" customWidth="1"/>
    <col min="3597" max="3597" width="5.26953125" style="614" bestFit="1" customWidth="1"/>
    <col min="3598" max="3599" width="8.7265625" style="614" customWidth="1"/>
    <col min="3600" max="3600" width="9.7265625" style="614" customWidth="1"/>
    <col min="3601" max="3602" width="10.26953125" style="614" customWidth="1"/>
    <col min="3603" max="3603" width="7.81640625" style="614" bestFit="1" customWidth="1"/>
    <col min="3604" max="3604" width="13.453125" style="614" customWidth="1"/>
    <col min="3605" max="3605" width="3.26953125" style="614" customWidth="1"/>
    <col min="3606" max="3606" width="17.1796875" style="614" customWidth="1"/>
    <col min="3607" max="3607" width="14.453125" style="614" bestFit="1" customWidth="1"/>
    <col min="3608" max="3608" width="10.26953125" style="614" customWidth="1"/>
    <col min="3609" max="3609" width="6" style="614" bestFit="1" customWidth="1"/>
    <col min="3610" max="3610" width="10.90625" style="614"/>
    <col min="3611" max="3612" width="14.453125" style="614" bestFit="1" customWidth="1"/>
    <col min="3613" max="3613" width="12.81640625" style="614" bestFit="1" customWidth="1"/>
    <col min="3614" max="3614" width="14.453125" style="614" bestFit="1" customWidth="1"/>
    <col min="3615" max="3835" width="10.90625" style="614"/>
    <col min="3836" max="3836" width="5.7265625" style="614" customWidth="1"/>
    <col min="3837" max="3837" width="35.1796875" style="614" customWidth="1"/>
    <col min="3838" max="3839" width="10.26953125" style="614" customWidth="1"/>
    <col min="3840" max="3840" width="7.453125" style="614" customWidth="1"/>
    <col min="3841" max="3842" width="10.26953125" style="614" customWidth="1"/>
    <col min="3843" max="3843" width="7" style="614" customWidth="1"/>
    <col min="3844" max="3844" width="1" style="614" customWidth="1"/>
    <col min="3845" max="3846" width="8.7265625" style="614" customWidth="1"/>
    <col min="3847" max="3847" width="7.453125" style="614" customWidth="1"/>
    <col min="3848" max="3849" width="8.7265625" style="614" customWidth="1"/>
    <col min="3850" max="3850" width="8.453125" style="614" bestFit="1" customWidth="1"/>
    <col min="3851" max="3851" width="10.26953125" style="614" customWidth="1"/>
    <col min="3852" max="3852" width="10" style="614" customWidth="1"/>
    <col min="3853" max="3853" width="5.26953125" style="614" bestFit="1" customWidth="1"/>
    <col min="3854" max="3855" width="8.7265625" style="614" customWidth="1"/>
    <col min="3856" max="3856" width="9.7265625" style="614" customWidth="1"/>
    <col min="3857" max="3858" width="10.26953125" style="614" customWidth="1"/>
    <col min="3859" max="3859" width="7.81640625" style="614" bestFit="1" customWidth="1"/>
    <col min="3860" max="3860" width="13.453125" style="614" customWidth="1"/>
    <col min="3861" max="3861" width="3.26953125" style="614" customWidth="1"/>
    <col min="3862" max="3862" width="17.1796875" style="614" customWidth="1"/>
    <col min="3863" max="3863" width="14.453125" style="614" bestFit="1" customWidth="1"/>
    <col min="3864" max="3864" width="10.26953125" style="614" customWidth="1"/>
    <col min="3865" max="3865" width="6" style="614" bestFit="1" customWidth="1"/>
    <col min="3866" max="3866" width="10.90625" style="614"/>
    <col min="3867" max="3868" width="14.453125" style="614" bestFit="1" customWidth="1"/>
    <col min="3869" max="3869" width="12.81640625" style="614" bestFit="1" customWidth="1"/>
    <col min="3870" max="3870" width="14.453125" style="614" bestFit="1" customWidth="1"/>
    <col min="3871" max="4091" width="10.90625" style="614"/>
    <col min="4092" max="4092" width="5.7265625" style="614" customWidth="1"/>
    <col min="4093" max="4093" width="35.1796875" style="614" customWidth="1"/>
    <col min="4094" max="4095" width="10.26953125" style="614" customWidth="1"/>
    <col min="4096" max="4096" width="7.453125" style="614" customWidth="1"/>
    <col min="4097" max="4098" width="10.26953125" style="614" customWidth="1"/>
    <col min="4099" max="4099" width="7" style="614" customWidth="1"/>
    <col min="4100" max="4100" width="1" style="614" customWidth="1"/>
    <col min="4101" max="4102" width="8.7265625" style="614" customWidth="1"/>
    <col min="4103" max="4103" width="7.453125" style="614" customWidth="1"/>
    <col min="4104" max="4105" width="8.7265625" style="614" customWidth="1"/>
    <col min="4106" max="4106" width="8.453125" style="614" bestFit="1" customWidth="1"/>
    <col min="4107" max="4107" width="10.26953125" style="614" customWidth="1"/>
    <col min="4108" max="4108" width="10" style="614" customWidth="1"/>
    <col min="4109" max="4109" width="5.26953125" style="614" bestFit="1" customWidth="1"/>
    <col min="4110" max="4111" width="8.7265625" style="614" customWidth="1"/>
    <col min="4112" max="4112" width="9.7265625" style="614" customWidth="1"/>
    <col min="4113" max="4114" width="10.26953125" style="614" customWidth="1"/>
    <col min="4115" max="4115" width="7.81640625" style="614" bestFit="1" customWidth="1"/>
    <col min="4116" max="4116" width="13.453125" style="614" customWidth="1"/>
    <col min="4117" max="4117" width="3.26953125" style="614" customWidth="1"/>
    <col min="4118" max="4118" width="17.1796875" style="614" customWidth="1"/>
    <col min="4119" max="4119" width="14.453125" style="614" bestFit="1" customWidth="1"/>
    <col min="4120" max="4120" width="10.26953125" style="614" customWidth="1"/>
    <col min="4121" max="4121" width="6" style="614" bestFit="1" customWidth="1"/>
    <col min="4122" max="4122" width="10.90625" style="614"/>
    <col min="4123" max="4124" width="14.453125" style="614" bestFit="1" customWidth="1"/>
    <col min="4125" max="4125" width="12.81640625" style="614" bestFit="1" customWidth="1"/>
    <col min="4126" max="4126" width="14.453125" style="614" bestFit="1" customWidth="1"/>
    <col min="4127" max="4347" width="10.90625" style="614"/>
    <col min="4348" max="4348" width="5.7265625" style="614" customWidth="1"/>
    <col min="4349" max="4349" width="35.1796875" style="614" customWidth="1"/>
    <col min="4350" max="4351" width="10.26953125" style="614" customWidth="1"/>
    <col min="4352" max="4352" width="7.453125" style="614" customWidth="1"/>
    <col min="4353" max="4354" width="10.26953125" style="614" customWidth="1"/>
    <col min="4355" max="4355" width="7" style="614" customWidth="1"/>
    <col min="4356" max="4356" width="1" style="614" customWidth="1"/>
    <col min="4357" max="4358" width="8.7265625" style="614" customWidth="1"/>
    <col min="4359" max="4359" width="7.453125" style="614" customWidth="1"/>
    <col min="4360" max="4361" width="8.7265625" style="614" customWidth="1"/>
    <col min="4362" max="4362" width="8.453125" style="614" bestFit="1" customWidth="1"/>
    <col min="4363" max="4363" width="10.26953125" style="614" customWidth="1"/>
    <col min="4364" max="4364" width="10" style="614" customWidth="1"/>
    <col min="4365" max="4365" width="5.26953125" style="614" bestFit="1" customWidth="1"/>
    <col min="4366" max="4367" width="8.7265625" style="614" customWidth="1"/>
    <col min="4368" max="4368" width="9.7265625" style="614" customWidth="1"/>
    <col min="4369" max="4370" width="10.26953125" style="614" customWidth="1"/>
    <col min="4371" max="4371" width="7.81640625" style="614" bestFit="1" customWidth="1"/>
    <col min="4372" max="4372" width="13.453125" style="614" customWidth="1"/>
    <col min="4373" max="4373" width="3.26953125" style="614" customWidth="1"/>
    <col min="4374" max="4374" width="17.1796875" style="614" customWidth="1"/>
    <col min="4375" max="4375" width="14.453125" style="614" bestFit="1" customWidth="1"/>
    <col min="4376" max="4376" width="10.26953125" style="614" customWidth="1"/>
    <col min="4377" max="4377" width="6" style="614" bestFit="1" customWidth="1"/>
    <col min="4378" max="4378" width="10.90625" style="614"/>
    <col min="4379" max="4380" width="14.453125" style="614" bestFit="1" customWidth="1"/>
    <col min="4381" max="4381" width="12.81640625" style="614" bestFit="1" customWidth="1"/>
    <col min="4382" max="4382" width="14.453125" style="614" bestFit="1" customWidth="1"/>
    <col min="4383" max="4603" width="10.90625" style="614"/>
    <col min="4604" max="4604" width="5.7265625" style="614" customWidth="1"/>
    <col min="4605" max="4605" width="35.1796875" style="614" customWidth="1"/>
    <col min="4606" max="4607" width="10.26953125" style="614" customWidth="1"/>
    <col min="4608" max="4608" width="7.453125" style="614" customWidth="1"/>
    <col min="4609" max="4610" width="10.26953125" style="614" customWidth="1"/>
    <col min="4611" max="4611" width="7" style="614" customWidth="1"/>
    <col min="4612" max="4612" width="1" style="614" customWidth="1"/>
    <col min="4613" max="4614" width="8.7265625" style="614" customWidth="1"/>
    <col min="4615" max="4615" width="7.453125" style="614" customWidth="1"/>
    <col min="4616" max="4617" width="8.7265625" style="614" customWidth="1"/>
    <col min="4618" max="4618" width="8.453125" style="614" bestFit="1" customWidth="1"/>
    <col min="4619" max="4619" width="10.26953125" style="614" customWidth="1"/>
    <col min="4620" max="4620" width="10" style="614" customWidth="1"/>
    <col min="4621" max="4621" width="5.26953125" style="614" bestFit="1" customWidth="1"/>
    <col min="4622" max="4623" width="8.7265625" style="614" customWidth="1"/>
    <col min="4624" max="4624" width="9.7265625" style="614" customWidth="1"/>
    <col min="4625" max="4626" width="10.26953125" style="614" customWidth="1"/>
    <col min="4627" max="4627" width="7.81640625" style="614" bestFit="1" customWidth="1"/>
    <col min="4628" max="4628" width="13.453125" style="614" customWidth="1"/>
    <col min="4629" max="4629" width="3.26953125" style="614" customWidth="1"/>
    <col min="4630" max="4630" width="17.1796875" style="614" customWidth="1"/>
    <col min="4631" max="4631" width="14.453125" style="614" bestFit="1" customWidth="1"/>
    <col min="4632" max="4632" width="10.26953125" style="614" customWidth="1"/>
    <col min="4633" max="4633" width="6" style="614" bestFit="1" customWidth="1"/>
    <col min="4634" max="4634" width="10.90625" style="614"/>
    <col min="4635" max="4636" width="14.453125" style="614" bestFit="1" customWidth="1"/>
    <col min="4637" max="4637" width="12.81640625" style="614" bestFit="1" customWidth="1"/>
    <col min="4638" max="4638" width="14.453125" style="614" bestFit="1" customWidth="1"/>
    <col min="4639" max="4859" width="10.90625" style="614"/>
    <col min="4860" max="4860" width="5.7265625" style="614" customWidth="1"/>
    <col min="4861" max="4861" width="35.1796875" style="614" customWidth="1"/>
    <col min="4862" max="4863" width="10.26953125" style="614" customWidth="1"/>
    <col min="4864" max="4864" width="7.453125" style="614" customWidth="1"/>
    <col min="4865" max="4866" width="10.26953125" style="614" customWidth="1"/>
    <col min="4867" max="4867" width="7" style="614" customWidth="1"/>
    <col min="4868" max="4868" width="1" style="614" customWidth="1"/>
    <col min="4869" max="4870" width="8.7265625" style="614" customWidth="1"/>
    <col min="4871" max="4871" width="7.453125" style="614" customWidth="1"/>
    <col min="4872" max="4873" width="8.7265625" style="614" customWidth="1"/>
    <col min="4874" max="4874" width="8.453125" style="614" bestFit="1" customWidth="1"/>
    <col min="4875" max="4875" width="10.26953125" style="614" customWidth="1"/>
    <col min="4876" max="4876" width="10" style="614" customWidth="1"/>
    <col min="4877" max="4877" width="5.26953125" style="614" bestFit="1" customWidth="1"/>
    <col min="4878" max="4879" width="8.7265625" style="614" customWidth="1"/>
    <col min="4880" max="4880" width="9.7265625" style="614" customWidth="1"/>
    <col min="4881" max="4882" width="10.26953125" style="614" customWidth="1"/>
    <col min="4883" max="4883" width="7.81640625" style="614" bestFit="1" customWidth="1"/>
    <col min="4884" max="4884" width="13.453125" style="614" customWidth="1"/>
    <col min="4885" max="4885" width="3.26953125" style="614" customWidth="1"/>
    <col min="4886" max="4886" width="17.1796875" style="614" customWidth="1"/>
    <col min="4887" max="4887" width="14.453125" style="614" bestFit="1" customWidth="1"/>
    <col min="4888" max="4888" width="10.26953125" style="614" customWidth="1"/>
    <col min="4889" max="4889" width="6" style="614" bestFit="1" customWidth="1"/>
    <col min="4890" max="4890" width="10.90625" style="614"/>
    <col min="4891" max="4892" width="14.453125" style="614" bestFit="1" customWidth="1"/>
    <col min="4893" max="4893" width="12.81640625" style="614" bestFit="1" customWidth="1"/>
    <col min="4894" max="4894" width="14.453125" style="614" bestFit="1" customWidth="1"/>
    <col min="4895" max="5115" width="10.90625" style="614"/>
    <col min="5116" max="5116" width="5.7265625" style="614" customWidth="1"/>
    <col min="5117" max="5117" width="35.1796875" style="614" customWidth="1"/>
    <col min="5118" max="5119" width="10.26953125" style="614" customWidth="1"/>
    <col min="5120" max="5120" width="7.453125" style="614" customWidth="1"/>
    <col min="5121" max="5122" width="10.26953125" style="614" customWidth="1"/>
    <col min="5123" max="5123" width="7" style="614" customWidth="1"/>
    <col min="5124" max="5124" width="1" style="614" customWidth="1"/>
    <col min="5125" max="5126" width="8.7265625" style="614" customWidth="1"/>
    <col min="5127" max="5127" width="7.453125" style="614" customWidth="1"/>
    <col min="5128" max="5129" width="8.7265625" style="614" customWidth="1"/>
    <col min="5130" max="5130" width="8.453125" style="614" bestFit="1" customWidth="1"/>
    <col min="5131" max="5131" width="10.26953125" style="614" customWidth="1"/>
    <col min="5132" max="5132" width="10" style="614" customWidth="1"/>
    <col min="5133" max="5133" width="5.26953125" style="614" bestFit="1" customWidth="1"/>
    <col min="5134" max="5135" width="8.7265625" style="614" customWidth="1"/>
    <col min="5136" max="5136" width="9.7265625" style="614" customWidth="1"/>
    <col min="5137" max="5138" width="10.26953125" style="614" customWidth="1"/>
    <col min="5139" max="5139" width="7.81640625" style="614" bestFit="1" customWidth="1"/>
    <col min="5140" max="5140" width="13.453125" style="614" customWidth="1"/>
    <col min="5141" max="5141" width="3.26953125" style="614" customWidth="1"/>
    <col min="5142" max="5142" width="17.1796875" style="614" customWidth="1"/>
    <col min="5143" max="5143" width="14.453125" style="614" bestFit="1" customWidth="1"/>
    <col min="5144" max="5144" width="10.26953125" style="614" customWidth="1"/>
    <col min="5145" max="5145" width="6" style="614" bestFit="1" customWidth="1"/>
    <col min="5146" max="5146" width="10.90625" style="614"/>
    <col min="5147" max="5148" width="14.453125" style="614" bestFit="1" customWidth="1"/>
    <col min="5149" max="5149" width="12.81640625" style="614" bestFit="1" customWidth="1"/>
    <col min="5150" max="5150" width="14.453125" style="614" bestFit="1" customWidth="1"/>
    <col min="5151" max="5371" width="10.90625" style="614"/>
    <col min="5372" max="5372" width="5.7265625" style="614" customWidth="1"/>
    <col min="5373" max="5373" width="35.1796875" style="614" customWidth="1"/>
    <col min="5374" max="5375" width="10.26953125" style="614" customWidth="1"/>
    <col min="5376" max="5376" width="7.453125" style="614" customWidth="1"/>
    <col min="5377" max="5378" width="10.26953125" style="614" customWidth="1"/>
    <col min="5379" max="5379" width="7" style="614" customWidth="1"/>
    <col min="5380" max="5380" width="1" style="614" customWidth="1"/>
    <col min="5381" max="5382" width="8.7265625" style="614" customWidth="1"/>
    <col min="5383" max="5383" width="7.453125" style="614" customWidth="1"/>
    <col min="5384" max="5385" width="8.7265625" style="614" customWidth="1"/>
    <col min="5386" max="5386" width="8.453125" style="614" bestFit="1" customWidth="1"/>
    <col min="5387" max="5387" width="10.26953125" style="614" customWidth="1"/>
    <col min="5388" max="5388" width="10" style="614" customWidth="1"/>
    <col min="5389" max="5389" width="5.26953125" style="614" bestFit="1" customWidth="1"/>
    <col min="5390" max="5391" width="8.7265625" style="614" customWidth="1"/>
    <col min="5392" max="5392" width="9.7265625" style="614" customWidth="1"/>
    <col min="5393" max="5394" width="10.26953125" style="614" customWidth="1"/>
    <col min="5395" max="5395" width="7.81640625" style="614" bestFit="1" customWidth="1"/>
    <col min="5396" max="5396" width="13.453125" style="614" customWidth="1"/>
    <col min="5397" max="5397" width="3.26953125" style="614" customWidth="1"/>
    <col min="5398" max="5398" width="17.1796875" style="614" customWidth="1"/>
    <col min="5399" max="5399" width="14.453125" style="614" bestFit="1" customWidth="1"/>
    <col min="5400" max="5400" width="10.26953125" style="614" customWidth="1"/>
    <col min="5401" max="5401" width="6" style="614" bestFit="1" customWidth="1"/>
    <col min="5402" max="5402" width="10.90625" style="614"/>
    <col min="5403" max="5404" width="14.453125" style="614" bestFit="1" customWidth="1"/>
    <col min="5405" max="5405" width="12.81640625" style="614" bestFit="1" customWidth="1"/>
    <col min="5406" max="5406" width="14.453125" style="614" bestFit="1" customWidth="1"/>
    <col min="5407" max="5627" width="10.90625" style="614"/>
    <col min="5628" max="5628" width="5.7265625" style="614" customWidth="1"/>
    <col min="5629" max="5629" width="35.1796875" style="614" customWidth="1"/>
    <col min="5630" max="5631" width="10.26953125" style="614" customWidth="1"/>
    <col min="5632" max="5632" width="7.453125" style="614" customWidth="1"/>
    <col min="5633" max="5634" width="10.26953125" style="614" customWidth="1"/>
    <col min="5635" max="5635" width="7" style="614" customWidth="1"/>
    <col min="5636" max="5636" width="1" style="614" customWidth="1"/>
    <col min="5637" max="5638" width="8.7265625" style="614" customWidth="1"/>
    <col min="5639" max="5639" width="7.453125" style="614" customWidth="1"/>
    <col min="5640" max="5641" width="8.7265625" style="614" customWidth="1"/>
    <col min="5642" max="5642" width="8.453125" style="614" bestFit="1" customWidth="1"/>
    <col min="5643" max="5643" width="10.26953125" style="614" customWidth="1"/>
    <col min="5644" max="5644" width="10" style="614" customWidth="1"/>
    <col min="5645" max="5645" width="5.26953125" style="614" bestFit="1" customWidth="1"/>
    <col min="5646" max="5647" width="8.7265625" style="614" customWidth="1"/>
    <col min="5648" max="5648" width="9.7265625" style="614" customWidth="1"/>
    <col min="5649" max="5650" width="10.26953125" style="614" customWidth="1"/>
    <col min="5651" max="5651" width="7.81640625" style="614" bestFit="1" customWidth="1"/>
    <col min="5652" max="5652" width="13.453125" style="614" customWidth="1"/>
    <col min="5653" max="5653" width="3.26953125" style="614" customWidth="1"/>
    <col min="5654" max="5654" width="17.1796875" style="614" customWidth="1"/>
    <col min="5655" max="5655" width="14.453125" style="614" bestFit="1" customWidth="1"/>
    <col min="5656" max="5656" width="10.26953125" style="614" customWidth="1"/>
    <col min="5657" max="5657" width="6" style="614" bestFit="1" customWidth="1"/>
    <col min="5658" max="5658" width="10.90625" style="614"/>
    <col min="5659" max="5660" width="14.453125" style="614" bestFit="1" customWidth="1"/>
    <col min="5661" max="5661" width="12.81640625" style="614" bestFit="1" customWidth="1"/>
    <col min="5662" max="5662" width="14.453125" style="614" bestFit="1" customWidth="1"/>
    <col min="5663" max="5883" width="10.90625" style="614"/>
    <col min="5884" max="5884" width="5.7265625" style="614" customWidth="1"/>
    <col min="5885" max="5885" width="35.1796875" style="614" customWidth="1"/>
    <col min="5886" max="5887" width="10.26953125" style="614" customWidth="1"/>
    <col min="5888" max="5888" width="7.453125" style="614" customWidth="1"/>
    <col min="5889" max="5890" width="10.26953125" style="614" customWidth="1"/>
    <col min="5891" max="5891" width="7" style="614" customWidth="1"/>
    <col min="5892" max="5892" width="1" style="614" customWidth="1"/>
    <col min="5893" max="5894" width="8.7265625" style="614" customWidth="1"/>
    <col min="5895" max="5895" width="7.453125" style="614" customWidth="1"/>
    <col min="5896" max="5897" width="8.7265625" style="614" customWidth="1"/>
    <col min="5898" max="5898" width="8.453125" style="614" bestFit="1" customWidth="1"/>
    <col min="5899" max="5899" width="10.26953125" style="614" customWidth="1"/>
    <col min="5900" max="5900" width="10" style="614" customWidth="1"/>
    <col min="5901" max="5901" width="5.26953125" style="614" bestFit="1" customWidth="1"/>
    <col min="5902" max="5903" width="8.7265625" style="614" customWidth="1"/>
    <col min="5904" max="5904" width="9.7265625" style="614" customWidth="1"/>
    <col min="5905" max="5906" width="10.26953125" style="614" customWidth="1"/>
    <col min="5907" max="5907" width="7.81640625" style="614" bestFit="1" customWidth="1"/>
    <col min="5908" max="5908" width="13.453125" style="614" customWidth="1"/>
    <col min="5909" max="5909" width="3.26953125" style="614" customWidth="1"/>
    <col min="5910" max="5910" width="17.1796875" style="614" customWidth="1"/>
    <col min="5911" max="5911" width="14.453125" style="614" bestFit="1" customWidth="1"/>
    <col min="5912" max="5912" width="10.26953125" style="614" customWidth="1"/>
    <col min="5913" max="5913" width="6" style="614" bestFit="1" customWidth="1"/>
    <col min="5914" max="5914" width="10.90625" style="614"/>
    <col min="5915" max="5916" width="14.453125" style="614" bestFit="1" customWidth="1"/>
    <col min="5917" max="5917" width="12.81640625" style="614" bestFit="1" customWidth="1"/>
    <col min="5918" max="5918" width="14.453125" style="614" bestFit="1" customWidth="1"/>
    <col min="5919" max="6139" width="10.90625" style="614"/>
    <col min="6140" max="6140" width="5.7265625" style="614" customWidth="1"/>
    <col min="6141" max="6141" width="35.1796875" style="614" customWidth="1"/>
    <col min="6142" max="6143" width="10.26953125" style="614" customWidth="1"/>
    <col min="6144" max="6144" width="7.453125" style="614" customWidth="1"/>
    <col min="6145" max="6146" width="10.26953125" style="614" customWidth="1"/>
    <col min="6147" max="6147" width="7" style="614" customWidth="1"/>
    <col min="6148" max="6148" width="1" style="614" customWidth="1"/>
    <col min="6149" max="6150" width="8.7265625" style="614" customWidth="1"/>
    <col min="6151" max="6151" width="7.453125" style="614" customWidth="1"/>
    <col min="6152" max="6153" width="8.7265625" style="614" customWidth="1"/>
    <col min="6154" max="6154" width="8.453125" style="614" bestFit="1" customWidth="1"/>
    <col min="6155" max="6155" width="10.26953125" style="614" customWidth="1"/>
    <col min="6156" max="6156" width="10" style="614" customWidth="1"/>
    <col min="6157" max="6157" width="5.26953125" style="614" bestFit="1" customWidth="1"/>
    <col min="6158" max="6159" width="8.7265625" style="614" customWidth="1"/>
    <col min="6160" max="6160" width="9.7265625" style="614" customWidth="1"/>
    <col min="6161" max="6162" width="10.26953125" style="614" customWidth="1"/>
    <col min="6163" max="6163" width="7.81640625" style="614" bestFit="1" customWidth="1"/>
    <col min="6164" max="6164" width="13.453125" style="614" customWidth="1"/>
    <col min="6165" max="6165" width="3.26953125" style="614" customWidth="1"/>
    <col min="6166" max="6166" width="17.1796875" style="614" customWidth="1"/>
    <col min="6167" max="6167" width="14.453125" style="614" bestFit="1" customWidth="1"/>
    <col min="6168" max="6168" width="10.26953125" style="614" customWidth="1"/>
    <col min="6169" max="6169" width="6" style="614" bestFit="1" customWidth="1"/>
    <col min="6170" max="6170" width="10.90625" style="614"/>
    <col min="6171" max="6172" width="14.453125" style="614" bestFit="1" customWidth="1"/>
    <col min="6173" max="6173" width="12.81640625" style="614" bestFit="1" customWidth="1"/>
    <col min="6174" max="6174" width="14.453125" style="614" bestFit="1" customWidth="1"/>
    <col min="6175" max="6395" width="10.90625" style="614"/>
    <col min="6396" max="6396" width="5.7265625" style="614" customWidth="1"/>
    <col min="6397" max="6397" width="35.1796875" style="614" customWidth="1"/>
    <col min="6398" max="6399" width="10.26953125" style="614" customWidth="1"/>
    <col min="6400" max="6400" width="7.453125" style="614" customWidth="1"/>
    <col min="6401" max="6402" width="10.26953125" style="614" customWidth="1"/>
    <col min="6403" max="6403" width="7" style="614" customWidth="1"/>
    <col min="6404" max="6404" width="1" style="614" customWidth="1"/>
    <col min="6405" max="6406" width="8.7265625" style="614" customWidth="1"/>
    <col min="6407" max="6407" width="7.453125" style="614" customWidth="1"/>
    <col min="6408" max="6409" width="8.7265625" style="614" customWidth="1"/>
    <col min="6410" max="6410" width="8.453125" style="614" bestFit="1" customWidth="1"/>
    <col min="6411" max="6411" width="10.26953125" style="614" customWidth="1"/>
    <col min="6412" max="6412" width="10" style="614" customWidth="1"/>
    <col min="6413" max="6413" width="5.26953125" style="614" bestFit="1" customWidth="1"/>
    <col min="6414" max="6415" width="8.7265625" style="614" customWidth="1"/>
    <col min="6416" max="6416" width="9.7265625" style="614" customWidth="1"/>
    <col min="6417" max="6418" width="10.26953125" style="614" customWidth="1"/>
    <col min="6419" max="6419" width="7.81640625" style="614" bestFit="1" customWidth="1"/>
    <col min="6420" max="6420" width="13.453125" style="614" customWidth="1"/>
    <col min="6421" max="6421" width="3.26953125" style="614" customWidth="1"/>
    <col min="6422" max="6422" width="17.1796875" style="614" customWidth="1"/>
    <col min="6423" max="6423" width="14.453125" style="614" bestFit="1" customWidth="1"/>
    <col min="6424" max="6424" width="10.26953125" style="614" customWidth="1"/>
    <col min="6425" max="6425" width="6" style="614" bestFit="1" customWidth="1"/>
    <col min="6426" max="6426" width="10.90625" style="614"/>
    <col min="6427" max="6428" width="14.453125" style="614" bestFit="1" customWidth="1"/>
    <col min="6429" max="6429" width="12.81640625" style="614" bestFit="1" customWidth="1"/>
    <col min="6430" max="6430" width="14.453125" style="614" bestFit="1" customWidth="1"/>
    <col min="6431" max="6651" width="10.90625" style="614"/>
    <col min="6652" max="6652" width="5.7265625" style="614" customWidth="1"/>
    <col min="6653" max="6653" width="35.1796875" style="614" customWidth="1"/>
    <col min="6654" max="6655" width="10.26953125" style="614" customWidth="1"/>
    <col min="6656" max="6656" width="7.453125" style="614" customWidth="1"/>
    <col min="6657" max="6658" width="10.26953125" style="614" customWidth="1"/>
    <col min="6659" max="6659" width="7" style="614" customWidth="1"/>
    <col min="6660" max="6660" width="1" style="614" customWidth="1"/>
    <col min="6661" max="6662" width="8.7265625" style="614" customWidth="1"/>
    <col min="6663" max="6663" width="7.453125" style="614" customWidth="1"/>
    <col min="6664" max="6665" width="8.7265625" style="614" customWidth="1"/>
    <col min="6666" max="6666" width="8.453125" style="614" bestFit="1" customWidth="1"/>
    <col min="6667" max="6667" width="10.26953125" style="614" customWidth="1"/>
    <col min="6668" max="6668" width="10" style="614" customWidth="1"/>
    <col min="6669" max="6669" width="5.26953125" style="614" bestFit="1" customWidth="1"/>
    <col min="6670" max="6671" width="8.7265625" style="614" customWidth="1"/>
    <col min="6672" max="6672" width="9.7265625" style="614" customWidth="1"/>
    <col min="6673" max="6674" width="10.26953125" style="614" customWidth="1"/>
    <col min="6675" max="6675" width="7.81640625" style="614" bestFit="1" customWidth="1"/>
    <col min="6676" max="6676" width="13.453125" style="614" customWidth="1"/>
    <col min="6677" max="6677" width="3.26953125" style="614" customWidth="1"/>
    <col min="6678" max="6678" width="17.1796875" style="614" customWidth="1"/>
    <col min="6679" max="6679" width="14.453125" style="614" bestFit="1" customWidth="1"/>
    <col min="6680" max="6680" width="10.26953125" style="614" customWidth="1"/>
    <col min="6681" max="6681" width="6" style="614" bestFit="1" customWidth="1"/>
    <col min="6682" max="6682" width="10.90625" style="614"/>
    <col min="6683" max="6684" width="14.453125" style="614" bestFit="1" customWidth="1"/>
    <col min="6685" max="6685" width="12.81640625" style="614" bestFit="1" customWidth="1"/>
    <col min="6686" max="6686" width="14.453125" style="614" bestFit="1" customWidth="1"/>
    <col min="6687" max="6907" width="10.90625" style="614"/>
    <col min="6908" max="6908" width="5.7265625" style="614" customWidth="1"/>
    <col min="6909" max="6909" width="35.1796875" style="614" customWidth="1"/>
    <col min="6910" max="6911" width="10.26953125" style="614" customWidth="1"/>
    <col min="6912" max="6912" width="7.453125" style="614" customWidth="1"/>
    <col min="6913" max="6914" width="10.26953125" style="614" customWidth="1"/>
    <col min="6915" max="6915" width="7" style="614" customWidth="1"/>
    <col min="6916" max="6916" width="1" style="614" customWidth="1"/>
    <col min="6917" max="6918" width="8.7265625" style="614" customWidth="1"/>
    <col min="6919" max="6919" width="7.453125" style="614" customWidth="1"/>
    <col min="6920" max="6921" width="8.7265625" style="614" customWidth="1"/>
    <col min="6922" max="6922" width="8.453125" style="614" bestFit="1" customWidth="1"/>
    <col min="6923" max="6923" width="10.26953125" style="614" customWidth="1"/>
    <col min="6924" max="6924" width="10" style="614" customWidth="1"/>
    <col min="6925" max="6925" width="5.26953125" style="614" bestFit="1" customWidth="1"/>
    <col min="6926" max="6927" width="8.7265625" style="614" customWidth="1"/>
    <col min="6928" max="6928" width="9.7265625" style="614" customWidth="1"/>
    <col min="6929" max="6930" width="10.26953125" style="614" customWidth="1"/>
    <col min="6931" max="6931" width="7.81640625" style="614" bestFit="1" customWidth="1"/>
    <col min="6932" max="6932" width="13.453125" style="614" customWidth="1"/>
    <col min="6933" max="6933" width="3.26953125" style="614" customWidth="1"/>
    <col min="6934" max="6934" width="17.1796875" style="614" customWidth="1"/>
    <col min="6935" max="6935" width="14.453125" style="614" bestFit="1" customWidth="1"/>
    <col min="6936" max="6936" width="10.26953125" style="614" customWidth="1"/>
    <col min="6937" max="6937" width="6" style="614" bestFit="1" customWidth="1"/>
    <col min="6938" max="6938" width="10.90625" style="614"/>
    <col min="6939" max="6940" width="14.453125" style="614" bestFit="1" customWidth="1"/>
    <col min="6941" max="6941" width="12.81640625" style="614" bestFit="1" customWidth="1"/>
    <col min="6942" max="6942" width="14.453125" style="614" bestFit="1" customWidth="1"/>
    <col min="6943" max="7163" width="10.90625" style="614"/>
    <col min="7164" max="7164" width="5.7265625" style="614" customWidth="1"/>
    <col min="7165" max="7165" width="35.1796875" style="614" customWidth="1"/>
    <col min="7166" max="7167" width="10.26953125" style="614" customWidth="1"/>
    <col min="7168" max="7168" width="7.453125" style="614" customWidth="1"/>
    <col min="7169" max="7170" width="10.26953125" style="614" customWidth="1"/>
    <col min="7171" max="7171" width="7" style="614" customWidth="1"/>
    <col min="7172" max="7172" width="1" style="614" customWidth="1"/>
    <col min="7173" max="7174" width="8.7265625" style="614" customWidth="1"/>
    <col min="7175" max="7175" width="7.453125" style="614" customWidth="1"/>
    <col min="7176" max="7177" width="8.7265625" style="614" customWidth="1"/>
    <col min="7178" max="7178" width="8.453125" style="614" bestFit="1" customWidth="1"/>
    <col min="7179" max="7179" width="10.26953125" style="614" customWidth="1"/>
    <col min="7180" max="7180" width="10" style="614" customWidth="1"/>
    <col min="7181" max="7181" width="5.26953125" style="614" bestFit="1" customWidth="1"/>
    <col min="7182" max="7183" width="8.7265625" style="614" customWidth="1"/>
    <col min="7184" max="7184" width="9.7265625" style="614" customWidth="1"/>
    <col min="7185" max="7186" width="10.26953125" style="614" customWidth="1"/>
    <col min="7187" max="7187" width="7.81640625" style="614" bestFit="1" customWidth="1"/>
    <col min="7188" max="7188" width="13.453125" style="614" customWidth="1"/>
    <col min="7189" max="7189" width="3.26953125" style="614" customWidth="1"/>
    <col min="7190" max="7190" width="17.1796875" style="614" customWidth="1"/>
    <col min="7191" max="7191" width="14.453125" style="614" bestFit="1" customWidth="1"/>
    <col min="7192" max="7192" width="10.26953125" style="614" customWidth="1"/>
    <col min="7193" max="7193" width="6" style="614" bestFit="1" customWidth="1"/>
    <col min="7194" max="7194" width="10.90625" style="614"/>
    <col min="7195" max="7196" width="14.453125" style="614" bestFit="1" customWidth="1"/>
    <col min="7197" max="7197" width="12.81640625" style="614" bestFit="1" customWidth="1"/>
    <col min="7198" max="7198" width="14.453125" style="614" bestFit="1" customWidth="1"/>
    <col min="7199" max="7419" width="10.90625" style="614"/>
    <col min="7420" max="7420" width="5.7265625" style="614" customWidth="1"/>
    <col min="7421" max="7421" width="35.1796875" style="614" customWidth="1"/>
    <col min="7422" max="7423" width="10.26953125" style="614" customWidth="1"/>
    <col min="7424" max="7424" width="7.453125" style="614" customWidth="1"/>
    <col min="7425" max="7426" width="10.26953125" style="614" customWidth="1"/>
    <col min="7427" max="7427" width="7" style="614" customWidth="1"/>
    <col min="7428" max="7428" width="1" style="614" customWidth="1"/>
    <col min="7429" max="7430" width="8.7265625" style="614" customWidth="1"/>
    <col min="7431" max="7431" width="7.453125" style="614" customWidth="1"/>
    <col min="7432" max="7433" width="8.7265625" style="614" customWidth="1"/>
    <col min="7434" max="7434" width="8.453125" style="614" bestFit="1" customWidth="1"/>
    <col min="7435" max="7435" width="10.26953125" style="614" customWidth="1"/>
    <col min="7436" max="7436" width="10" style="614" customWidth="1"/>
    <col min="7437" max="7437" width="5.26953125" style="614" bestFit="1" customWidth="1"/>
    <col min="7438" max="7439" width="8.7265625" style="614" customWidth="1"/>
    <col min="7440" max="7440" width="9.7265625" style="614" customWidth="1"/>
    <col min="7441" max="7442" width="10.26953125" style="614" customWidth="1"/>
    <col min="7443" max="7443" width="7.81640625" style="614" bestFit="1" customWidth="1"/>
    <col min="7444" max="7444" width="13.453125" style="614" customWidth="1"/>
    <col min="7445" max="7445" width="3.26953125" style="614" customWidth="1"/>
    <col min="7446" max="7446" width="17.1796875" style="614" customWidth="1"/>
    <col min="7447" max="7447" width="14.453125" style="614" bestFit="1" customWidth="1"/>
    <col min="7448" max="7448" width="10.26953125" style="614" customWidth="1"/>
    <col min="7449" max="7449" width="6" style="614" bestFit="1" customWidth="1"/>
    <col min="7450" max="7450" width="10.90625" style="614"/>
    <col min="7451" max="7452" width="14.453125" style="614" bestFit="1" customWidth="1"/>
    <col min="7453" max="7453" width="12.81640625" style="614" bestFit="1" customWidth="1"/>
    <col min="7454" max="7454" width="14.453125" style="614" bestFit="1" customWidth="1"/>
    <col min="7455" max="7675" width="10.90625" style="614"/>
    <col min="7676" max="7676" width="5.7265625" style="614" customWidth="1"/>
    <col min="7677" max="7677" width="35.1796875" style="614" customWidth="1"/>
    <col min="7678" max="7679" width="10.26953125" style="614" customWidth="1"/>
    <col min="7680" max="7680" width="7.453125" style="614" customWidth="1"/>
    <col min="7681" max="7682" width="10.26953125" style="614" customWidth="1"/>
    <col min="7683" max="7683" width="7" style="614" customWidth="1"/>
    <col min="7684" max="7684" width="1" style="614" customWidth="1"/>
    <col min="7685" max="7686" width="8.7265625" style="614" customWidth="1"/>
    <col min="7687" max="7687" width="7.453125" style="614" customWidth="1"/>
    <col min="7688" max="7689" width="8.7265625" style="614" customWidth="1"/>
    <col min="7690" max="7690" width="8.453125" style="614" bestFit="1" customWidth="1"/>
    <col min="7691" max="7691" width="10.26953125" style="614" customWidth="1"/>
    <col min="7692" max="7692" width="10" style="614" customWidth="1"/>
    <col min="7693" max="7693" width="5.26953125" style="614" bestFit="1" customWidth="1"/>
    <col min="7694" max="7695" width="8.7265625" style="614" customWidth="1"/>
    <col min="7696" max="7696" width="9.7265625" style="614" customWidth="1"/>
    <col min="7697" max="7698" width="10.26953125" style="614" customWidth="1"/>
    <col min="7699" max="7699" width="7.81640625" style="614" bestFit="1" customWidth="1"/>
    <col min="7700" max="7700" width="13.453125" style="614" customWidth="1"/>
    <col min="7701" max="7701" width="3.26953125" style="614" customWidth="1"/>
    <col min="7702" max="7702" width="17.1796875" style="614" customWidth="1"/>
    <col min="7703" max="7703" width="14.453125" style="614" bestFit="1" customWidth="1"/>
    <col min="7704" max="7704" width="10.26953125" style="614" customWidth="1"/>
    <col min="7705" max="7705" width="6" style="614" bestFit="1" customWidth="1"/>
    <col min="7706" max="7706" width="10.90625" style="614"/>
    <col min="7707" max="7708" width="14.453125" style="614" bestFit="1" customWidth="1"/>
    <col min="7709" max="7709" width="12.81640625" style="614" bestFit="1" customWidth="1"/>
    <col min="7710" max="7710" width="14.453125" style="614" bestFit="1" customWidth="1"/>
    <col min="7711" max="7931" width="10.90625" style="614"/>
    <col min="7932" max="7932" width="5.7265625" style="614" customWidth="1"/>
    <col min="7933" max="7933" width="35.1796875" style="614" customWidth="1"/>
    <col min="7934" max="7935" width="10.26953125" style="614" customWidth="1"/>
    <col min="7936" max="7936" width="7.453125" style="614" customWidth="1"/>
    <col min="7937" max="7938" width="10.26953125" style="614" customWidth="1"/>
    <col min="7939" max="7939" width="7" style="614" customWidth="1"/>
    <col min="7940" max="7940" width="1" style="614" customWidth="1"/>
    <col min="7941" max="7942" width="8.7265625" style="614" customWidth="1"/>
    <col min="7943" max="7943" width="7.453125" style="614" customWidth="1"/>
    <col min="7944" max="7945" width="8.7265625" style="614" customWidth="1"/>
    <col min="7946" max="7946" width="8.453125" style="614" bestFit="1" customWidth="1"/>
    <col min="7947" max="7947" width="10.26953125" style="614" customWidth="1"/>
    <col min="7948" max="7948" width="10" style="614" customWidth="1"/>
    <col min="7949" max="7949" width="5.26953125" style="614" bestFit="1" customWidth="1"/>
    <col min="7950" max="7951" width="8.7265625" style="614" customWidth="1"/>
    <col min="7952" max="7952" width="9.7265625" style="614" customWidth="1"/>
    <col min="7953" max="7954" width="10.26953125" style="614" customWidth="1"/>
    <col min="7955" max="7955" width="7.81640625" style="614" bestFit="1" customWidth="1"/>
    <col min="7956" max="7956" width="13.453125" style="614" customWidth="1"/>
    <col min="7957" max="7957" width="3.26953125" style="614" customWidth="1"/>
    <col min="7958" max="7958" width="17.1796875" style="614" customWidth="1"/>
    <col min="7959" max="7959" width="14.453125" style="614" bestFit="1" customWidth="1"/>
    <col min="7960" max="7960" width="10.26953125" style="614" customWidth="1"/>
    <col min="7961" max="7961" width="6" style="614" bestFit="1" customWidth="1"/>
    <col min="7962" max="7962" width="10.90625" style="614"/>
    <col min="7963" max="7964" width="14.453125" style="614" bestFit="1" customWidth="1"/>
    <col min="7965" max="7965" width="12.81640625" style="614" bestFit="1" customWidth="1"/>
    <col min="7966" max="7966" width="14.453125" style="614" bestFit="1" customWidth="1"/>
    <col min="7967" max="8187" width="10.90625" style="614"/>
    <col min="8188" max="8188" width="5.7265625" style="614" customWidth="1"/>
    <col min="8189" max="8189" width="35.1796875" style="614" customWidth="1"/>
    <col min="8190" max="8191" width="10.26953125" style="614" customWidth="1"/>
    <col min="8192" max="8192" width="7.453125" style="614" customWidth="1"/>
    <col min="8193" max="8194" width="10.26953125" style="614" customWidth="1"/>
    <col min="8195" max="8195" width="7" style="614" customWidth="1"/>
    <col min="8196" max="8196" width="1" style="614" customWidth="1"/>
    <col min="8197" max="8198" width="8.7265625" style="614" customWidth="1"/>
    <col min="8199" max="8199" width="7.453125" style="614" customWidth="1"/>
    <col min="8200" max="8201" width="8.7265625" style="614" customWidth="1"/>
    <col min="8202" max="8202" width="8.453125" style="614" bestFit="1" customWidth="1"/>
    <col min="8203" max="8203" width="10.26953125" style="614" customWidth="1"/>
    <col min="8204" max="8204" width="10" style="614" customWidth="1"/>
    <col min="8205" max="8205" width="5.26953125" style="614" bestFit="1" customWidth="1"/>
    <col min="8206" max="8207" width="8.7265625" style="614" customWidth="1"/>
    <col min="8208" max="8208" width="9.7265625" style="614" customWidth="1"/>
    <col min="8209" max="8210" width="10.26953125" style="614" customWidth="1"/>
    <col min="8211" max="8211" width="7.81640625" style="614" bestFit="1" customWidth="1"/>
    <col min="8212" max="8212" width="13.453125" style="614" customWidth="1"/>
    <col min="8213" max="8213" width="3.26953125" style="614" customWidth="1"/>
    <col min="8214" max="8214" width="17.1796875" style="614" customWidth="1"/>
    <col min="8215" max="8215" width="14.453125" style="614" bestFit="1" customWidth="1"/>
    <col min="8216" max="8216" width="10.26953125" style="614" customWidth="1"/>
    <col min="8217" max="8217" width="6" style="614" bestFit="1" customWidth="1"/>
    <col min="8218" max="8218" width="10.90625" style="614"/>
    <col min="8219" max="8220" width="14.453125" style="614" bestFit="1" customWidth="1"/>
    <col min="8221" max="8221" width="12.81640625" style="614" bestFit="1" customWidth="1"/>
    <col min="8222" max="8222" width="14.453125" style="614" bestFit="1" customWidth="1"/>
    <col min="8223" max="8443" width="10.90625" style="614"/>
    <col min="8444" max="8444" width="5.7265625" style="614" customWidth="1"/>
    <col min="8445" max="8445" width="35.1796875" style="614" customWidth="1"/>
    <col min="8446" max="8447" width="10.26953125" style="614" customWidth="1"/>
    <col min="8448" max="8448" width="7.453125" style="614" customWidth="1"/>
    <col min="8449" max="8450" width="10.26953125" style="614" customWidth="1"/>
    <col min="8451" max="8451" width="7" style="614" customWidth="1"/>
    <col min="8452" max="8452" width="1" style="614" customWidth="1"/>
    <col min="8453" max="8454" width="8.7265625" style="614" customWidth="1"/>
    <col min="8455" max="8455" width="7.453125" style="614" customWidth="1"/>
    <col min="8456" max="8457" width="8.7265625" style="614" customWidth="1"/>
    <col min="8458" max="8458" width="8.453125" style="614" bestFit="1" customWidth="1"/>
    <col min="8459" max="8459" width="10.26953125" style="614" customWidth="1"/>
    <col min="8460" max="8460" width="10" style="614" customWidth="1"/>
    <col min="8461" max="8461" width="5.26953125" style="614" bestFit="1" customWidth="1"/>
    <col min="8462" max="8463" width="8.7265625" style="614" customWidth="1"/>
    <col min="8464" max="8464" width="9.7265625" style="614" customWidth="1"/>
    <col min="8465" max="8466" width="10.26953125" style="614" customWidth="1"/>
    <col min="8467" max="8467" width="7.81640625" style="614" bestFit="1" customWidth="1"/>
    <col min="8468" max="8468" width="13.453125" style="614" customWidth="1"/>
    <col min="8469" max="8469" width="3.26953125" style="614" customWidth="1"/>
    <col min="8470" max="8470" width="17.1796875" style="614" customWidth="1"/>
    <col min="8471" max="8471" width="14.453125" style="614" bestFit="1" customWidth="1"/>
    <col min="8472" max="8472" width="10.26953125" style="614" customWidth="1"/>
    <col min="8473" max="8473" width="6" style="614" bestFit="1" customWidth="1"/>
    <col min="8474" max="8474" width="10.90625" style="614"/>
    <col min="8475" max="8476" width="14.453125" style="614" bestFit="1" customWidth="1"/>
    <col min="8477" max="8477" width="12.81640625" style="614" bestFit="1" customWidth="1"/>
    <col min="8478" max="8478" width="14.453125" style="614" bestFit="1" customWidth="1"/>
    <col min="8479" max="8699" width="10.90625" style="614"/>
    <col min="8700" max="8700" width="5.7265625" style="614" customWidth="1"/>
    <col min="8701" max="8701" width="35.1796875" style="614" customWidth="1"/>
    <col min="8702" max="8703" width="10.26953125" style="614" customWidth="1"/>
    <col min="8704" max="8704" width="7.453125" style="614" customWidth="1"/>
    <col min="8705" max="8706" width="10.26953125" style="614" customWidth="1"/>
    <col min="8707" max="8707" width="7" style="614" customWidth="1"/>
    <col min="8708" max="8708" width="1" style="614" customWidth="1"/>
    <col min="8709" max="8710" width="8.7265625" style="614" customWidth="1"/>
    <col min="8711" max="8711" width="7.453125" style="614" customWidth="1"/>
    <col min="8712" max="8713" width="8.7265625" style="614" customWidth="1"/>
    <col min="8714" max="8714" width="8.453125" style="614" bestFit="1" customWidth="1"/>
    <col min="8715" max="8715" width="10.26953125" style="614" customWidth="1"/>
    <col min="8716" max="8716" width="10" style="614" customWidth="1"/>
    <col min="8717" max="8717" width="5.26953125" style="614" bestFit="1" customWidth="1"/>
    <col min="8718" max="8719" width="8.7265625" style="614" customWidth="1"/>
    <col min="8720" max="8720" width="9.7265625" style="614" customWidth="1"/>
    <col min="8721" max="8722" width="10.26953125" style="614" customWidth="1"/>
    <col min="8723" max="8723" width="7.81640625" style="614" bestFit="1" customWidth="1"/>
    <col min="8724" max="8724" width="13.453125" style="614" customWidth="1"/>
    <col min="8725" max="8725" width="3.26953125" style="614" customWidth="1"/>
    <col min="8726" max="8726" width="17.1796875" style="614" customWidth="1"/>
    <col min="8727" max="8727" width="14.453125" style="614" bestFit="1" customWidth="1"/>
    <col min="8728" max="8728" width="10.26953125" style="614" customWidth="1"/>
    <col min="8729" max="8729" width="6" style="614" bestFit="1" customWidth="1"/>
    <col min="8730" max="8730" width="10.90625" style="614"/>
    <col min="8731" max="8732" width="14.453125" style="614" bestFit="1" customWidth="1"/>
    <col min="8733" max="8733" width="12.81640625" style="614" bestFit="1" customWidth="1"/>
    <col min="8734" max="8734" width="14.453125" style="614" bestFit="1" customWidth="1"/>
    <col min="8735" max="8955" width="10.90625" style="614"/>
    <col min="8956" max="8956" width="5.7265625" style="614" customWidth="1"/>
    <col min="8957" max="8957" width="35.1796875" style="614" customWidth="1"/>
    <col min="8958" max="8959" width="10.26953125" style="614" customWidth="1"/>
    <col min="8960" max="8960" width="7.453125" style="614" customWidth="1"/>
    <col min="8961" max="8962" width="10.26953125" style="614" customWidth="1"/>
    <col min="8963" max="8963" width="7" style="614" customWidth="1"/>
    <col min="8964" max="8964" width="1" style="614" customWidth="1"/>
    <col min="8965" max="8966" width="8.7265625" style="614" customWidth="1"/>
    <col min="8967" max="8967" width="7.453125" style="614" customWidth="1"/>
    <col min="8968" max="8969" width="8.7265625" style="614" customWidth="1"/>
    <col min="8970" max="8970" width="8.453125" style="614" bestFit="1" customWidth="1"/>
    <col min="8971" max="8971" width="10.26953125" style="614" customWidth="1"/>
    <col min="8972" max="8972" width="10" style="614" customWidth="1"/>
    <col min="8973" max="8973" width="5.26953125" style="614" bestFit="1" customWidth="1"/>
    <col min="8974" max="8975" width="8.7265625" style="614" customWidth="1"/>
    <col min="8976" max="8976" width="9.7265625" style="614" customWidth="1"/>
    <col min="8977" max="8978" width="10.26953125" style="614" customWidth="1"/>
    <col min="8979" max="8979" width="7.81640625" style="614" bestFit="1" customWidth="1"/>
    <col min="8980" max="8980" width="13.453125" style="614" customWidth="1"/>
    <col min="8981" max="8981" width="3.26953125" style="614" customWidth="1"/>
    <col min="8982" max="8982" width="17.1796875" style="614" customWidth="1"/>
    <col min="8983" max="8983" width="14.453125" style="614" bestFit="1" customWidth="1"/>
    <col min="8984" max="8984" width="10.26953125" style="614" customWidth="1"/>
    <col min="8985" max="8985" width="6" style="614" bestFit="1" customWidth="1"/>
    <col min="8986" max="8986" width="10.90625" style="614"/>
    <col min="8987" max="8988" width="14.453125" style="614" bestFit="1" customWidth="1"/>
    <col min="8989" max="8989" width="12.81640625" style="614" bestFit="1" customWidth="1"/>
    <col min="8990" max="8990" width="14.453125" style="614" bestFit="1" customWidth="1"/>
    <col min="8991" max="9211" width="10.90625" style="614"/>
    <col min="9212" max="9212" width="5.7265625" style="614" customWidth="1"/>
    <col min="9213" max="9213" width="35.1796875" style="614" customWidth="1"/>
    <col min="9214" max="9215" width="10.26953125" style="614" customWidth="1"/>
    <col min="9216" max="9216" width="7.453125" style="614" customWidth="1"/>
    <col min="9217" max="9218" width="10.26953125" style="614" customWidth="1"/>
    <col min="9219" max="9219" width="7" style="614" customWidth="1"/>
    <col min="9220" max="9220" width="1" style="614" customWidth="1"/>
    <col min="9221" max="9222" width="8.7265625" style="614" customWidth="1"/>
    <col min="9223" max="9223" width="7.453125" style="614" customWidth="1"/>
    <col min="9224" max="9225" width="8.7265625" style="614" customWidth="1"/>
    <col min="9226" max="9226" width="8.453125" style="614" bestFit="1" customWidth="1"/>
    <col min="9227" max="9227" width="10.26953125" style="614" customWidth="1"/>
    <col min="9228" max="9228" width="10" style="614" customWidth="1"/>
    <col min="9229" max="9229" width="5.26953125" style="614" bestFit="1" customWidth="1"/>
    <col min="9230" max="9231" width="8.7265625" style="614" customWidth="1"/>
    <col min="9232" max="9232" width="9.7265625" style="614" customWidth="1"/>
    <col min="9233" max="9234" width="10.26953125" style="614" customWidth="1"/>
    <col min="9235" max="9235" width="7.81640625" style="614" bestFit="1" customWidth="1"/>
    <col min="9236" max="9236" width="13.453125" style="614" customWidth="1"/>
    <col min="9237" max="9237" width="3.26953125" style="614" customWidth="1"/>
    <col min="9238" max="9238" width="17.1796875" style="614" customWidth="1"/>
    <col min="9239" max="9239" width="14.453125" style="614" bestFit="1" customWidth="1"/>
    <col min="9240" max="9240" width="10.26953125" style="614" customWidth="1"/>
    <col min="9241" max="9241" width="6" style="614" bestFit="1" customWidth="1"/>
    <col min="9242" max="9242" width="10.90625" style="614"/>
    <col min="9243" max="9244" width="14.453125" style="614" bestFit="1" customWidth="1"/>
    <col min="9245" max="9245" width="12.81640625" style="614" bestFit="1" customWidth="1"/>
    <col min="9246" max="9246" width="14.453125" style="614" bestFit="1" customWidth="1"/>
    <col min="9247" max="9467" width="10.90625" style="614"/>
    <col min="9468" max="9468" width="5.7265625" style="614" customWidth="1"/>
    <col min="9469" max="9469" width="35.1796875" style="614" customWidth="1"/>
    <col min="9470" max="9471" width="10.26953125" style="614" customWidth="1"/>
    <col min="9472" max="9472" width="7.453125" style="614" customWidth="1"/>
    <col min="9473" max="9474" width="10.26953125" style="614" customWidth="1"/>
    <col min="9475" max="9475" width="7" style="614" customWidth="1"/>
    <col min="9476" max="9476" width="1" style="614" customWidth="1"/>
    <col min="9477" max="9478" width="8.7265625" style="614" customWidth="1"/>
    <col min="9479" max="9479" width="7.453125" style="614" customWidth="1"/>
    <col min="9480" max="9481" width="8.7265625" style="614" customWidth="1"/>
    <col min="9482" max="9482" width="8.453125" style="614" bestFit="1" customWidth="1"/>
    <col min="9483" max="9483" width="10.26953125" style="614" customWidth="1"/>
    <col min="9484" max="9484" width="10" style="614" customWidth="1"/>
    <col min="9485" max="9485" width="5.26953125" style="614" bestFit="1" customWidth="1"/>
    <col min="9486" max="9487" width="8.7265625" style="614" customWidth="1"/>
    <col min="9488" max="9488" width="9.7265625" style="614" customWidth="1"/>
    <col min="9489" max="9490" width="10.26953125" style="614" customWidth="1"/>
    <col min="9491" max="9491" width="7.81640625" style="614" bestFit="1" customWidth="1"/>
    <col min="9492" max="9492" width="13.453125" style="614" customWidth="1"/>
    <col min="9493" max="9493" width="3.26953125" style="614" customWidth="1"/>
    <col min="9494" max="9494" width="17.1796875" style="614" customWidth="1"/>
    <col min="9495" max="9495" width="14.453125" style="614" bestFit="1" customWidth="1"/>
    <col min="9496" max="9496" width="10.26953125" style="614" customWidth="1"/>
    <col min="9497" max="9497" width="6" style="614" bestFit="1" customWidth="1"/>
    <col min="9498" max="9498" width="10.90625" style="614"/>
    <col min="9499" max="9500" width="14.453125" style="614" bestFit="1" customWidth="1"/>
    <col min="9501" max="9501" width="12.81640625" style="614" bestFit="1" customWidth="1"/>
    <col min="9502" max="9502" width="14.453125" style="614" bestFit="1" customWidth="1"/>
    <col min="9503" max="9723" width="10.90625" style="614"/>
    <col min="9724" max="9724" width="5.7265625" style="614" customWidth="1"/>
    <col min="9725" max="9725" width="35.1796875" style="614" customWidth="1"/>
    <col min="9726" max="9727" width="10.26953125" style="614" customWidth="1"/>
    <col min="9728" max="9728" width="7.453125" style="614" customWidth="1"/>
    <col min="9729" max="9730" width="10.26953125" style="614" customWidth="1"/>
    <col min="9731" max="9731" width="7" style="614" customWidth="1"/>
    <col min="9732" max="9732" width="1" style="614" customWidth="1"/>
    <col min="9733" max="9734" width="8.7265625" style="614" customWidth="1"/>
    <col min="9735" max="9735" width="7.453125" style="614" customWidth="1"/>
    <col min="9736" max="9737" width="8.7265625" style="614" customWidth="1"/>
    <col min="9738" max="9738" width="8.453125" style="614" bestFit="1" customWidth="1"/>
    <col min="9739" max="9739" width="10.26953125" style="614" customWidth="1"/>
    <col min="9740" max="9740" width="10" style="614" customWidth="1"/>
    <col min="9741" max="9741" width="5.26953125" style="614" bestFit="1" customWidth="1"/>
    <col min="9742" max="9743" width="8.7265625" style="614" customWidth="1"/>
    <col min="9744" max="9744" width="9.7265625" style="614" customWidth="1"/>
    <col min="9745" max="9746" width="10.26953125" style="614" customWidth="1"/>
    <col min="9747" max="9747" width="7.81640625" style="614" bestFit="1" customWidth="1"/>
    <col min="9748" max="9748" width="13.453125" style="614" customWidth="1"/>
    <col min="9749" max="9749" width="3.26953125" style="614" customWidth="1"/>
    <col min="9750" max="9750" width="17.1796875" style="614" customWidth="1"/>
    <col min="9751" max="9751" width="14.453125" style="614" bestFit="1" customWidth="1"/>
    <col min="9752" max="9752" width="10.26953125" style="614" customWidth="1"/>
    <col min="9753" max="9753" width="6" style="614" bestFit="1" customWidth="1"/>
    <col min="9754" max="9754" width="10.90625" style="614"/>
    <col min="9755" max="9756" width="14.453125" style="614" bestFit="1" customWidth="1"/>
    <col min="9757" max="9757" width="12.81640625" style="614" bestFit="1" customWidth="1"/>
    <col min="9758" max="9758" width="14.453125" style="614" bestFit="1" customWidth="1"/>
    <col min="9759" max="9979" width="10.90625" style="614"/>
    <col min="9980" max="9980" width="5.7265625" style="614" customWidth="1"/>
    <col min="9981" max="9981" width="35.1796875" style="614" customWidth="1"/>
    <col min="9982" max="9983" width="10.26953125" style="614" customWidth="1"/>
    <col min="9984" max="9984" width="7.453125" style="614" customWidth="1"/>
    <col min="9985" max="9986" width="10.26953125" style="614" customWidth="1"/>
    <col min="9987" max="9987" width="7" style="614" customWidth="1"/>
    <col min="9988" max="9988" width="1" style="614" customWidth="1"/>
    <col min="9989" max="9990" width="8.7265625" style="614" customWidth="1"/>
    <col min="9991" max="9991" width="7.453125" style="614" customWidth="1"/>
    <col min="9992" max="9993" width="8.7265625" style="614" customWidth="1"/>
    <col min="9994" max="9994" width="8.453125" style="614" bestFit="1" customWidth="1"/>
    <col min="9995" max="9995" width="10.26953125" style="614" customWidth="1"/>
    <col min="9996" max="9996" width="10" style="614" customWidth="1"/>
    <col min="9997" max="9997" width="5.26953125" style="614" bestFit="1" customWidth="1"/>
    <col min="9998" max="9999" width="8.7265625" style="614" customWidth="1"/>
    <col min="10000" max="10000" width="9.7265625" style="614" customWidth="1"/>
    <col min="10001" max="10002" width="10.26953125" style="614" customWidth="1"/>
    <col min="10003" max="10003" width="7.81640625" style="614" bestFit="1" customWidth="1"/>
    <col min="10004" max="10004" width="13.453125" style="614" customWidth="1"/>
    <col min="10005" max="10005" width="3.26953125" style="614" customWidth="1"/>
    <col min="10006" max="10006" width="17.1796875" style="614" customWidth="1"/>
    <col min="10007" max="10007" width="14.453125" style="614" bestFit="1" customWidth="1"/>
    <col min="10008" max="10008" width="10.26953125" style="614" customWidth="1"/>
    <col min="10009" max="10009" width="6" style="614" bestFit="1" customWidth="1"/>
    <col min="10010" max="10010" width="10.90625" style="614"/>
    <col min="10011" max="10012" width="14.453125" style="614" bestFit="1" customWidth="1"/>
    <col min="10013" max="10013" width="12.81640625" style="614" bestFit="1" customWidth="1"/>
    <col min="10014" max="10014" width="14.453125" style="614" bestFit="1" customWidth="1"/>
    <col min="10015" max="10235" width="10.90625" style="614"/>
    <col min="10236" max="10236" width="5.7265625" style="614" customWidth="1"/>
    <col min="10237" max="10237" width="35.1796875" style="614" customWidth="1"/>
    <col min="10238" max="10239" width="10.26953125" style="614" customWidth="1"/>
    <col min="10240" max="10240" width="7.453125" style="614" customWidth="1"/>
    <col min="10241" max="10242" width="10.26953125" style="614" customWidth="1"/>
    <col min="10243" max="10243" width="7" style="614" customWidth="1"/>
    <col min="10244" max="10244" width="1" style="614" customWidth="1"/>
    <col min="10245" max="10246" width="8.7265625" style="614" customWidth="1"/>
    <col min="10247" max="10247" width="7.453125" style="614" customWidth="1"/>
    <col min="10248" max="10249" width="8.7265625" style="614" customWidth="1"/>
    <col min="10250" max="10250" width="8.453125" style="614" bestFit="1" customWidth="1"/>
    <col min="10251" max="10251" width="10.26953125" style="614" customWidth="1"/>
    <col min="10252" max="10252" width="10" style="614" customWidth="1"/>
    <col min="10253" max="10253" width="5.26953125" style="614" bestFit="1" customWidth="1"/>
    <col min="10254" max="10255" width="8.7265625" style="614" customWidth="1"/>
    <col min="10256" max="10256" width="9.7265625" style="614" customWidth="1"/>
    <col min="10257" max="10258" width="10.26953125" style="614" customWidth="1"/>
    <col min="10259" max="10259" width="7.81640625" style="614" bestFit="1" customWidth="1"/>
    <col min="10260" max="10260" width="13.453125" style="614" customWidth="1"/>
    <col min="10261" max="10261" width="3.26953125" style="614" customWidth="1"/>
    <col min="10262" max="10262" width="17.1796875" style="614" customWidth="1"/>
    <col min="10263" max="10263" width="14.453125" style="614" bestFit="1" customWidth="1"/>
    <col min="10264" max="10264" width="10.26953125" style="614" customWidth="1"/>
    <col min="10265" max="10265" width="6" style="614" bestFit="1" customWidth="1"/>
    <col min="10266" max="10266" width="10.90625" style="614"/>
    <col min="10267" max="10268" width="14.453125" style="614" bestFit="1" customWidth="1"/>
    <col min="10269" max="10269" width="12.81640625" style="614" bestFit="1" customWidth="1"/>
    <col min="10270" max="10270" width="14.453125" style="614" bestFit="1" customWidth="1"/>
    <col min="10271" max="10491" width="10.90625" style="614"/>
    <col min="10492" max="10492" width="5.7265625" style="614" customWidth="1"/>
    <col min="10493" max="10493" width="35.1796875" style="614" customWidth="1"/>
    <col min="10494" max="10495" width="10.26953125" style="614" customWidth="1"/>
    <col min="10496" max="10496" width="7.453125" style="614" customWidth="1"/>
    <col min="10497" max="10498" width="10.26953125" style="614" customWidth="1"/>
    <col min="10499" max="10499" width="7" style="614" customWidth="1"/>
    <col min="10500" max="10500" width="1" style="614" customWidth="1"/>
    <col min="10501" max="10502" width="8.7265625" style="614" customWidth="1"/>
    <col min="10503" max="10503" width="7.453125" style="614" customWidth="1"/>
    <col min="10504" max="10505" width="8.7265625" style="614" customWidth="1"/>
    <col min="10506" max="10506" width="8.453125" style="614" bestFit="1" customWidth="1"/>
    <col min="10507" max="10507" width="10.26953125" style="614" customWidth="1"/>
    <col min="10508" max="10508" width="10" style="614" customWidth="1"/>
    <col min="10509" max="10509" width="5.26953125" style="614" bestFit="1" customWidth="1"/>
    <col min="10510" max="10511" width="8.7265625" style="614" customWidth="1"/>
    <col min="10512" max="10512" width="9.7265625" style="614" customWidth="1"/>
    <col min="10513" max="10514" width="10.26953125" style="614" customWidth="1"/>
    <col min="10515" max="10515" width="7.81640625" style="614" bestFit="1" customWidth="1"/>
    <col min="10516" max="10516" width="13.453125" style="614" customWidth="1"/>
    <col min="10517" max="10517" width="3.26953125" style="614" customWidth="1"/>
    <col min="10518" max="10518" width="17.1796875" style="614" customWidth="1"/>
    <col min="10519" max="10519" width="14.453125" style="614" bestFit="1" customWidth="1"/>
    <col min="10520" max="10520" width="10.26953125" style="614" customWidth="1"/>
    <col min="10521" max="10521" width="6" style="614" bestFit="1" customWidth="1"/>
    <col min="10522" max="10522" width="10.90625" style="614"/>
    <col min="10523" max="10524" width="14.453125" style="614" bestFit="1" customWidth="1"/>
    <col min="10525" max="10525" width="12.81640625" style="614" bestFit="1" customWidth="1"/>
    <col min="10526" max="10526" width="14.453125" style="614" bestFit="1" customWidth="1"/>
    <col min="10527" max="10747" width="10.90625" style="614"/>
    <col min="10748" max="10748" width="5.7265625" style="614" customWidth="1"/>
    <col min="10749" max="10749" width="35.1796875" style="614" customWidth="1"/>
    <col min="10750" max="10751" width="10.26953125" style="614" customWidth="1"/>
    <col min="10752" max="10752" width="7.453125" style="614" customWidth="1"/>
    <col min="10753" max="10754" width="10.26953125" style="614" customWidth="1"/>
    <col min="10755" max="10755" width="7" style="614" customWidth="1"/>
    <col min="10756" max="10756" width="1" style="614" customWidth="1"/>
    <col min="10757" max="10758" width="8.7265625" style="614" customWidth="1"/>
    <col min="10759" max="10759" width="7.453125" style="614" customWidth="1"/>
    <col min="10760" max="10761" width="8.7265625" style="614" customWidth="1"/>
    <col min="10762" max="10762" width="8.453125" style="614" bestFit="1" customWidth="1"/>
    <col min="10763" max="10763" width="10.26953125" style="614" customWidth="1"/>
    <col min="10764" max="10764" width="10" style="614" customWidth="1"/>
    <col min="10765" max="10765" width="5.26953125" style="614" bestFit="1" customWidth="1"/>
    <col min="10766" max="10767" width="8.7265625" style="614" customWidth="1"/>
    <col min="10768" max="10768" width="9.7265625" style="614" customWidth="1"/>
    <col min="10769" max="10770" width="10.26953125" style="614" customWidth="1"/>
    <col min="10771" max="10771" width="7.81640625" style="614" bestFit="1" customWidth="1"/>
    <col min="10772" max="10772" width="13.453125" style="614" customWidth="1"/>
    <col min="10773" max="10773" width="3.26953125" style="614" customWidth="1"/>
    <col min="10774" max="10774" width="17.1796875" style="614" customWidth="1"/>
    <col min="10775" max="10775" width="14.453125" style="614" bestFit="1" customWidth="1"/>
    <col min="10776" max="10776" width="10.26953125" style="614" customWidth="1"/>
    <col min="10777" max="10777" width="6" style="614" bestFit="1" customWidth="1"/>
    <col min="10778" max="10778" width="10.90625" style="614"/>
    <col min="10779" max="10780" width="14.453125" style="614" bestFit="1" customWidth="1"/>
    <col min="10781" max="10781" width="12.81640625" style="614" bestFit="1" customWidth="1"/>
    <col min="10782" max="10782" width="14.453125" style="614" bestFit="1" customWidth="1"/>
    <col min="10783" max="11003" width="10.90625" style="614"/>
    <col min="11004" max="11004" width="5.7265625" style="614" customWidth="1"/>
    <col min="11005" max="11005" width="35.1796875" style="614" customWidth="1"/>
    <col min="11006" max="11007" width="10.26953125" style="614" customWidth="1"/>
    <col min="11008" max="11008" width="7.453125" style="614" customWidth="1"/>
    <col min="11009" max="11010" width="10.26953125" style="614" customWidth="1"/>
    <col min="11011" max="11011" width="7" style="614" customWidth="1"/>
    <col min="11012" max="11012" width="1" style="614" customWidth="1"/>
    <col min="11013" max="11014" width="8.7265625" style="614" customWidth="1"/>
    <col min="11015" max="11015" width="7.453125" style="614" customWidth="1"/>
    <col min="11016" max="11017" width="8.7265625" style="614" customWidth="1"/>
    <col min="11018" max="11018" width="8.453125" style="614" bestFit="1" customWidth="1"/>
    <col min="11019" max="11019" width="10.26953125" style="614" customWidth="1"/>
    <col min="11020" max="11020" width="10" style="614" customWidth="1"/>
    <col min="11021" max="11021" width="5.26953125" style="614" bestFit="1" customWidth="1"/>
    <col min="11022" max="11023" width="8.7265625" style="614" customWidth="1"/>
    <col min="11024" max="11024" width="9.7265625" style="614" customWidth="1"/>
    <col min="11025" max="11026" width="10.26953125" style="614" customWidth="1"/>
    <col min="11027" max="11027" width="7.81640625" style="614" bestFit="1" customWidth="1"/>
    <col min="11028" max="11028" width="13.453125" style="614" customWidth="1"/>
    <col min="11029" max="11029" width="3.26953125" style="614" customWidth="1"/>
    <col min="11030" max="11030" width="17.1796875" style="614" customWidth="1"/>
    <col min="11031" max="11031" width="14.453125" style="614" bestFit="1" customWidth="1"/>
    <col min="11032" max="11032" width="10.26953125" style="614" customWidth="1"/>
    <col min="11033" max="11033" width="6" style="614" bestFit="1" customWidth="1"/>
    <col min="11034" max="11034" width="10.90625" style="614"/>
    <col min="11035" max="11036" width="14.453125" style="614" bestFit="1" customWidth="1"/>
    <col min="11037" max="11037" width="12.81640625" style="614" bestFit="1" customWidth="1"/>
    <col min="11038" max="11038" width="14.453125" style="614" bestFit="1" customWidth="1"/>
    <col min="11039" max="11259" width="10.90625" style="614"/>
    <col min="11260" max="11260" width="5.7265625" style="614" customWidth="1"/>
    <col min="11261" max="11261" width="35.1796875" style="614" customWidth="1"/>
    <col min="11262" max="11263" width="10.26953125" style="614" customWidth="1"/>
    <col min="11264" max="11264" width="7.453125" style="614" customWidth="1"/>
    <col min="11265" max="11266" width="10.26953125" style="614" customWidth="1"/>
    <col min="11267" max="11267" width="7" style="614" customWidth="1"/>
    <col min="11268" max="11268" width="1" style="614" customWidth="1"/>
    <col min="11269" max="11270" width="8.7265625" style="614" customWidth="1"/>
    <col min="11271" max="11271" width="7.453125" style="614" customWidth="1"/>
    <col min="11272" max="11273" width="8.7265625" style="614" customWidth="1"/>
    <col min="11274" max="11274" width="8.453125" style="614" bestFit="1" customWidth="1"/>
    <col min="11275" max="11275" width="10.26953125" style="614" customWidth="1"/>
    <col min="11276" max="11276" width="10" style="614" customWidth="1"/>
    <col min="11277" max="11277" width="5.26953125" style="614" bestFit="1" customWidth="1"/>
    <col min="11278" max="11279" width="8.7265625" style="614" customWidth="1"/>
    <col min="11280" max="11280" width="9.7265625" style="614" customWidth="1"/>
    <col min="11281" max="11282" width="10.26953125" style="614" customWidth="1"/>
    <col min="11283" max="11283" width="7.81640625" style="614" bestFit="1" customWidth="1"/>
    <col min="11284" max="11284" width="13.453125" style="614" customWidth="1"/>
    <col min="11285" max="11285" width="3.26953125" style="614" customWidth="1"/>
    <col min="11286" max="11286" width="17.1796875" style="614" customWidth="1"/>
    <col min="11287" max="11287" width="14.453125" style="614" bestFit="1" customWidth="1"/>
    <col min="11288" max="11288" width="10.26953125" style="614" customWidth="1"/>
    <col min="11289" max="11289" width="6" style="614" bestFit="1" customWidth="1"/>
    <col min="11290" max="11290" width="10.90625" style="614"/>
    <col min="11291" max="11292" width="14.453125" style="614" bestFit="1" customWidth="1"/>
    <col min="11293" max="11293" width="12.81640625" style="614" bestFit="1" customWidth="1"/>
    <col min="11294" max="11294" width="14.453125" style="614" bestFit="1" customWidth="1"/>
    <col min="11295" max="11515" width="10.90625" style="614"/>
    <col min="11516" max="11516" width="5.7265625" style="614" customWidth="1"/>
    <col min="11517" max="11517" width="35.1796875" style="614" customWidth="1"/>
    <col min="11518" max="11519" width="10.26953125" style="614" customWidth="1"/>
    <col min="11520" max="11520" width="7.453125" style="614" customWidth="1"/>
    <col min="11521" max="11522" width="10.26953125" style="614" customWidth="1"/>
    <col min="11523" max="11523" width="7" style="614" customWidth="1"/>
    <col min="11524" max="11524" width="1" style="614" customWidth="1"/>
    <col min="11525" max="11526" width="8.7265625" style="614" customWidth="1"/>
    <col min="11527" max="11527" width="7.453125" style="614" customWidth="1"/>
    <col min="11528" max="11529" width="8.7265625" style="614" customWidth="1"/>
    <col min="11530" max="11530" width="8.453125" style="614" bestFit="1" customWidth="1"/>
    <col min="11531" max="11531" width="10.26953125" style="614" customWidth="1"/>
    <col min="11532" max="11532" width="10" style="614" customWidth="1"/>
    <col min="11533" max="11533" width="5.26953125" style="614" bestFit="1" customWidth="1"/>
    <col min="11534" max="11535" width="8.7265625" style="614" customWidth="1"/>
    <col min="11536" max="11536" width="9.7265625" style="614" customWidth="1"/>
    <col min="11537" max="11538" width="10.26953125" style="614" customWidth="1"/>
    <col min="11539" max="11539" width="7.81640625" style="614" bestFit="1" customWidth="1"/>
    <col min="11540" max="11540" width="13.453125" style="614" customWidth="1"/>
    <col min="11541" max="11541" width="3.26953125" style="614" customWidth="1"/>
    <col min="11542" max="11542" width="17.1796875" style="614" customWidth="1"/>
    <col min="11543" max="11543" width="14.453125" style="614" bestFit="1" customWidth="1"/>
    <col min="11544" max="11544" width="10.26953125" style="614" customWidth="1"/>
    <col min="11545" max="11545" width="6" style="614" bestFit="1" customWidth="1"/>
    <col min="11546" max="11546" width="10.90625" style="614"/>
    <col min="11547" max="11548" width="14.453125" style="614" bestFit="1" customWidth="1"/>
    <col min="11549" max="11549" width="12.81640625" style="614" bestFit="1" customWidth="1"/>
    <col min="11550" max="11550" width="14.453125" style="614" bestFit="1" customWidth="1"/>
    <col min="11551" max="11771" width="10.90625" style="614"/>
    <col min="11772" max="11772" width="5.7265625" style="614" customWidth="1"/>
    <col min="11773" max="11773" width="35.1796875" style="614" customWidth="1"/>
    <col min="11774" max="11775" width="10.26953125" style="614" customWidth="1"/>
    <col min="11776" max="11776" width="7.453125" style="614" customWidth="1"/>
    <col min="11777" max="11778" width="10.26953125" style="614" customWidth="1"/>
    <col min="11779" max="11779" width="7" style="614" customWidth="1"/>
    <col min="11780" max="11780" width="1" style="614" customWidth="1"/>
    <col min="11781" max="11782" width="8.7265625" style="614" customWidth="1"/>
    <col min="11783" max="11783" width="7.453125" style="614" customWidth="1"/>
    <col min="11784" max="11785" width="8.7265625" style="614" customWidth="1"/>
    <col min="11786" max="11786" width="8.453125" style="614" bestFit="1" customWidth="1"/>
    <col min="11787" max="11787" width="10.26953125" style="614" customWidth="1"/>
    <col min="11788" max="11788" width="10" style="614" customWidth="1"/>
    <col min="11789" max="11789" width="5.26953125" style="614" bestFit="1" customWidth="1"/>
    <col min="11790" max="11791" width="8.7265625" style="614" customWidth="1"/>
    <col min="11792" max="11792" width="9.7265625" style="614" customWidth="1"/>
    <col min="11793" max="11794" width="10.26953125" style="614" customWidth="1"/>
    <col min="11795" max="11795" width="7.81640625" style="614" bestFit="1" customWidth="1"/>
    <col min="11796" max="11796" width="13.453125" style="614" customWidth="1"/>
    <col min="11797" max="11797" width="3.26953125" style="614" customWidth="1"/>
    <col min="11798" max="11798" width="17.1796875" style="614" customWidth="1"/>
    <col min="11799" max="11799" width="14.453125" style="614" bestFit="1" customWidth="1"/>
    <col min="11800" max="11800" width="10.26953125" style="614" customWidth="1"/>
    <col min="11801" max="11801" width="6" style="614" bestFit="1" customWidth="1"/>
    <col min="11802" max="11802" width="10.90625" style="614"/>
    <col min="11803" max="11804" width="14.453125" style="614" bestFit="1" customWidth="1"/>
    <col min="11805" max="11805" width="12.81640625" style="614" bestFit="1" customWidth="1"/>
    <col min="11806" max="11806" width="14.453125" style="614" bestFit="1" customWidth="1"/>
    <col min="11807" max="12027" width="10.90625" style="614"/>
    <col min="12028" max="12028" width="5.7265625" style="614" customWidth="1"/>
    <col min="12029" max="12029" width="35.1796875" style="614" customWidth="1"/>
    <col min="12030" max="12031" width="10.26953125" style="614" customWidth="1"/>
    <col min="12032" max="12032" width="7.453125" style="614" customWidth="1"/>
    <col min="12033" max="12034" width="10.26953125" style="614" customWidth="1"/>
    <col min="12035" max="12035" width="7" style="614" customWidth="1"/>
    <col min="12036" max="12036" width="1" style="614" customWidth="1"/>
    <col min="12037" max="12038" width="8.7265625" style="614" customWidth="1"/>
    <col min="12039" max="12039" width="7.453125" style="614" customWidth="1"/>
    <col min="12040" max="12041" width="8.7265625" style="614" customWidth="1"/>
    <col min="12042" max="12042" width="8.453125" style="614" bestFit="1" customWidth="1"/>
    <col min="12043" max="12043" width="10.26953125" style="614" customWidth="1"/>
    <col min="12044" max="12044" width="10" style="614" customWidth="1"/>
    <col min="12045" max="12045" width="5.26953125" style="614" bestFit="1" customWidth="1"/>
    <col min="12046" max="12047" width="8.7265625" style="614" customWidth="1"/>
    <col min="12048" max="12048" width="9.7265625" style="614" customWidth="1"/>
    <col min="12049" max="12050" width="10.26953125" style="614" customWidth="1"/>
    <col min="12051" max="12051" width="7.81640625" style="614" bestFit="1" customWidth="1"/>
    <col min="12052" max="12052" width="13.453125" style="614" customWidth="1"/>
    <col min="12053" max="12053" width="3.26953125" style="614" customWidth="1"/>
    <col min="12054" max="12054" width="17.1796875" style="614" customWidth="1"/>
    <col min="12055" max="12055" width="14.453125" style="614" bestFit="1" customWidth="1"/>
    <col min="12056" max="12056" width="10.26953125" style="614" customWidth="1"/>
    <col min="12057" max="12057" width="6" style="614" bestFit="1" customWidth="1"/>
    <col min="12058" max="12058" width="10.90625" style="614"/>
    <col min="12059" max="12060" width="14.453125" style="614" bestFit="1" customWidth="1"/>
    <col min="12061" max="12061" width="12.81640625" style="614" bestFit="1" customWidth="1"/>
    <col min="12062" max="12062" width="14.453125" style="614" bestFit="1" customWidth="1"/>
    <col min="12063" max="12283" width="10.90625" style="614"/>
    <col min="12284" max="12284" width="5.7265625" style="614" customWidth="1"/>
    <col min="12285" max="12285" width="35.1796875" style="614" customWidth="1"/>
    <col min="12286" max="12287" width="10.26953125" style="614" customWidth="1"/>
    <col min="12288" max="12288" width="7.453125" style="614" customWidth="1"/>
    <col min="12289" max="12290" width="10.26953125" style="614" customWidth="1"/>
    <col min="12291" max="12291" width="7" style="614" customWidth="1"/>
    <col min="12292" max="12292" width="1" style="614" customWidth="1"/>
    <col min="12293" max="12294" width="8.7265625" style="614" customWidth="1"/>
    <col min="12295" max="12295" width="7.453125" style="614" customWidth="1"/>
    <col min="12296" max="12297" width="8.7265625" style="614" customWidth="1"/>
    <col min="12298" max="12298" width="8.453125" style="614" bestFit="1" customWidth="1"/>
    <col min="12299" max="12299" width="10.26953125" style="614" customWidth="1"/>
    <col min="12300" max="12300" width="10" style="614" customWidth="1"/>
    <col min="12301" max="12301" width="5.26953125" style="614" bestFit="1" customWidth="1"/>
    <col min="12302" max="12303" width="8.7265625" style="614" customWidth="1"/>
    <col min="12304" max="12304" width="9.7265625" style="614" customWidth="1"/>
    <col min="12305" max="12306" width="10.26953125" style="614" customWidth="1"/>
    <col min="12307" max="12307" width="7.81640625" style="614" bestFit="1" customWidth="1"/>
    <col min="12308" max="12308" width="13.453125" style="614" customWidth="1"/>
    <col min="12309" max="12309" width="3.26953125" style="614" customWidth="1"/>
    <col min="12310" max="12310" width="17.1796875" style="614" customWidth="1"/>
    <col min="12311" max="12311" width="14.453125" style="614" bestFit="1" customWidth="1"/>
    <col min="12312" max="12312" width="10.26953125" style="614" customWidth="1"/>
    <col min="12313" max="12313" width="6" style="614" bestFit="1" customWidth="1"/>
    <col min="12314" max="12314" width="10.90625" style="614"/>
    <col min="12315" max="12316" width="14.453125" style="614" bestFit="1" customWidth="1"/>
    <col min="12317" max="12317" width="12.81640625" style="614" bestFit="1" customWidth="1"/>
    <col min="12318" max="12318" width="14.453125" style="614" bestFit="1" customWidth="1"/>
    <col min="12319" max="12539" width="10.90625" style="614"/>
    <col min="12540" max="12540" width="5.7265625" style="614" customWidth="1"/>
    <col min="12541" max="12541" width="35.1796875" style="614" customWidth="1"/>
    <col min="12542" max="12543" width="10.26953125" style="614" customWidth="1"/>
    <col min="12544" max="12544" width="7.453125" style="614" customWidth="1"/>
    <col min="12545" max="12546" width="10.26953125" style="614" customWidth="1"/>
    <col min="12547" max="12547" width="7" style="614" customWidth="1"/>
    <col min="12548" max="12548" width="1" style="614" customWidth="1"/>
    <col min="12549" max="12550" width="8.7265625" style="614" customWidth="1"/>
    <col min="12551" max="12551" width="7.453125" style="614" customWidth="1"/>
    <col min="12552" max="12553" width="8.7265625" style="614" customWidth="1"/>
    <col min="12554" max="12554" width="8.453125" style="614" bestFit="1" customWidth="1"/>
    <col min="12555" max="12555" width="10.26953125" style="614" customWidth="1"/>
    <col min="12556" max="12556" width="10" style="614" customWidth="1"/>
    <col min="12557" max="12557" width="5.26953125" style="614" bestFit="1" customWidth="1"/>
    <col min="12558" max="12559" width="8.7265625" style="614" customWidth="1"/>
    <col min="12560" max="12560" width="9.7265625" style="614" customWidth="1"/>
    <col min="12561" max="12562" width="10.26953125" style="614" customWidth="1"/>
    <col min="12563" max="12563" width="7.81640625" style="614" bestFit="1" customWidth="1"/>
    <col min="12564" max="12564" width="13.453125" style="614" customWidth="1"/>
    <col min="12565" max="12565" width="3.26953125" style="614" customWidth="1"/>
    <col min="12566" max="12566" width="17.1796875" style="614" customWidth="1"/>
    <col min="12567" max="12567" width="14.453125" style="614" bestFit="1" customWidth="1"/>
    <col min="12568" max="12568" width="10.26953125" style="614" customWidth="1"/>
    <col min="12569" max="12569" width="6" style="614" bestFit="1" customWidth="1"/>
    <col min="12570" max="12570" width="10.90625" style="614"/>
    <col min="12571" max="12572" width="14.453125" style="614" bestFit="1" customWidth="1"/>
    <col min="12573" max="12573" width="12.81640625" style="614" bestFit="1" customWidth="1"/>
    <col min="12574" max="12574" width="14.453125" style="614" bestFit="1" customWidth="1"/>
    <col min="12575" max="12795" width="10.90625" style="614"/>
    <col min="12796" max="12796" width="5.7265625" style="614" customWidth="1"/>
    <col min="12797" max="12797" width="35.1796875" style="614" customWidth="1"/>
    <col min="12798" max="12799" width="10.26953125" style="614" customWidth="1"/>
    <col min="12800" max="12800" width="7.453125" style="614" customWidth="1"/>
    <col min="12801" max="12802" width="10.26953125" style="614" customWidth="1"/>
    <col min="12803" max="12803" width="7" style="614" customWidth="1"/>
    <col min="12804" max="12804" width="1" style="614" customWidth="1"/>
    <col min="12805" max="12806" width="8.7265625" style="614" customWidth="1"/>
    <col min="12807" max="12807" width="7.453125" style="614" customWidth="1"/>
    <col min="12808" max="12809" width="8.7265625" style="614" customWidth="1"/>
    <col min="12810" max="12810" width="8.453125" style="614" bestFit="1" customWidth="1"/>
    <col min="12811" max="12811" width="10.26953125" style="614" customWidth="1"/>
    <col min="12812" max="12812" width="10" style="614" customWidth="1"/>
    <col min="12813" max="12813" width="5.26953125" style="614" bestFit="1" customWidth="1"/>
    <col min="12814" max="12815" width="8.7265625" style="614" customWidth="1"/>
    <col min="12816" max="12816" width="9.7265625" style="614" customWidth="1"/>
    <col min="12817" max="12818" width="10.26953125" style="614" customWidth="1"/>
    <col min="12819" max="12819" width="7.81640625" style="614" bestFit="1" customWidth="1"/>
    <col min="12820" max="12820" width="13.453125" style="614" customWidth="1"/>
    <col min="12821" max="12821" width="3.26953125" style="614" customWidth="1"/>
    <col min="12822" max="12822" width="17.1796875" style="614" customWidth="1"/>
    <col min="12823" max="12823" width="14.453125" style="614" bestFit="1" customWidth="1"/>
    <col min="12824" max="12824" width="10.26953125" style="614" customWidth="1"/>
    <col min="12825" max="12825" width="6" style="614" bestFit="1" customWidth="1"/>
    <col min="12826" max="12826" width="10.90625" style="614"/>
    <col min="12827" max="12828" width="14.453125" style="614" bestFit="1" customWidth="1"/>
    <col min="12829" max="12829" width="12.81640625" style="614" bestFit="1" customWidth="1"/>
    <col min="12830" max="12830" width="14.453125" style="614" bestFit="1" customWidth="1"/>
    <col min="12831" max="13051" width="10.90625" style="614"/>
    <col min="13052" max="13052" width="5.7265625" style="614" customWidth="1"/>
    <col min="13053" max="13053" width="35.1796875" style="614" customWidth="1"/>
    <col min="13054" max="13055" width="10.26953125" style="614" customWidth="1"/>
    <col min="13056" max="13056" width="7.453125" style="614" customWidth="1"/>
    <col min="13057" max="13058" width="10.26953125" style="614" customWidth="1"/>
    <col min="13059" max="13059" width="7" style="614" customWidth="1"/>
    <col min="13060" max="13060" width="1" style="614" customWidth="1"/>
    <col min="13061" max="13062" width="8.7265625" style="614" customWidth="1"/>
    <col min="13063" max="13063" width="7.453125" style="614" customWidth="1"/>
    <col min="13064" max="13065" width="8.7265625" style="614" customWidth="1"/>
    <col min="13066" max="13066" width="8.453125" style="614" bestFit="1" customWidth="1"/>
    <col min="13067" max="13067" width="10.26953125" style="614" customWidth="1"/>
    <col min="13068" max="13068" width="10" style="614" customWidth="1"/>
    <col min="13069" max="13069" width="5.26953125" style="614" bestFit="1" customWidth="1"/>
    <col min="13070" max="13071" width="8.7265625" style="614" customWidth="1"/>
    <col min="13072" max="13072" width="9.7265625" style="614" customWidth="1"/>
    <col min="13073" max="13074" width="10.26953125" style="614" customWidth="1"/>
    <col min="13075" max="13075" width="7.81640625" style="614" bestFit="1" customWidth="1"/>
    <col min="13076" max="13076" width="13.453125" style="614" customWidth="1"/>
    <col min="13077" max="13077" width="3.26953125" style="614" customWidth="1"/>
    <col min="13078" max="13078" width="17.1796875" style="614" customWidth="1"/>
    <col min="13079" max="13079" width="14.453125" style="614" bestFit="1" customWidth="1"/>
    <col min="13080" max="13080" width="10.26953125" style="614" customWidth="1"/>
    <col min="13081" max="13081" width="6" style="614" bestFit="1" customWidth="1"/>
    <col min="13082" max="13082" width="10.90625" style="614"/>
    <col min="13083" max="13084" width="14.453125" style="614" bestFit="1" customWidth="1"/>
    <col min="13085" max="13085" width="12.81640625" style="614" bestFit="1" customWidth="1"/>
    <col min="13086" max="13086" width="14.453125" style="614" bestFit="1" customWidth="1"/>
    <col min="13087" max="13307" width="10.90625" style="614"/>
    <col min="13308" max="13308" width="5.7265625" style="614" customWidth="1"/>
    <col min="13309" max="13309" width="35.1796875" style="614" customWidth="1"/>
    <col min="13310" max="13311" width="10.26953125" style="614" customWidth="1"/>
    <col min="13312" max="13312" width="7.453125" style="614" customWidth="1"/>
    <col min="13313" max="13314" width="10.26953125" style="614" customWidth="1"/>
    <col min="13315" max="13315" width="7" style="614" customWidth="1"/>
    <col min="13316" max="13316" width="1" style="614" customWidth="1"/>
    <col min="13317" max="13318" width="8.7265625" style="614" customWidth="1"/>
    <col min="13319" max="13319" width="7.453125" style="614" customWidth="1"/>
    <col min="13320" max="13321" width="8.7265625" style="614" customWidth="1"/>
    <col min="13322" max="13322" width="8.453125" style="614" bestFit="1" customWidth="1"/>
    <col min="13323" max="13323" width="10.26953125" style="614" customWidth="1"/>
    <col min="13324" max="13324" width="10" style="614" customWidth="1"/>
    <col min="13325" max="13325" width="5.26953125" style="614" bestFit="1" customWidth="1"/>
    <col min="13326" max="13327" width="8.7265625" style="614" customWidth="1"/>
    <col min="13328" max="13328" width="9.7265625" style="614" customWidth="1"/>
    <col min="13329" max="13330" width="10.26953125" style="614" customWidth="1"/>
    <col min="13331" max="13331" width="7.81640625" style="614" bestFit="1" customWidth="1"/>
    <col min="13332" max="13332" width="13.453125" style="614" customWidth="1"/>
    <col min="13333" max="13333" width="3.26953125" style="614" customWidth="1"/>
    <col min="13334" max="13334" width="17.1796875" style="614" customWidth="1"/>
    <col min="13335" max="13335" width="14.453125" style="614" bestFit="1" customWidth="1"/>
    <col min="13336" max="13336" width="10.26953125" style="614" customWidth="1"/>
    <col min="13337" max="13337" width="6" style="614" bestFit="1" customWidth="1"/>
    <col min="13338" max="13338" width="10.90625" style="614"/>
    <col min="13339" max="13340" width="14.453125" style="614" bestFit="1" customWidth="1"/>
    <col min="13341" max="13341" width="12.81640625" style="614" bestFit="1" customWidth="1"/>
    <col min="13342" max="13342" width="14.453125" style="614" bestFit="1" customWidth="1"/>
    <col min="13343" max="13563" width="10.90625" style="614"/>
    <col min="13564" max="13564" width="5.7265625" style="614" customWidth="1"/>
    <col min="13565" max="13565" width="35.1796875" style="614" customWidth="1"/>
    <col min="13566" max="13567" width="10.26953125" style="614" customWidth="1"/>
    <col min="13568" max="13568" width="7.453125" style="614" customWidth="1"/>
    <col min="13569" max="13570" width="10.26953125" style="614" customWidth="1"/>
    <col min="13571" max="13571" width="7" style="614" customWidth="1"/>
    <col min="13572" max="13572" width="1" style="614" customWidth="1"/>
    <col min="13573" max="13574" width="8.7265625" style="614" customWidth="1"/>
    <col min="13575" max="13575" width="7.453125" style="614" customWidth="1"/>
    <col min="13576" max="13577" width="8.7265625" style="614" customWidth="1"/>
    <col min="13578" max="13578" width="8.453125" style="614" bestFit="1" customWidth="1"/>
    <col min="13579" max="13579" width="10.26953125" style="614" customWidth="1"/>
    <col min="13580" max="13580" width="10" style="614" customWidth="1"/>
    <col min="13581" max="13581" width="5.26953125" style="614" bestFit="1" customWidth="1"/>
    <col min="13582" max="13583" width="8.7265625" style="614" customWidth="1"/>
    <col min="13584" max="13584" width="9.7265625" style="614" customWidth="1"/>
    <col min="13585" max="13586" width="10.26953125" style="614" customWidth="1"/>
    <col min="13587" max="13587" width="7.81640625" style="614" bestFit="1" customWidth="1"/>
    <col min="13588" max="13588" width="13.453125" style="614" customWidth="1"/>
    <col min="13589" max="13589" width="3.26953125" style="614" customWidth="1"/>
    <col min="13590" max="13590" width="17.1796875" style="614" customWidth="1"/>
    <col min="13591" max="13591" width="14.453125" style="614" bestFit="1" customWidth="1"/>
    <col min="13592" max="13592" width="10.26953125" style="614" customWidth="1"/>
    <col min="13593" max="13593" width="6" style="614" bestFit="1" customWidth="1"/>
    <col min="13594" max="13594" width="10.90625" style="614"/>
    <col min="13595" max="13596" width="14.453125" style="614" bestFit="1" customWidth="1"/>
    <col min="13597" max="13597" width="12.81640625" style="614" bestFit="1" customWidth="1"/>
    <col min="13598" max="13598" width="14.453125" style="614" bestFit="1" customWidth="1"/>
    <col min="13599" max="13819" width="10.90625" style="614"/>
    <col min="13820" max="13820" width="5.7265625" style="614" customWidth="1"/>
    <col min="13821" max="13821" width="35.1796875" style="614" customWidth="1"/>
    <col min="13822" max="13823" width="10.26953125" style="614" customWidth="1"/>
    <col min="13824" max="13824" width="7.453125" style="614" customWidth="1"/>
    <col min="13825" max="13826" width="10.26953125" style="614" customWidth="1"/>
    <col min="13827" max="13827" width="7" style="614" customWidth="1"/>
    <col min="13828" max="13828" width="1" style="614" customWidth="1"/>
    <col min="13829" max="13830" width="8.7265625" style="614" customWidth="1"/>
    <col min="13831" max="13831" width="7.453125" style="614" customWidth="1"/>
    <col min="13832" max="13833" width="8.7265625" style="614" customWidth="1"/>
    <col min="13834" max="13834" width="8.453125" style="614" bestFit="1" customWidth="1"/>
    <col min="13835" max="13835" width="10.26953125" style="614" customWidth="1"/>
    <col min="13836" max="13836" width="10" style="614" customWidth="1"/>
    <col min="13837" max="13837" width="5.26953125" style="614" bestFit="1" customWidth="1"/>
    <col min="13838" max="13839" width="8.7265625" style="614" customWidth="1"/>
    <col min="13840" max="13840" width="9.7265625" style="614" customWidth="1"/>
    <col min="13841" max="13842" width="10.26953125" style="614" customWidth="1"/>
    <col min="13843" max="13843" width="7.81640625" style="614" bestFit="1" customWidth="1"/>
    <col min="13844" max="13844" width="13.453125" style="614" customWidth="1"/>
    <col min="13845" max="13845" width="3.26953125" style="614" customWidth="1"/>
    <col min="13846" max="13846" width="17.1796875" style="614" customWidth="1"/>
    <col min="13847" max="13847" width="14.453125" style="614" bestFit="1" customWidth="1"/>
    <col min="13848" max="13848" width="10.26953125" style="614" customWidth="1"/>
    <col min="13849" max="13849" width="6" style="614" bestFit="1" customWidth="1"/>
    <col min="13850" max="13850" width="10.90625" style="614"/>
    <col min="13851" max="13852" width="14.453125" style="614" bestFit="1" customWidth="1"/>
    <col min="13853" max="13853" width="12.81640625" style="614" bestFit="1" customWidth="1"/>
    <col min="13854" max="13854" width="14.453125" style="614" bestFit="1" customWidth="1"/>
    <col min="13855" max="14075" width="10.90625" style="614"/>
    <col min="14076" max="14076" width="5.7265625" style="614" customWidth="1"/>
    <col min="14077" max="14077" width="35.1796875" style="614" customWidth="1"/>
    <col min="14078" max="14079" width="10.26953125" style="614" customWidth="1"/>
    <col min="14080" max="14080" width="7.453125" style="614" customWidth="1"/>
    <col min="14081" max="14082" width="10.26953125" style="614" customWidth="1"/>
    <col min="14083" max="14083" width="7" style="614" customWidth="1"/>
    <col min="14084" max="14084" width="1" style="614" customWidth="1"/>
    <col min="14085" max="14086" width="8.7265625" style="614" customWidth="1"/>
    <col min="14087" max="14087" width="7.453125" style="614" customWidth="1"/>
    <col min="14088" max="14089" width="8.7265625" style="614" customWidth="1"/>
    <col min="14090" max="14090" width="8.453125" style="614" bestFit="1" customWidth="1"/>
    <col min="14091" max="14091" width="10.26953125" style="614" customWidth="1"/>
    <col min="14092" max="14092" width="10" style="614" customWidth="1"/>
    <col min="14093" max="14093" width="5.26953125" style="614" bestFit="1" customWidth="1"/>
    <col min="14094" max="14095" width="8.7265625" style="614" customWidth="1"/>
    <col min="14096" max="14096" width="9.7265625" style="614" customWidth="1"/>
    <col min="14097" max="14098" width="10.26953125" style="614" customWidth="1"/>
    <col min="14099" max="14099" width="7.81640625" style="614" bestFit="1" customWidth="1"/>
    <col min="14100" max="14100" width="13.453125" style="614" customWidth="1"/>
    <col min="14101" max="14101" width="3.26953125" style="614" customWidth="1"/>
    <col min="14102" max="14102" width="17.1796875" style="614" customWidth="1"/>
    <col min="14103" max="14103" width="14.453125" style="614" bestFit="1" customWidth="1"/>
    <col min="14104" max="14104" width="10.26953125" style="614" customWidth="1"/>
    <col min="14105" max="14105" width="6" style="614" bestFit="1" customWidth="1"/>
    <col min="14106" max="14106" width="10.90625" style="614"/>
    <col min="14107" max="14108" width="14.453125" style="614" bestFit="1" customWidth="1"/>
    <col min="14109" max="14109" width="12.81640625" style="614" bestFit="1" customWidth="1"/>
    <col min="14110" max="14110" width="14.453125" style="614" bestFit="1" customWidth="1"/>
    <col min="14111" max="14331" width="10.90625" style="614"/>
    <col min="14332" max="14332" width="5.7265625" style="614" customWidth="1"/>
    <col min="14333" max="14333" width="35.1796875" style="614" customWidth="1"/>
    <col min="14334" max="14335" width="10.26953125" style="614" customWidth="1"/>
    <col min="14336" max="14336" width="7.453125" style="614" customWidth="1"/>
    <col min="14337" max="14338" width="10.26953125" style="614" customWidth="1"/>
    <col min="14339" max="14339" width="7" style="614" customWidth="1"/>
    <col min="14340" max="14340" width="1" style="614" customWidth="1"/>
    <col min="14341" max="14342" width="8.7265625" style="614" customWidth="1"/>
    <col min="14343" max="14343" width="7.453125" style="614" customWidth="1"/>
    <col min="14344" max="14345" width="8.7265625" style="614" customWidth="1"/>
    <col min="14346" max="14346" width="8.453125" style="614" bestFit="1" customWidth="1"/>
    <col min="14347" max="14347" width="10.26953125" style="614" customWidth="1"/>
    <col min="14348" max="14348" width="10" style="614" customWidth="1"/>
    <col min="14349" max="14349" width="5.26953125" style="614" bestFit="1" customWidth="1"/>
    <col min="14350" max="14351" width="8.7265625" style="614" customWidth="1"/>
    <col min="14352" max="14352" width="9.7265625" style="614" customWidth="1"/>
    <col min="14353" max="14354" width="10.26953125" style="614" customWidth="1"/>
    <col min="14355" max="14355" width="7.81640625" style="614" bestFit="1" customWidth="1"/>
    <col min="14356" max="14356" width="13.453125" style="614" customWidth="1"/>
    <col min="14357" max="14357" width="3.26953125" style="614" customWidth="1"/>
    <col min="14358" max="14358" width="17.1796875" style="614" customWidth="1"/>
    <col min="14359" max="14359" width="14.453125" style="614" bestFit="1" customWidth="1"/>
    <col min="14360" max="14360" width="10.26953125" style="614" customWidth="1"/>
    <col min="14361" max="14361" width="6" style="614" bestFit="1" customWidth="1"/>
    <col min="14362" max="14362" width="10.90625" style="614"/>
    <col min="14363" max="14364" width="14.453125" style="614" bestFit="1" customWidth="1"/>
    <col min="14365" max="14365" width="12.81640625" style="614" bestFit="1" customWidth="1"/>
    <col min="14366" max="14366" width="14.453125" style="614" bestFit="1" customWidth="1"/>
    <col min="14367" max="14587" width="10.90625" style="614"/>
    <col min="14588" max="14588" width="5.7265625" style="614" customWidth="1"/>
    <col min="14589" max="14589" width="35.1796875" style="614" customWidth="1"/>
    <col min="14590" max="14591" width="10.26953125" style="614" customWidth="1"/>
    <col min="14592" max="14592" width="7.453125" style="614" customWidth="1"/>
    <col min="14593" max="14594" width="10.26953125" style="614" customWidth="1"/>
    <col min="14595" max="14595" width="7" style="614" customWidth="1"/>
    <col min="14596" max="14596" width="1" style="614" customWidth="1"/>
    <col min="14597" max="14598" width="8.7265625" style="614" customWidth="1"/>
    <col min="14599" max="14599" width="7.453125" style="614" customWidth="1"/>
    <col min="14600" max="14601" width="8.7265625" style="614" customWidth="1"/>
    <col min="14602" max="14602" width="8.453125" style="614" bestFit="1" customWidth="1"/>
    <col min="14603" max="14603" width="10.26953125" style="614" customWidth="1"/>
    <col min="14604" max="14604" width="10" style="614" customWidth="1"/>
    <col min="14605" max="14605" width="5.26953125" style="614" bestFit="1" customWidth="1"/>
    <col min="14606" max="14607" width="8.7265625" style="614" customWidth="1"/>
    <col min="14608" max="14608" width="9.7265625" style="614" customWidth="1"/>
    <col min="14609" max="14610" width="10.26953125" style="614" customWidth="1"/>
    <col min="14611" max="14611" width="7.81640625" style="614" bestFit="1" customWidth="1"/>
    <col min="14612" max="14612" width="13.453125" style="614" customWidth="1"/>
    <col min="14613" max="14613" width="3.26953125" style="614" customWidth="1"/>
    <col min="14614" max="14614" width="17.1796875" style="614" customWidth="1"/>
    <col min="14615" max="14615" width="14.453125" style="614" bestFit="1" customWidth="1"/>
    <col min="14616" max="14616" width="10.26953125" style="614" customWidth="1"/>
    <col min="14617" max="14617" width="6" style="614" bestFit="1" customWidth="1"/>
    <col min="14618" max="14618" width="10.90625" style="614"/>
    <col min="14619" max="14620" width="14.453125" style="614" bestFit="1" customWidth="1"/>
    <col min="14621" max="14621" width="12.81640625" style="614" bestFit="1" customWidth="1"/>
    <col min="14622" max="14622" width="14.453125" style="614" bestFit="1" customWidth="1"/>
    <col min="14623" max="14843" width="10.90625" style="614"/>
    <col min="14844" max="14844" width="5.7265625" style="614" customWidth="1"/>
    <col min="14845" max="14845" width="35.1796875" style="614" customWidth="1"/>
    <col min="14846" max="14847" width="10.26953125" style="614" customWidth="1"/>
    <col min="14848" max="14848" width="7.453125" style="614" customWidth="1"/>
    <col min="14849" max="14850" width="10.26953125" style="614" customWidth="1"/>
    <col min="14851" max="14851" width="7" style="614" customWidth="1"/>
    <col min="14852" max="14852" width="1" style="614" customWidth="1"/>
    <col min="14853" max="14854" width="8.7265625" style="614" customWidth="1"/>
    <col min="14855" max="14855" width="7.453125" style="614" customWidth="1"/>
    <col min="14856" max="14857" width="8.7265625" style="614" customWidth="1"/>
    <col min="14858" max="14858" width="8.453125" style="614" bestFit="1" customWidth="1"/>
    <col min="14859" max="14859" width="10.26953125" style="614" customWidth="1"/>
    <col min="14860" max="14860" width="10" style="614" customWidth="1"/>
    <col min="14861" max="14861" width="5.26953125" style="614" bestFit="1" customWidth="1"/>
    <col min="14862" max="14863" width="8.7265625" style="614" customWidth="1"/>
    <col min="14864" max="14864" width="9.7265625" style="614" customWidth="1"/>
    <col min="14865" max="14866" width="10.26953125" style="614" customWidth="1"/>
    <col min="14867" max="14867" width="7.81640625" style="614" bestFit="1" customWidth="1"/>
    <col min="14868" max="14868" width="13.453125" style="614" customWidth="1"/>
    <col min="14869" max="14869" width="3.26953125" style="614" customWidth="1"/>
    <col min="14870" max="14870" width="17.1796875" style="614" customWidth="1"/>
    <col min="14871" max="14871" width="14.453125" style="614" bestFit="1" customWidth="1"/>
    <col min="14872" max="14872" width="10.26953125" style="614" customWidth="1"/>
    <col min="14873" max="14873" width="6" style="614" bestFit="1" customWidth="1"/>
    <col min="14874" max="14874" width="10.90625" style="614"/>
    <col min="14875" max="14876" width="14.453125" style="614" bestFit="1" customWidth="1"/>
    <col min="14877" max="14877" width="12.81640625" style="614" bestFit="1" customWidth="1"/>
    <col min="14878" max="14878" width="14.453125" style="614" bestFit="1" customWidth="1"/>
    <col min="14879" max="15099" width="10.90625" style="614"/>
    <col min="15100" max="15100" width="5.7265625" style="614" customWidth="1"/>
    <col min="15101" max="15101" width="35.1796875" style="614" customWidth="1"/>
    <col min="15102" max="15103" width="10.26953125" style="614" customWidth="1"/>
    <col min="15104" max="15104" width="7.453125" style="614" customWidth="1"/>
    <col min="15105" max="15106" width="10.26953125" style="614" customWidth="1"/>
    <col min="15107" max="15107" width="7" style="614" customWidth="1"/>
    <col min="15108" max="15108" width="1" style="614" customWidth="1"/>
    <col min="15109" max="15110" width="8.7265625" style="614" customWidth="1"/>
    <col min="15111" max="15111" width="7.453125" style="614" customWidth="1"/>
    <col min="15112" max="15113" width="8.7265625" style="614" customWidth="1"/>
    <col min="15114" max="15114" width="8.453125" style="614" bestFit="1" customWidth="1"/>
    <col min="15115" max="15115" width="10.26953125" style="614" customWidth="1"/>
    <col min="15116" max="15116" width="10" style="614" customWidth="1"/>
    <col min="15117" max="15117" width="5.26953125" style="614" bestFit="1" customWidth="1"/>
    <col min="15118" max="15119" width="8.7265625" style="614" customWidth="1"/>
    <col min="15120" max="15120" width="9.7265625" style="614" customWidth="1"/>
    <col min="15121" max="15122" width="10.26953125" style="614" customWidth="1"/>
    <col min="15123" max="15123" width="7.81640625" style="614" bestFit="1" customWidth="1"/>
    <col min="15124" max="15124" width="13.453125" style="614" customWidth="1"/>
    <col min="15125" max="15125" width="3.26953125" style="614" customWidth="1"/>
    <col min="15126" max="15126" width="17.1796875" style="614" customWidth="1"/>
    <col min="15127" max="15127" width="14.453125" style="614" bestFit="1" customWidth="1"/>
    <col min="15128" max="15128" width="10.26953125" style="614" customWidth="1"/>
    <col min="15129" max="15129" width="6" style="614" bestFit="1" customWidth="1"/>
    <col min="15130" max="15130" width="10.90625" style="614"/>
    <col min="15131" max="15132" width="14.453125" style="614" bestFit="1" customWidth="1"/>
    <col min="15133" max="15133" width="12.81640625" style="614" bestFit="1" customWidth="1"/>
    <col min="15134" max="15134" width="14.453125" style="614" bestFit="1" customWidth="1"/>
    <col min="15135" max="15355" width="10.90625" style="614"/>
    <col min="15356" max="15356" width="5.7265625" style="614" customWidth="1"/>
    <col min="15357" max="15357" width="35.1796875" style="614" customWidth="1"/>
    <col min="15358" max="15359" width="10.26953125" style="614" customWidth="1"/>
    <col min="15360" max="15360" width="7.453125" style="614" customWidth="1"/>
    <col min="15361" max="15362" width="10.26953125" style="614" customWidth="1"/>
    <col min="15363" max="15363" width="7" style="614" customWidth="1"/>
    <col min="15364" max="15364" width="1" style="614" customWidth="1"/>
    <col min="15365" max="15366" width="8.7265625" style="614" customWidth="1"/>
    <col min="15367" max="15367" width="7.453125" style="614" customWidth="1"/>
    <col min="15368" max="15369" width="8.7265625" style="614" customWidth="1"/>
    <col min="15370" max="15370" width="8.453125" style="614" bestFit="1" customWidth="1"/>
    <col min="15371" max="15371" width="10.26953125" style="614" customWidth="1"/>
    <col min="15372" max="15372" width="10" style="614" customWidth="1"/>
    <col min="15373" max="15373" width="5.26953125" style="614" bestFit="1" customWidth="1"/>
    <col min="15374" max="15375" width="8.7265625" style="614" customWidth="1"/>
    <col min="15376" max="15376" width="9.7265625" style="614" customWidth="1"/>
    <col min="15377" max="15378" width="10.26953125" style="614" customWidth="1"/>
    <col min="15379" max="15379" width="7.81640625" style="614" bestFit="1" customWidth="1"/>
    <col min="15380" max="15380" width="13.453125" style="614" customWidth="1"/>
    <col min="15381" max="15381" width="3.26953125" style="614" customWidth="1"/>
    <col min="15382" max="15382" width="17.1796875" style="614" customWidth="1"/>
    <col min="15383" max="15383" width="14.453125" style="614" bestFit="1" customWidth="1"/>
    <col min="15384" max="15384" width="10.26953125" style="614" customWidth="1"/>
    <col min="15385" max="15385" width="6" style="614" bestFit="1" customWidth="1"/>
    <col min="15386" max="15386" width="10.90625" style="614"/>
    <col min="15387" max="15388" width="14.453125" style="614" bestFit="1" customWidth="1"/>
    <col min="15389" max="15389" width="12.81640625" style="614" bestFit="1" customWidth="1"/>
    <col min="15390" max="15390" width="14.453125" style="614" bestFit="1" customWidth="1"/>
    <col min="15391" max="15611" width="10.90625" style="614"/>
    <col min="15612" max="15612" width="5.7265625" style="614" customWidth="1"/>
    <col min="15613" max="15613" width="35.1796875" style="614" customWidth="1"/>
    <col min="15614" max="15615" width="10.26953125" style="614" customWidth="1"/>
    <col min="15616" max="15616" width="7.453125" style="614" customWidth="1"/>
    <col min="15617" max="15618" width="10.26953125" style="614" customWidth="1"/>
    <col min="15619" max="15619" width="7" style="614" customWidth="1"/>
    <col min="15620" max="15620" width="1" style="614" customWidth="1"/>
    <col min="15621" max="15622" width="8.7265625" style="614" customWidth="1"/>
    <col min="15623" max="15623" width="7.453125" style="614" customWidth="1"/>
    <col min="15624" max="15625" width="8.7265625" style="614" customWidth="1"/>
    <col min="15626" max="15626" width="8.453125" style="614" bestFit="1" customWidth="1"/>
    <col min="15627" max="15627" width="10.26953125" style="614" customWidth="1"/>
    <col min="15628" max="15628" width="10" style="614" customWidth="1"/>
    <col min="15629" max="15629" width="5.26953125" style="614" bestFit="1" customWidth="1"/>
    <col min="15630" max="15631" width="8.7265625" style="614" customWidth="1"/>
    <col min="15632" max="15632" width="9.7265625" style="614" customWidth="1"/>
    <col min="15633" max="15634" width="10.26953125" style="614" customWidth="1"/>
    <col min="15635" max="15635" width="7.81640625" style="614" bestFit="1" customWidth="1"/>
    <col min="15636" max="15636" width="13.453125" style="614" customWidth="1"/>
    <col min="15637" max="15637" width="3.26953125" style="614" customWidth="1"/>
    <col min="15638" max="15638" width="17.1796875" style="614" customWidth="1"/>
    <col min="15639" max="15639" width="14.453125" style="614" bestFit="1" customWidth="1"/>
    <col min="15640" max="15640" width="10.26953125" style="614" customWidth="1"/>
    <col min="15641" max="15641" width="6" style="614" bestFit="1" customWidth="1"/>
    <col min="15642" max="15642" width="10.90625" style="614"/>
    <col min="15643" max="15644" width="14.453125" style="614" bestFit="1" customWidth="1"/>
    <col min="15645" max="15645" width="12.81640625" style="614" bestFit="1" customWidth="1"/>
    <col min="15646" max="15646" width="14.453125" style="614" bestFit="1" customWidth="1"/>
    <col min="15647" max="15867" width="10.90625" style="614"/>
    <col min="15868" max="15868" width="5.7265625" style="614" customWidth="1"/>
    <col min="15869" max="15869" width="35.1796875" style="614" customWidth="1"/>
    <col min="15870" max="15871" width="10.26953125" style="614" customWidth="1"/>
    <col min="15872" max="15872" width="7.453125" style="614" customWidth="1"/>
    <col min="15873" max="15874" width="10.26953125" style="614" customWidth="1"/>
    <col min="15875" max="15875" width="7" style="614" customWidth="1"/>
    <col min="15876" max="15876" width="1" style="614" customWidth="1"/>
    <col min="15877" max="15878" width="8.7265625" style="614" customWidth="1"/>
    <col min="15879" max="15879" width="7.453125" style="614" customWidth="1"/>
    <col min="15880" max="15881" width="8.7265625" style="614" customWidth="1"/>
    <col min="15882" max="15882" width="8.453125" style="614" bestFit="1" customWidth="1"/>
    <col min="15883" max="15883" width="10.26953125" style="614" customWidth="1"/>
    <col min="15884" max="15884" width="10" style="614" customWidth="1"/>
    <col min="15885" max="15885" width="5.26953125" style="614" bestFit="1" customWidth="1"/>
    <col min="15886" max="15887" width="8.7265625" style="614" customWidth="1"/>
    <col min="15888" max="15888" width="9.7265625" style="614" customWidth="1"/>
    <col min="15889" max="15890" width="10.26953125" style="614" customWidth="1"/>
    <col min="15891" max="15891" width="7.81640625" style="614" bestFit="1" customWidth="1"/>
    <col min="15892" max="15892" width="13.453125" style="614" customWidth="1"/>
    <col min="15893" max="15893" width="3.26953125" style="614" customWidth="1"/>
    <col min="15894" max="15894" width="17.1796875" style="614" customWidth="1"/>
    <col min="15895" max="15895" width="14.453125" style="614" bestFit="1" customWidth="1"/>
    <col min="15896" max="15896" width="10.26953125" style="614" customWidth="1"/>
    <col min="15897" max="15897" width="6" style="614" bestFit="1" customWidth="1"/>
    <col min="15898" max="15898" width="10.90625" style="614"/>
    <col min="15899" max="15900" width="14.453125" style="614" bestFit="1" customWidth="1"/>
    <col min="15901" max="15901" width="12.81640625" style="614" bestFit="1" customWidth="1"/>
    <col min="15902" max="15902" width="14.453125" style="614" bestFit="1" customWidth="1"/>
    <col min="15903" max="16123" width="10.90625" style="614"/>
    <col min="16124" max="16124" width="5.7265625" style="614" customWidth="1"/>
    <col min="16125" max="16125" width="35.1796875" style="614" customWidth="1"/>
    <col min="16126" max="16127" width="10.26953125" style="614" customWidth="1"/>
    <col min="16128" max="16128" width="7.453125" style="614" customWidth="1"/>
    <col min="16129" max="16130" width="10.26953125" style="614" customWidth="1"/>
    <col min="16131" max="16131" width="7" style="614" customWidth="1"/>
    <col min="16132" max="16132" width="1" style="614" customWidth="1"/>
    <col min="16133" max="16134" width="8.7265625" style="614" customWidth="1"/>
    <col min="16135" max="16135" width="7.453125" style="614" customWidth="1"/>
    <col min="16136" max="16137" width="8.7265625" style="614" customWidth="1"/>
    <col min="16138" max="16138" width="8.453125" style="614" bestFit="1" customWidth="1"/>
    <col min="16139" max="16139" width="10.26953125" style="614" customWidth="1"/>
    <col min="16140" max="16140" width="10" style="614" customWidth="1"/>
    <col min="16141" max="16141" width="5.26953125" style="614" bestFit="1" customWidth="1"/>
    <col min="16142" max="16143" width="8.7265625" style="614" customWidth="1"/>
    <col min="16144" max="16144" width="9.7265625" style="614" customWidth="1"/>
    <col min="16145" max="16146" width="10.26953125" style="614" customWidth="1"/>
    <col min="16147" max="16147" width="7.81640625" style="614" bestFit="1" customWidth="1"/>
    <col min="16148" max="16148" width="13.453125" style="614" customWidth="1"/>
    <col min="16149" max="16149" width="3.26953125" style="614" customWidth="1"/>
    <col min="16150" max="16150" width="17.1796875" style="614" customWidth="1"/>
    <col min="16151" max="16151" width="14.453125" style="614" bestFit="1" customWidth="1"/>
    <col min="16152" max="16152" width="10.26953125" style="614" customWidth="1"/>
    <col min="16153" max="16153" width="6" style="614" bestFit="1" customWidth="1"/>
    <col min="16154" max="16154" width="10.90625" style="614"/>
    <col min="16155" max="16156" width="14.453125" style="614" bestFit="1" customWidth="1"/>
    <col min="16157" max="16157" width="12.81640625" style="614" bestFit="1" customWidth="1"/>
    <col min="16158" max="16158" width="14.453125" style="614" bestFit="1" customWidth="1"/>
    <col min="16159" max="16383" width="10.90625" style="614"/>
    <col min="16384" max="16384" width="11.453125" style="614" customWidth="1"/>
  </cols>
  <sheetData>
    <row r="1" spans="2:36">
      <c r="AA1" s="614"/>
      <c r="AB1" s="615"/>
    </row>
    <row r="2" spans="2:36">
      <c r="AA2" s="614"/>
      <c r="AB2" s="615"/>
    </row>
    <row r="3" spans="2:36" ht="28">
      <c r="B3" s="617" t="s">
        <v>301</v>
      </c>
      <c r="M3" s="618"/>
      <c r="AA3" s="614"/>
      <c r="AB3" s="615"/>
    </row>
    <row r="4" spans="2:36" ht="20">
      <c r="B4" s="619" t="s">
        <v>302</v>
      </c>
      <c r="F4" s="620"/>
      <c r="G4" s="620">
        <v>1000000</v>
      </c>
      <c r="R4" s="621"/>
      <c r="AA4" s="1148"/>
      <c r="AB4" s="615"/>
    </row>
    <row r="5" spans="2:36" ht="23">
      <c r="B5" s="623"/>
      <c r="AA5" s="614"/>
      <c r="AB5" s="614"/>
    </row>
    <row r="6" spans="2:36">
      <c r="B6" s="624"/>
      <c r="C6" s="624"/>
      <c r="F6" s="624"/>
      <c r="G6" s="625"/>
      <c r="AA6" s="614"/>
      <c r="AB6" s="615"/>
    </row>
    <row r="7" spans="2:36">
      <c r="B7" s="624"/>
      <c r="C7" s="1149"/>
      <c r="F7" s="1149"/>
      <c r="G7" s="627"/>
      <c r="AA7" s="615"/>
      <c r="AB7" s="628"/>
    </row>
    <row r="8" spans="2:36">
      <c r="B8" s="656"/>
      <c r="C8" s="1149"/>
      <c r="F8" s="1149"/>
      <c r="AA8" s="629"/>
      <c r="AB8" s="629"/>
      <c r="AC8" s="630"/>
    </row>
    <row r="9" spans="2:36" ht="22">
      <c r="B9" s="631"/>
      <c r="C9" s="1227"/>
      <c r="D9" s="1227"/>
      <c r="E9" s="632" t="s">
        <v>303</v>
      </c>
      <c r="F9" s="1227"/>
      <c r="G9" s="1227"/>
      <c r="H9" s="632" t="s">
        <v>303</v>
      </c>
      <c r="I9" s="632"/>
      <c r="J9" s="1227"/>
      <c r="K9" s="1227"/>
      <c r="L9" s="632" t="s">
        <v>303</v>
      </c>
      <c r="M9" s="1227"/>
      <c r="N9" s="1227"/>
      <c r="O9" s="632" t="s">
        <v>303</v>
      </c>
      <c r="P9" s="632" t="s">
        <v>304</v>
      </c>
      <c r="Q9" s="633" t="s">
        <v>305</v>
      </c>
      <c r="R9" s="634"/>
      <c r="S9" s="634"/>
      <c r="T9" s="632" t="s">
        <v>303</v>
      </c>
      <c r="U9" s="634"/>
      <c r="V9" s="634"/>
      <c r="W9" s="632" t="s">
        <v>303</v>
      </c>
      <c r="X9" s="635" t="s">
        <v>306</v>
      </c>
      <c r="Y9" s="636"/>
      <c r="Z9" s="635" t="s">
        <v>306</v>
      </c>
      <c r="AA9" s="1228" t="s">
        <v>307</v>
      </c>
      <c r="AB9" s="1229" t="s">
        <v>307</v>
      </c>
      <c r="AC9" s="637" t="s">
        <v>303</v>
      </c>
    </row>
    <row r="10" spans="2:36" ht="9" customHeight="1">
      <c r="C10" s="638"/>
      <c r="D10" s="639"/>
      <c r="F10" s="638"/>
      <c r="G10" s="639"/>
      <c r="J10" s="638"/>
      <c r="K10" s="639"/>
      <c r="M10" s="638"/>
      <c r="N10" s="639"/>
      <c r="R10" s="638"/>
      <c r="S10" s="638"/>
      <c r="T10" s="638"/>
      <c r="U10" s="640"/>
      <c r="V10" s="639"/>
      <c r="W10" s="638"/>
      <c r="X10" s="641"/>
      <c r="Y10" s="641"/>
      <c r="Z10" s="641"/>
      <c r="AA10" s="642"/>
      <c r="AB10" s="643"/>
      <c r="AC10" s="644"/>
    </row>
    <row r="11" spans="2:36" ht="13">
      <c r="C11" s="645" t="s">
        <v>643</v>
      </c>
      <c r="D11" s="645" t="s">
        <v>506</v>
      </c>
      <c r="E11" s="646"/>
      <c r="F11" s="647" t="str">
        <f>+C11</f>
        <v>Mar. 25</v>
      </c>
      <c r="G11" s="645" t="str">
        <f>+D11</f>
        <v>Mar. 24</v>
      </c>
      <c r="H11" s="646"/>
      <c r="I11" s="646"/>
      <c r="J11" s="647" t="str">
        <f>+C11</f>
        <v>Mar. 25</v>
      </c>
      <c r="K11" s="645" t="str">
        <f>+D11</f>
        <v>Mar. 24</v>
      </c>
      <c r="L11" s="646"/>
      <c r="M11" s="647" t="str">
        <f>+C11</f>
        <v>Mar. 25</v>
      </c>
      <c r="N11" s="647" t="str">
        <f>+D11</f>
        <v>Mar. 24</v>
      </c>
      <c r="O11" s="646"/>
      <c r="P11" s="646"/>
      <c r="Q11" s="646"/>
      <c r="R11" s="647" t="str">
        <f>+C11</f>
        <v>Mar. 25</v>
      </c>
      <c r="S11" s="645" t="str">
        <f>+D11</f>
        <v>Mar. 24</v>
      </c>
      <c r="T11" s="638"/>
      <c r="U11" s="645" t="str">
        <f>+C11</f>
        <v>Mar. 25</v>
      </c>
      <c r="V11" s="645" t="str">
        <f>+D11</f>
        <v>Mar. 24</v>
      </c>
      <c r="W11" s="638"/>
      <c r="X11" s="647" t="str">
        <f>+C11</f>
        <v>Mar. 25</v>
      </c>
      <c r="Y11" s="641"/>
      <c r="Z11" s="645" t="str">
        <f>+D11</f>
        <v>Mar. 24</v>
      </c>
      <c r="AA11" s="648" t="str">
        <f>+C11</f>
        <v>Mar. 25</v>
      </c>
      <c r="AB11" s="1150" t="str">
        <f>+D11</f>
        <v>Mar. 24</v>
      </c>
      <c r="AC11" s="649"/>
      <c r="AD11" s="646"/>
    </row>
    <row r="12" spans="2:36" ht="9" customHeight="1">
      <c r="C12" s="638"/>
      <c r="D12" s="639"/>
      <c r="E12" s="646"/>
      <c r="F12" s="638"/>
      <c r="G12" s="639"/>
      <c r="H12" s="646"/>
      <c r="I12" s="646"/>
      <c r="J12" s="638"/>
      <c r="K12" s="639"/>
      <c r="L12" s="646"/>
      <c r="M12" s="638"/>
      <c r="N12" s="639"/>
      <c r="O12" s="646"/>
      <c r="P12" s="646"/>
      <c r="Q12" s="646"/>
      <c r="R12" s="638"/>
      <c r="S12" s="638"/>
      <c r="T12" s="638"/>
      <c r="U12" s="620"/>
      <c r="V12" s="639"/>
      <c r="W12" s="638"/>
      <c r="X12" s="641"/>
      <c r="Y12" s="641"/>
      <c r="Z12" s="641"/>
      <c r="AA12" s="650"/>
      <c r="AB12" s="651"/>
      <c r="AC12" s="649"/>
      <c r="AD12" s="646"/>
    </row>
    <row r="13" spans="2:36">
      <c r="B13" s="614" t="s">
        <v>264</v>
      </c>
      <c r="C13" s="652">
        <v>1225381</v>
      </c>
      <c r="D13" s="652">
        <v>1302625</v>
      </c>
      <c r="E13" s="931">
        <f>IF(D13&lt;0,-((C13/D13)-1),(C13/D13)-1)</f>
        <v>-5.9298723730927927E-2</v>
      </c>
      <c r="F13" s="652">
        <v>1448635</v>
      </c>
      <c r="G13" s="652">
        <v>1373565</v>
      </c>
      <c r="H13" s="931">
        <f>IF(G13&lt;0,-((F13/G13)-1),(F13/G13)-1)</f>
        <v>5.4653401913997479E-2</v>
      </c>
      <c r="I13" s="620">
        <v>0</v>
      </c>
      <c r="J13" s="652">
        <v>52498</v>
      </c>
      <c r="K13" s="652">
        <v>-46104</v>
      </c>
      <c r="L13" s="931">
        <f>IF(K13&lt;0,-((J13/K13)-1),(J13/K13)-1)</f>
        <v>2.1386864480305396</v>
      </c>
      <c r="M13" s="652">
        <v>17481</v>
      </c>
      <c r="N13" s="835">
        <v>10240</v>
      </c>
      <c r="O13" s="931">
        <f>IF(N13&lt;0,-((M13/N13)-1),(M13/N13)-1)</f>
        <v>0.70712890624999991</v>
      </c>
      <c r="P13" s="652">
        <f>+M13-N13</f>
        <v>7241</v>
      </c>
      <c r="Q13" s="932" t="s">
        <v>644</v>
      </c>
      <c r="R13" s="652">
        <v>30335</v>
      </c>
      <c r="S13" s="652">
        <v>28111</v>
      </c>
      <c r="T13" s="931">
        <f>IF(S13&lt;0,-((R13/S13)-1),(R13/S13)-1)</f>
        <v>7.9114937213190517E-2</v>
      </c>
      <c r="U13" s="652">
        <v>132332</v>
      </c>
      <c r="V13" s="652">
        <v>34013</v>
      </c>
      <c r="W13" s="931">
        <f>IF(V13&lt;0,-((U13/V13)-1),(U13/V13)-1)</f>
        <v>2.8906300532149474</v>
      </c>
      <c r="X13" s="653">
        <f>-3541+8</f>
        <v>-3533</v>
      </c>
      <c r="Y13" s="636" t="s">
        <v>308</v>
      </c>
      <c r="Z13" s="1165">
        <f>15480+77-1</f>
        <v>15556</v>
      </c>
      <c r="AA13" s="1001">
        <f>+C13+F13+J13+M13+R13+U13+X13</f>
        <v>2903129</v>
      </c>
      <c r="AB13" s="654">
        <f>+D13+G13+K13+N13+V13+S13++Z13</f>
        <v>2718006</v>
      </c>
      <c r="AC13" s="1151">
        <f>IF(AB13&lt;0,-((AA13/AB13)-1),(AA13/AB13)-1)</f>
        <v>6.8109857005466568E-2</v>
      </c>
      <c r="AD13" s="656"/>
      <c r="AE13" s="656"/>
      <c r="AF13" s="657"/>
      <c r="AG13" s="657"/>
      <c r="AH13" s="658"/>
      <c r="AI13" s="658"/>
      <c r="AJ13" s="657"/>
    </row>
    <row r="14" spans="2:36" ht="12.5">
      <c r="B14" s="659"/>
      <c r="C14" s="659"/>
      <c r="D14" s="659"/>
      <c r="E14" s="660"/>
      <c r="F14" s="659"/>
      <c r="G14" s="659"/>
      <c r="H14" s="660"/>
      <c r="I14" s="659"/>
      <c r="J14" s="659"/>
      <c r="K14" s="659"/>
      <c r="L14" s="660"/>
      <c r="M14" s="659"/>
      <c r="N14" s="659"/>
      <c r="O14" s="660"/>
      <c r="P14" s="659"/>
      <c r="Q14" s="660"/>
      <c r="R14" s="659"/>
      <c r="S14" s="659"/>
      <c r="T14" s="660"/>
      <c r="U14" s="659"/>
      <c r="V14" s="659"/>
      <c r="W14" s="660"/>
      <c r="X14" s="659"/>
      <c r="Y14" s="659"/>
      <c r="Z14" s="659"/>
      <c r="AA14" s="1002"/>
      <c r="AB14" s="661"/>
      <c r="AC14" s="662"/>
      <c r="AD14" s="656"/>
    </row>
    <row r="15" spans="2:36">
      <c r="B15" s="614" t="s">
        <v>132</v>
      </c>
      <c r="C15" s="620">
        <v>316339</v>
      </c>
      <c r="D15" s="620">
        <v>332022</v>
      </c>
      <c r="E15" s="933">
        <f>IF(D15&lt;0,-((C15/D15)-1),(C15/D15)-1)</f>
        <v>-4.723482178891758E-2</v>
      </c>
      <c r="F15" s="620">
        <v>463231</v>
      </c>
      <c r="G15" s="620">
        <v>316949</v>
      </c>
      <c r="H15" s="933">
        <f>IF(G15&lt;0,-((F15/G15)-1),(F15/G15)-1)</f>
        <v>0.46153166597780726</v>
      </c>
      <c r="J15" s="620">
        <v>41625</v>
      </c>
      <c r="K15" s="620">
        <v>-62453</v>
      </c>
      <c r="L15" s="933">
        <f>IF(K15&lt;0,-((J15/K15)-1),(J15/K15)-1)</f>
        <v>1.6665012089090996</v>
      </c>
      <c r="M15" s="620">
        <v>-1676</v>
      </c>
      <c r="N15" s="620">
        <v>1424</v>
      </c>
      <c r="O15" s="933">
        <f>IF(N15&lt;0,-((M15/N15)-1),(M15/N15)-1)</f>
        <v>-2.1769662921348312</v>
      </c>
      <c r="P15" s="620">
        <f>+M15-N15</f>
        <v>-3100</v>
      </c>
      <c r="Q15" s="932" t="s">
        <v>645</v>
      </c>
      <c r="R15" s="620">
        <v>7523</v>
      </c>
      <c r="S15" s="620">
        <v>13543</v>
      </c>
      <c r="T15" s="933">
        <f>IF(S15&lt;0,-((R15/S15)-1),(R15/S15)-1)</f>
        <v>-0.44451007900760542</v>
      </c>
      <c r="U15" s="620">
        <v>127405</v>
      </c>
      <c r="V15" s="620">
        <v>33420</v>
      </c>
      <c r="W15" s="933">
        <f>IF(V15&lt;0,-((U15/V15)-1),(U15/V15)-1)</f>
        <v>2.8122381807301018</v>
      </c>
      <c r="X15" s="1152">
        <v>-3533</v>
      </c>
      <c r="Y15" s="663" t="s">
        <v>308</v>
      </c>
      <c r="Z15" s="1166">
        <v>15557</v>
      </c>
      <c r="AA15" s="1003">
        <f>+C15+F15+J15+M15+R15+U15+X15</f>
        <v>950914</v>
      </c>
      <c r="AB15" s="664">
        <f>+D15+G15+K15+N15+V15+S15++Z15</f>
        <v>650462</v>
      </c>
      <c r="AC15" s="1153">
        <f>IF(AB15&lt;0,-((AA15/AB15)-1),(AA15/AB15)-1)</f>
        <v>0.4619055379099779</v>
      </c>
      <c r="AD15" s="656"/>
      <c r="AE15" s="656"/>
      <c r="AF15" s="657"/>
      <c r="AG15" s="657"/>
      <c r="AH15" s="658"/>
      <c r="AI15" s="658"/>
      <c r="AJ15" s="657"/>
    </row>
    <row r="16" spans="2:36" ht="13">
      <c r="B16" s="666" t="s">
        <v>133</v>
      </c>
      <c r="C16" s="934">
        <f>+C15/C13</f>
        <v>0.25815562669896136</v>
      </c>
      <c r="D16" s="934">
        <f>+D15/D13</f>
        <v>0.254886863064965</v>
      </c>
      <c r="E16" s="667"/>
      <c r="F16" s="934">
        <f>+F15/F13</f>
        <v>0.31977068067525638</v>
      </c>
      <c r="G16" s="934">
        <f>+G15/G13</f>
        <v>0.23074918187344612</v>
      </c>
      <c r="H16" s="667"/>
      <c r="I16" s="459"/>
      <c r="J16" s="934">
        <f>+J15/J13</f>
        <v>0.79288734808945105</v>
      </c>
      <c r="K16" s="934">
        <f>+K15/K13</f>
        <v>1.3546113135519695</v>
      </c>
      <c r="L16" s="667"/>
      <c r="M16" s="934">
        <f>+M15/M13</f>
        <v>-9.5875521995309188E-2</v>
      </c>
      <c r="N16" s="934">
        <f>+N15/N13</f>
        <v>0.13906250000000001</v>
      </c>
      <c r="O16" s="667"/>
      <c r="P16" s="934"/>
      <c r="Q16" s="667"/>
      <c r="R16" s="934">
        <f>+R15/R13</f>
        <v>0.24799736278226472</v>
      </c>
      <c r="S16" s="934">
        <f>+S15/S13</f>
        <v>0.48176870264309346</v>
      </c>
      <c r="T16" s="667"/>
      <c r="U16" s="934">
        <f>(+U15/U13)</f>
        <v>0.96276788683009396</v>
      </c>
      <c r="V16" s="934">
        <f>(+V15/V13)</f>
        <v>0.982565489665716</v>
      </c>
      <c r="W16" s="667"/>
      <c r="X16" s="934"/>
      <c r="Y16" s="460"/>
      <c r="Z16" s="934"/>
      <c r="AA16" s="1154">
        <f>+AA15/AA13</f>
        <v>0.32754796634941125</v>
      </c>
      <c r="AB16" s="1155">
        <f>+AB15/AB13</f>
        <v>0.23931588083322847</v>
      </c>
      <c r="AC16" s="669"/>
      <c r="AD16" s="656"/>
    </row>
    <row r="17" spans="2:36" ht="12.5">
      <c r="B17" s="659"/>
      <c r="C17" s="670"/>
      <c r="D17" s="670"/>
      <c r="E17" s="660"/>
      <c r="F17" s="670"/>
      <c r="G17" s="670"/>
      <c r="H17" s="660"/>
      <c r="I17" s="659"/>
      <c r="J17" s="670"/>
      <c r="K17" s="670"/>
      <c r="L17" s="660"/>
      <c r="M17" s="670"/>
      <c r="N17" s="670"/>
      <c r="O17" s="660"/>
      <c r="P17" s="670"/>
      <c r="Q17" s="660"/>
      <c r="R17" s="670"/>
      <c r="S17" s="670"/>
      <c r="T17" s="660"/>
      <c r="U17" s="670"/>
      <c r="V17" s="670"/>
      <c r="W17" s="660"/>
      <c r="X17" s="670"/>
      <c r="Y17" s="671"/>
      <c r="Z17" s="670"/>
      <c r="AA17" s="1004"/>
      <c r="AB17" s="672"/>
      <c r="AC17" s="662"/>
      <c r="AD17" s="656"/>
    </row>
    <row r="18" spans="2:36">
      <c r="B18" s="614" t="s">
        <v>143</v>
      </c>
      <c r="C18" s="620">
        <v>152729</v>
      </c>
      <c r="D18" s="620">
        <v>188249</v>
      </c>
      <c r="E18" s="933">
        <f>IF(D18&lt;0,-((C18/D18)-1),(C18/D18)-1)</f>
        <v>-0.18868626128160049</v>
      </c>
      <c r="F18" s="620">
        <v>355194</v>
      </c>
      <c r="G18" s="620">
        <v>198865</v>
      </c>
      <c r="H18" s="933">
        <f>IF(G18&lt;0,-((F18/G18)-1),(F18/G18)-1)</f>
        <v>0.78610615241495485</v>
      </c>
      <c r="J18" s="620">
        <v>2251</v>
      </c>
      <c r="K18" s="620">
        <v>-89854</v>
      </c>
      <c r="L18" s="933">
        <f>IF(K18&lt;0,-((J18/K18)-1),(J18/K18)-1)</f>
        <v>1.0250517506176686</v>
      </c>
      <c r="M18" s="620">
        <v>-28559</v>
      </c>
      <c r="N18" s="620">
        <v>6741</v>
      </c>
      <c r="O18" s="933">
        <f>IF(N18&lt;0,-((M18/N18)-1),(M18/N18)-1)</f>
        <v>-5.2366117786678537</v>
      </c>
      <c r="P18" s="620">
        <f>+M18-N18</f>
        <v>-35300</v>
      </c>
      <c r="Q18" s="932" t="s">
        <v>646</v>
      </c>
      <c r="R18" s="620">
        <v>4946</v>
      </c>
      <c r="S18" s="620">
        <v>11531</v>
      </c>
      <c r="T18" s="933">
        <f>IF(S18&lt;0,-((R18/S18)-1),(R18/S18)-1)</f>
        <v>-0.57106929147515395</v>
      </c>
      <c r="U18" s="620">
        <v>110392</v>
      </c>
      <c r="V18" s="620">
        <v>15469</v>
      </c>
      <c r="W18" s="933">
        <f>IF(V18&lt;0,-((U18/V18)-1),(U18/V18)-1)</f>
        <v>6.1363371905100523</v>
      </c>
      <c r="X18" s="624">
        <f>-3533+128</f>
        <v>-3405</v>
      </c>
      <c r="Y18" s="663" t="s">
        <v>308</v>
      </c>
      <c r="Z18" s="1166">
        <f>15557-34-1</f>
        <v>15522</v>
      </c>
      <c r="AA18" s="1003">
        <f>+C18+F18+J18+M18+R18+U18+X18</f>
        <v>593548</v>
      </c>
      <c r="AB18" s="664">
        <f>+D18+G18+K18+N18+V18+S18++Z18</f>
        <v>346523</v>
      </c>
      <c r="AC18" s="1153">
        <f>IF(AB18&lt;0,-((AA18/AB18)-1),(AA18/AB18)-1)</f>
        <v>0.71286754414569886</v>
      </c>
      <c r="AD18" s="656"/>
      <c r="AF18" s="657"/>
      <c r="AG18" s="657"/>
      <c r="AH18" s="658"/>
      <c r="AI18" s="658"/>
      <c r="AJ18" s="657"/>
    </row>
    <row r="19" spans="2:36" ht="13">
      <c r="B19" s="666" t="s">
        <v>309</v>
      </c>
      <c r="C19" s="934">
        <f>+C18/C13</f>
        <v>0.12463796974165586</v>
      </c>
      <c r="D19" s="934">
        <f>+D18/D13</f>
        <v>0.14451511371269551</v>
      </c>
      <c r="E19" s="667"/>
      <c r="F19" s="934">
        <f>+F18/F13</f>
        <v>0.24519219817276264</v>
      </c>
      <c r="G19" s="934">
        <f>+G18/G13</f>
        <v>0.14478018877883464</v>
      </c>
      <c r="H19" s="667"/>
      <c r="I19" s="935"/>
      <c r="J19" s="934">
        <f>+J18/J13</f>
        <v>4.2877823917101605E-2</v>
      </c>
      <c r="K19" s="934">
        <f>+K18/K13</f>
        <v>1.9489415235120597</v>
      </c>
      <c r="L19" s="667"/>
      <c r="M19" s="934">
        <f>+M18/M13</f>
        <v>-1.633716606601453</v>
      </c>
      <c r="N19" s="934">
        <f>+N18/N13</f>
        <v>0.65830078125000002</v>
      </c>
      <c r="O19" s="667"/>
      <c r="P19" s="934"/>
      <c r="Q19" s="667"/>
      <c r="R19" s="934">
        <f>+R18/R13</f>
        <v>0.16304598648425911</v>
      </c>
      <c r="S19" s="934">
        <f>+S18/S13</f>
        <v>0.41019529721461351</v>
      </c>
      <c r="T19" s="667"/>
      <c r="U19" s="934">
        <f>+U18/U13</f>
        <v>0.83420487863857573</v>
      </c>
      <c r="V19" s="934">
        <f>+V18/V13</f>
        <v>0.45479669538117778</v>
      </c>
      <c r="W19" s="667"/>
      <c r="X19" s="934"/>
      <c r="Y19" s="459"/>
      <c r="Z19" s="934"/>
      <c r="AA19" s="1154">
        <f>+AA18/AA13</f>
        <v>0.20445112842040433</v>
      </c>
      <c r="AB19" s="1155">
        <f>+AB18/AB13</f>
        <v>0.12749162437463346</v>
      </c>
      <c r="AC19" s="669"/>
      <c r="AD19" s="656"/>
    </row>
    <row r="20" spans="2:36" ht="12.5">
      <c r="B20" s="659"/>
      <c r="C20" s="670"/>
      <c r="D20" s="670"/>
      <c r="E20" s="660"/>
      <c r="F20" s="670"/>
      <c r="G20" s="670"/>
      <c r="H20" s="660"/>
      <c r="I20" s="659"/>
      <c r="J20" s="670">
        <v>0</v>
      </c>
      <c r="K20" s="670">
        <v>0</v>
      </c>
      <c r="L20" s="660"/>
      <c r="M20" s="670"/>
      <c r="N20" s="670"/>
      <c r="O20" s="660"/>
      <c r="P20" s="670"/>
      <c r="Q20" s="660"/>
      <c r="R20" s="670"/>
      <c r="S20" s="670"/>
      <c r="T20" s="660"/>
      <c r="U20" s="670"/>
      <c r="V20" s="670"/>
      <c r="W20" s="660"/>
      <c r="X20" s="670"/>
      <c r="Y20" s="659"/>
      <c r="Z20" s="670"/>
      <c r="AA20" s="1004"/>
      <c r="AB20" s="672"/>
      <c r="AC20" s="662"/>
      <c r="AD20" s="656"/>
    </row>
    <row r="21" spans="2:36">
      <c r="B21" s="673" t="s">
        <v>145</v>
      </c>
      <c r="C21" s="652">
        <v>261705</v>
      </c>
      <c r="D21" s="652">
        <v>291313</v>
      </c>
      <c r="E21" s="931">
        <f>IF(D21&lt;0,-((C21/D21)-1),(C21/D21)-1)</f>
        <v>-0.10163638423276677</v>
      </c>
      <c r="F21" s="652">
        <v>458242</v>
      </c>
      <c r="G21" s="652">
        <v>295716</v>
      </c>
      <c r="H21" s="931">
        <f>IF(G21&lt;0,-((F21/G21)-1),(F21/G21)-1)</f>
        <v>0.54960164482138274</v>
      </c>
      <c r="I21" s="673"/>
      <c r="J21" s="652">
        <v>2448</v>
      </c>
      <c r="K21" s="652">
        <v>-89640</v>
      </c>
      <c r="L21" s="931">
        <f>IF(K21&lt;0,-((J21/K21)-1),(J21/K21)-1)</f>
        <v>1.0273092369477912</v>
      </c>
      <c r="M21" s="652">
        <v>-27176</v>
      </c>
      <c r="N21" s="652">
        <v>7486</v>
      </c>
      <c r="O21" s="931">
        <f>IF(N21&lt;0,-((M21/N21)-1),(M21/N21)-1)</f>
        <v>-4.6302431204915848</v>
      </c>
      <c r="P21" s="652">
        <f>+M21-N21</f>
        <v>-34662</v>
      </c>
      <c r="Q21" s="936"/>
      <c r="R21" s="652">
        <v>6076</v>
      </c>
      <c r="S21" s="652">
        <v>12742</v>
      </c>
      <c r="T21" s="931">
        <f>IF(S21&lt;0,-((R21/S21)-1),(R21/S21)-1)</f>
        <v>-0.52315178150996711</v>
      </c>
      <c r="U21" s="652">
        <v>110888</v>
      </c>
      <c r="V21" s="652">
        <v>16358</v>
      </c>
      <c r="W21" s="931">
        <f>IF(V21&lt;0,-((U21/V21)-1),(U21/V21)-1)</f>
        <v>5.7788238170925537</v>
      </c>
      <c r="X21" s="640">
        <f>-3405-1</f>
        <v>-3406</v>
      </c>
      <c r="Y21" s="636" t="s">
        <v>308</v>
      </c>
      <c r="Z21" s="1165">
        <v>15523</v>
      </c>
      <c r="AA21" s="1001">
        <f>+C21+F21+J21+M21+R21+U21+X21</f>
        <v>808777</v>
      </c>
      <c r="AB21" s="654">
        <f>+D21+G21+K21+N21+V21+S21++Z21</f>
        <v>549498</v>
      </c>
      <c r="AC21" s="1151">
        <f>IF(AB21&lt;0,-((AA21/AB21)-1),(AA21/AB21)-1)</f>
        <v>0.47184703129037775</v>
      </c>
      <c r="AD21" s="656"/>
      <c r="AE21" s="656"/>
      <c r="AF21" s="657"/>
      <c r="AG21" s="657"/>
      <c r="AH21" s="658"/>
      <c r="AI21" s="658"/>
      <c r="AJ21" s="657"/>
    </row>
    <row r="22" spans="2:36" ht="13">
      <c r="B22" s="674" t="s">
        <v>146</v>
      </c>
      <c r="C22" s="937">
        <f>+C21/C13</f>
        <v>0.21357030996889947</v>
      </c>
      <c r="D22" s="937">
        <f>+D21/D13</f>
        <v>0.22363535169369542</v>
      </c>
      <c r="E22" s="675"/>
      <c r="F22" s="937">
        <f>+F21/F13</f>
        <v>0.31632674897403418</v>
      </c>
      <c r="G22" s="937">
        <f>+G21/G13</f>
        <v>0.21529086719594631</v>
      </c>
      <c r="H22" s="675"/>
      <c r="I22" s="676"/>
      <c r="J22" s="937">
        <f>+J21/J13</f>
        <v>4.6630347822774199E-2</v>
      </c>
      <c r="K22" s="937">
        <f>+K21/K13</f>
        <v>1.9442998438313379</v>
      </c>
      <c r="L22" s="675"/>
      <c r="M22" s="937">
        <f>+M21/M13</f>
        <v>-1.5546021394657057</v>
      </c>
      <c r="N22" s="937">
        <f>+N21/N13</f>
        <v>0.73105468750000002</v>
      </c>
      <c r="O22" s="675"/>
      <c r="P22" s="937"/>
      <c r="Q22" s="675"/>
      <c r="R22" s="937">
        <f>+R21/R13</f>
        <v>0.20029668699522005</v>
      </c>
      <c r="S22" s="937">
        <f>+S21/S13</f>
        <v>0.45327451887161607</v>
      </c>
      <c r="T22" s="675"/>
      <c r="U22" s="937">
        <f>+U21/U13</f>
        <v>0.83795302723453136</v>
      </c>
      <c r="V22" s="937">
        <f>+V21/V13</f>
        <v>0.48093376062093907</v>
      </c>
      <c r="W22" s="675"/>
      <c r="X22" s="934"/>
      <c r="Y22" s="459"/>
      <c r="Z22" s="934"/>
      <c r="AA22" s="1156">
        <f>+AA21/AA13</f>
        <v>0.27858803380766062</v>
      </c>
      <c r="AB22" s="1157">
        <f>+AB21/AB13</f>
        <v>0.20216953163458801</v>
      </c>
      <c r="AC22" s="678"/>
      <c r="AD22" s="656"/>
    </row>
    <row r="23" spans="2:36" ht="12.5">
      <c r="B23" s="659"/>
      <c r="C23" s="670"/>
      <c r="D23" s="670"/>
      <c r="E23" s="660"/>
      <c r="F23" s="670"/>
      <c r="G23" s="670"/>
      <c r="H23" s="660"/>
      <c r="I23" s="659"/>
      <c r="J23" s="670"/>
      <c r="K23" s="670"/>
      <c r="L23" s="660"/>
      <c r="M23" s="670"/>
      <c r="N23" s="670"/>
      <c r="O23" s="660"/>
      <c r="P23" s="670"/>
      <c r="Q23" s="660"/>
      <c r="R23" s="670"/>
      <c r="S23" s="670"/>
      <c r="T23" s="660"/>
      <c r="U23" s="670"/>
      <c r="V23" s="670"/>
      <c r="W23" s="660"/>
      <c r="X23" s="670"/>
      <c r="Y23" s="659"/>
      <c r="Z23" s="670"/>
      <c r="AA23" s="1004"/>
      <c r="AB23" s="672"/>
      <c r="AC23" s="662"/>
      <c r="AD23" s="656"/>
    </row>
    <row r="24" spans="2:36">
      <c r="B24" s="673" t="s">
        <v>152</v>
      </c>
      <c r="C24" s="835">
        <v>2104312</v>
      </c>
      <c r="D24" s="835">
        <v>5296030</v>
      </c>
      <c r="E24" s="931">
        <f>IF(D24&lt;0,-((C24/D24)-1),(C24/D24)-1)</f>
        <v>-0.60266237162553837</v>
      </c>
      <c r="F24" s="835">
        <v>108935</v>
      </c>
      <c r="G24" s="652">
        <v>29456</v>
      </c>
      <c r="H24" s="931">
        <f>IF(G24&lt;0,-((F24/G24)-1),(F24/G24)-1)</f>
        <v>2.6982278652906029</v>
      </c>
      <c r="I24" s="673"/>
      <c r="J24" s="835">
        <v>-10038</v>
      </c>
      <c r="K24" s="1167">
        <v>-195696</v>
      </c>
      <c r="L24" s="931">
        <f>IF(K24&lt;0,-((J24/K24)-1),(J24/K24)-1)</f>
        <v>0.94870615648761347</v>
      </c>
      <c r="M24" s="835">
        <v>-73935</v>
      </c>
      <c r="N24" s="1167">
        <v>1361350</v>
      </c>
      <c r="O24" s="931">
        <f>IF(N24&lt;0,-((M24/N24)-1),(M24/N24)-1)</f>
        <v>-1.0543100598670438</v>
      </c>
      <c r="P24" s="652">
        <f>+M24-N24</f>
        <v>-1435285</v>
      </c>
      <c r="Q24" s="932" t="s">
        <v>647</v>
      </c>
      <c r="R24" s="835">
        <v>3605</v>
      </c>
      <c r="S24" s="652">
        <v>7904</v>
      </c>
      <c r="T24" s="931">
        <f>IF(S24&lt;0,-((R24/S24)-1),(R24/S24)-1)</f>
        <v>-0.54390182186234814</v>
      </c>
      <c r="U24" s="835">
        <v>100641</v>
      </c>
      <c r="V24" s="652">
        <v>10365</v>
      </c>
      <c r="W24" s="931">
        <f>IF(V24&lt;0,-((U24/V24)-1),(U24/V24)-1)</f>
        <v>8.7096960926193923</v>
      </c>
      <c r="X24" s="653">
        <f>128-1</f>
        <v>127</v>
      </c>
      <c r="Y24" s="636"/>
      <c r="Z24" s="653">
        <v>-9</v>
      </c>
      <c r="AA24" s="1001">
        <f>+C24+F24+J24+M24+R24+U24+X24</f>
        <v>2233647</v>
      </c>
      <c r="AB24" s="654">
        <f>+D24+G24+K24+N24+V24+S24++Z24</f>
        <v>6509400</v>
      </c>
      <c r="AC24" s="1151">
        <f>IF(AB24&lt;0,-((AA24/AB24)-1),(AA24/AB24)-1)</f>
        <v>-0.65685823578209979</v>
      </c>
      <c r="AD24" s="656"/>
      <c r="AE24" s="656"/>
      <c r="AF24" s="657"/>
      <c r="AG24" s="657"/>
      <c r="AH24" s="658"/>
      <c r="AI24" s="658"/>
      <c r="AJ24" s="657"/>
    </row>
    <row r="25" spans="2:36" ht="13">
      <c r="B25" s="674" t="s">
        <v>153</v>
      </c>
      <c r="C25" s="937">
        <f>+C24/C13</f>
        <v>1.7172716077693386</v>
      </c>
      <c r="D25" s="937">
        <f>+D24/D13</f>
        <v>4.0656597255541698</v>
      </c>
      <c r="E25" s="675"/>
      <c r="F25" s="937">
        <f>+F24/F13</f>
        <v>7.5198376402613495E-2</v>
      </c>
      <c r="G25" s="937">
        <f>+G24/G13</f>
        <v>2.1444926159300798E-2</v>
      </c>
      <c r="H25" s="675"/>
      <c r="I25" s="676"/>
      <c r="J25" s="937">
        <f>+J24/J13</f>
        <v>-0.19120728408701285</v>
      </c>
      <c r="K25" s="937">
        <f>+K24/K13</f>
        <v>4.2446642373763668</v>
      </c>
      <c r="L25" s="675"/>
      <c r="M25" s="937">
        <f>+M24/M13</f>
        <v>-4.229449116183285</v>
      </c>
      <c r="N25" s="937">
        <f>+N24/N13</f>
        <v>132.9443359375</v>
      </c>
      <c r="O25" s="675"/>
      <c r="P25" s="937"/>
      <c r="Q25" s="675"/>
      <c r="R25" s="937">
        <f>+R24/R13</f>
        <v>0.11883962419647272</v>
      </c>
      <c r="S25" s="937">
        <f>+S24/S13</f>
        <v>0.28117107182241829</v>
      </c>
      <c r="T25" s="675"/>
      <c r="U25" s="937">
        <f>+U24/U13</f>
        <v>0.76051899767252062</v>
      </c>
      <c r="V25" s="937">
        <f>+V24/V13</f>
        <v>0.30473642430835268</v>
      </c>
      <c r="W25" s="675"/>
      <c r="X25" s="934"/>
      <c r="Y25" s="459"/>
      <c r="Z25" s="934"/>
      <c r="AA25" s="1156">
        <f>+AA24/AA13</f>
        <v>0.76939295498064331</v>
      </c>
      <c r="AB25" s="1157">
        <f>+AB24/AB13</f>
        <v>2.3949174505133541</v>
      </c>
      <c r="AC25" s="678"/>
    </row>
    <row r="26" spans="2:36" ht="12.5">
      <c r="B26" s="659"/>
      <c r="C26" s="670"/>
      <c r="D26" s="670"/>
      <c r="E26" s="660"/>
      <c r="F26" s="670"/>
      <c r="G26" s="670"/>
      <c r="H26" s="660"/>
      <c r="I26" s="659"/>
      <c r="J26" s="670"/>
      <c r="K26" s="670"/>
      <c r="L26" s="660"/>
      <c r="M26" s="670"/>
      <c r="N26" s="670"/>
      <c r="O26" s="660"/>
      <c r="P26" s="670"/>
      <c r="Q26" s="660"/>
      <c r="R26" s="670"/>
      <c r="S26" s="670"/>
      <c r="T26" s="660"/>
      <c r="U26" s="670"/>
      <c r="V26" s="670"/>
      <c r="W26" s="660"/>
      <c r="X26" s="670"/>
      <c r="Y26" s="659"/>
      <c r="Z26" s="670"/>
      <c r="AA26" s="1004"/>
      <c r="AB26" s="672"/>
      <c r="AC26" s="662"/>
    </row>
    <row r="27" spans="2:36">
      <c r="B27" s="673" t="s">
        <v>155</v>
      </c>
      <c r="C27" s="835">
        <v>1132659</v>
      </c>
      <c r="D27" s="835">
        <v>2727541</v>
      </c>
      <c r="E27" s="931">
        <f>IF(D27&lt;0,-((C27/D27)-1),(C27/D27)-1)</f>
        <v>-0.58473254847498168</v>
      </c>
      <c r="F27" s="835">
        <v>31947</v>
      </c>
      <c r="G27" s="652">
        <v>11415</v>
      </c>
      <c r="H27" s="931">
        <f>IF(G27&lt;0,-((F27/G27)-1),(F27/G27)-1)</f>
        <v>1.7986859395532195</v>
      </c>
      <c r="I27" s="620">
        <v>0</v>
      </c>
      <c r="J27" s="835">
        <v>-10038</v>
      </c>
      <c r="K27" s="1167">
        <v>-195696</v>
      </c>
      <c r="L27" s="938">
        <f>IF(K27&lt;0,-((J27/K27)-1),(J27/K27)-1)</f>
        <v>0.94870615648761347</v>
      </c>
      <c r="M27" s="835">
        <v>-73023</v>
      </c>
      <c r="N27" s="1167">
        <v>1229274</v>
      </c>
      <c r="O27" s="931">
        <f>IF(N27&lt;0,-((M27/N27)-1),(M27/N27)-1)</f>
        <v>-1.0594033551510891</v>
      </c>
      <c r="P27" s="652">
        <f>+M27-N27</f>
        <v>-1302297</v>
      </c>
      <c r="Q27" s="939"/>
      <c r="R27" s="835">
        <v>3576</v>
      </c>
      <c r="S27" s="652">
        <v>7851</v>
      </c>
      <c r="T27" s="931">
        <f>IF(S27&lt;0,-((R27/S27)-1),(R27/S27)-1)</f>
        <v>-0.54451662208635843</v>
      </c>
      <c r="U27" s="835">
        <v>100551</v>
      </c>
      <c r="V27" s="652">
        <v>10350</v>
      </c>
      <c r="W27" s="931">
        <f>IF(V27&lt;0,-((U27/V27)-1),(U27/V27)-1)</f>
        <v>8.7150724637681165</v>
      </c>
      <c r="X27" s="653">
        <f>128-2</f>
        <v>126</v>
      </c>
      <c r="Y27" s="636"/>
      <c r="Z27" s="653">
        <v>-9</v>
      </c>
      <c r="AA27" s="1001">
        <f>+C27+F27+J27+M27+R27+U27+X27</f>
        <v>1185798</v>
      </c>
      <c r="AB27" s="654">
        <f>+D27+G27+K27+N27+V27+S27++Z27</f>
        <v>3790726</v>
      </c>
      <c r="AC27" s="1151">
        <f>IF(AB27&lt;0,-((AA27/AB27)-1),(AA27/AB27)-1)</f>
        <v>-0.6871844601799233</v>
      </c>
      <c r="AE27" s="656"/>
      <c r="AF27" s="657"/>
      <c r="AG27" s="657"/>
      <c r="AH27" s="658"/>
      <c r="AI27" s="658"/>
      <c r="AJ27" s="657"/>
    </row>
    <row r="28" spans="2:36" ht="13">
      <c r="B28" s="679" t="s">
        <v>156</v>
      </c>
      <c r="C28" s="940">
        <f>+C27/C13</f>
        <v>0.92433210568794522</v>
      </c>
      <c r="D28" s="940">
        <f>+D27/D13</f>
        <v>2.0938804337395642</v>
      </c>
      <c r="E28" s="681"/>
      <c r="F28" s="940">
        <f>+F27/F13</f>
        <v>2.2053174195018069E-2</v>
      </c>
      <c r="G28" s="940">
        <f>+G27/G13</f>
        <v>8.3104913127518536E-3</v>
      </c>
      <c r="H28" s="681"/>
      <c r="I28" s="682"/>
      <c r="J28" s="940">
        <f>+J27/J13</f>
        <v>-0.19120728408701285</v>
      </c>
      <c r="K28" s="940">
        <f>+K27/K13</f>
        <v>4.2446642373763668</v>
      </c>
      <c r="L28" s="681"/>
      <c r="M28" s="940">
        <f>+M27/M13</f>
        <v>-4.1772781877466967</v>
      </c>
      <c r="N28" s="940">
        <f>+N27/N13</f>
        <v>120.04628906249999</v>
      </c>
      <c r="O28" s="681"/>
      <c r="P28" s="940"/>
      <c r="Q28" s="681"/>
      <c r="R28" s="940">
        <f>+R27/R13</f>
        <v>0.11788363276743036</v>
      </c>
      <c r="S28" s="940">
        <f>+S27/S13</f>
        <v>0.27928568887624061</v>
      </c>
      <c r="T28" s="681"/>
      <c r="U28" s="940">
        <f>+U27/U13</f>
        <v>0.75983889006438354</v>
      </c>
      <c r="V28" s="940">
        <f>+V27/V13</f>
        <v>0.30429541645841296</v>
      </c>
      <c r="W28" s="681"/>
      <c r="X28" s="940"/>
      <c r="Y28" s="682"/>
      <c r="Z28" s="940"/>
      <c r="AA28" s="1158">
        <f>+AA27/AA13</f>
        <v>0.40845515304349206</v>
      </c>
      <c r="AB28" s="1159">
        <f>+AB27/AB13</f>
        <v>1.3946716821081337</v>
      </c>
      <c r="AC28" s="684"/>
    </row>
    <row r="29" spans="2:36">
      <c r="E29" s="624"/>
      <c r="G29" s="624"/>
      <c r="H29" s="624"/>
      <c r="I29" s="624"/>
      <c r="AA29" s="685"/>
      <c r="AB29" s="686"/>
      <c r="AC29" s="685"/>
    </row>
    <row r="30" spans="2:36">
      <c r="C30" s="1160">
        <f>+C27/C24</f>
        <v>0.53825620915529637</v>
      </c>
      <c r="D30" s="1160">
        <f>+D27/D24</f>
        <v>0.51501615360940178</v>
      </c>
      <c r="E30" s="624"/>
      <c r="F30" s="1160">
        <f>+F27/F24</f>
        <v>0.29326662688759353</v>
      </c>
      <c r="G30" s="1160">
        <f>+G27/G24</f>
        <v>0.38752715915263442</v>
      </c>
      <c r="H30" s="624"/>
      <c r="I30" s="624"/>
      <c r="J30" s="1160">
        <f>+J27/J24</f>
        <v>1</v>
      </c>
      <c r="K30" s="1160">
        <f>+K27/K24</f>
        <v>1</v>
      </c>
      <c r="M30" s="1160">
        <f>+M27/M24</f>
        <v>0.98766484073848648</v>
      </c>
      <c r="N30" s="1161">
        <f>+N27/N24</f>
        <v>0.90298159914790466</v>
      </c>
      <c r="R30" s="1160">
        <f>+R27/R24</f>
        <v>0.99195561719833569</v>
      </c>
      <c r="S30" s="1160">
        <f>+S27/S24</f>
        <v>0.99329453441295545</v>
      </c>
      <c r="U30" s="1160">
        <f>+U27/U24</f>
        <v>0.99910573225623756</v>
      </c>
      <c r="V30" s="1160">
        <f>+V27/V24</f>
        <v>0.9985528219971056</v>
      </c>
      <c r="Z30" s="689"/>
      <c r="AA30" s="1160">
        <f>+AA27/AA24</f>
        <v>0.53087976748340271</v>
      </c>
      <c r="AB30" s="1160">
        <f>+AB27/AB24</f>
        <v>0.58234645282207265</v>
      </c>
    </row>
    <row r="31" spans="2:36">
      <c r="C31" s="627"/>
      <c r="E31" s="624"/>
      <c r="F31" s="624"/>
      <c r="G31" s="624"/>
      <c r="H31" s="624"/>
      <c r="I31" s="624"/>
      <c r="Q31" s="689"/>
      <c r="X31" s="689"/>
      <c r="Z31" s="689"/>
      <c r="AA31" s="690"/>
      <c r="AB31" s="690"/>
    </row>
    <row r="32" spans="2:36">
      <c r="E32" s="624"/>
      <c r="F32" s="624"/>
      <c r="G32" s="624"/>
      <c r="H32" s="624"/>
      <c r="I32" s="624"/>
      <c r="P32" s="689"/>
      <c r="AA32" s="690"/>
      <c r="AB32" s="615"/>
    </row>
    <row r="33" spans="1:28">
      <c r="A33" s="691" t="s">
        <v>310</v>
      </c>
      <c r="B33" s="692" t="s">
        <v>311</v>
      </c>
      <c r="C33" s="693"/>
      <c r="D33" s="693"/>
      <c r="E33" s="693"/>
      <c r="F33" s="693"/>
      <c r="G33" s="693"/>
      <c r="N33" s="673"/>
      <c r="O33" s="673"/>
      <c r="P33" s="673"/>
      <c r="Q33" s="673"/>
      <c r="AA33" s="690"/>
      <c r="AB33" s="615"/>
    </row>
    <row r="34" spans="1:28">
      <c r="A34" s="691" t="s">
        <v>312</v>
      </c>
      <c r="B34" s="692" t="s">
        <v>651</v>
      </c>
      <c r="C34" s="693"/>
      <c r="D34" s="693"/>
      <c r="E34" s="693"/>
      <c r="F34" s="693"/>
      <c r="G34" s="693"/>
      <c r="N34" s="1162"/>
      <c r="Q34" s="694"/>
      <c r="AA34" s="690"/>
      <c r="AB34" s="615"/>
    </row>
    <row r="35" spans="1:28">
      <c r="A35" s="691" t="s">
        <v>308</v>
      </c>
      <c r="B35" s="692" t="s">
        <v>313</v>
      </c>
      <c r="C35" s="693"/>
      <c r="D35" s="693"/>
      <c r="E35" s="693"/>
      <c r="F35" s="693"/>
      <c r="G35" s="693"/>
      <c r="N35" s="1162"/>
      <c r="Q35" s="694"/>
      <c r="AA35" s="690"/>
      <c r="AB35" s="615"/>
    </row>
    <row r="36" spans="1:28">
      <c r="A36" s="691"/>
      <c r="B36" s="692" t="s">
        <v>314</v>
      </c>
      <c r="C36" s="693"/>
      <c r="D36" s="693"/>
      <c r="E36" s="624"/>
      <c r="F36" s="624"/>
      <c r="G36" s="624"/>
      <c r="H36" s="624"/>
      <c r="I36" s="624"/>
      <c r="M36" s="673"/>
      <c r="N36" s="1163"/>
      <c r="Q36" s="696"/>
      <c r="AA36" s="690"/>
      <c r="AB36" s="615"/>
    </row>
    <row r="37" spans="1:28">
      <c r="A37" s="691"/>
      <c r="B37" s="692"/>
      <c r="C37" s="693"/>
      <c r="D37" s="693"/>
      <c r="E37" s="624"/>
      <c r="F37" s="624"/>
      <c r="G37" s="624"/>
      <c r="H37" s="624"/>
      <c r="I37" s="624"/>
      <c r="M37" s="673"/>
      <c r="N37" s="658"/>
      <c r="AA37" s="690"/>
      <c r="AB37" s="615"/>
    </row>
    <row r="38" spans="1:28">
      <c r="E38" s="624"/>
      <c r="F38" s="624"/>
      <c r="G38" s="624"/>
      <c r="H38" s="624"/>
      <c r="I38" s="624"/>
      <c r="M38" s="673"/>
      <c r="AA38" s="690"/>
      <c r="AB38" s="615"/>
    </row>
    <row r="39" spans="1:28">
      <c r="A39" s="697"/>
      <c r="B39" s="692"/>
      <c r="E39" s="624"/>
      <c r="F39" s="624"/>
      <c r="G39" s="624"/>
      <c r="H39" s="624"/>
      <c r="I39" s="624"/>
      <c r="M39" s="673"/>
      <c r="AA39" s="690"/>
      <c r="AB39" s="615"/>
    </row>
    <row r="40" spans="1:28">
      <c r="E40" s="624"/>
      <c r="F40" s="624"/>
      <c r="G40" s="624"/>
      <c r="H40" s="624"/>
      <c r="I40" s="624"/>
      <c r="M40" s="673"/>
      <c r="N40" s="658"/>
      <c r="AA40" s="690"/>
      <c r="AB40" s="615"/>
    </row>
    <row r="41" spans="1:28" hidden="1">
      <c r="A41" s="697" t="s">
        <v>310</v>
      </c>
      <c r="B41" s="692" t="s">
        <v>315</v>
      </c>
      <c r="C41" s="1149"/>
      <c r="F41" s="1149"/>
      <c r="J41" s="1149"/>
      <c r="M41" s="940">
        <v>-2.5543487267779836</v>
      </c>
      <c r="AA41" s="1164"/>
      <c r="AB41" s="615"/>
    </row>
    <row r="42" spans="1:28" hidden="1">
      <c r="A42" s="697" t="s">
        <v>312</v>
      </c>
      <c r="B42" s="692" t="s">
        <v>316</v>
      </c>
      <c r="C42" s="1149"/>
      <c r="F42" s="1149"/>
      <c r="J42" s="1149"/>
      <c r="M42" s="1149"/>
      <c r="AA42" s="1164"/>
      <c r="AB42" s="615"/>
    </row>
    <row r="43" spans="1:28" hidden="1">
      <c r="A43" s="697" t="s">
        <v>308</v>
      </c>
      <c r="B43" s="692" t="s">
        <v>317</v>
      </c>
      <c r="F43" s="624"/>
      <c r="AA43" s="699"/>
      <c r="AB43" s="615"/>
    </row>
    <row r="44" spans="1:28" ht="12.5" hidden="1">
      <c r="A44" s="697" t="s">
        <v>318</v>
      </c>
      <c r="B44" s="692" t="s">
        <v>319</v>
      </c>
      <c r="AA44" s="699"/>
      <c r="AB44" s="700"/>
    </row>
    <row r="45" spans="1:28" hidden="1">
      <c r="A45" s="697" t="s">
        <v>320</v>
      </c>
      <c r="B45" s="692" t="s">
        <v>321</v>
      </c>
      <c r="H45" s="663" t="s">
        <v>308</v>
      </c>
      <c r="I45" s="701"/>
      <c r="AA45" s="614"/>
      <c r="AB45" s="615"/>
    </row>
    <row r="46" spans="1:28" hidden="1">
      <c r="B46" s="692" t="s">
        <v>322</v>
      </c>
      <c r="H46" s="697"/>
      <c r="I46" s="701" t="s">
        <v>323</v>
      </c>
      <c r="AA46" s="614"/>
      <c r="AB46" s="615"/>
    </row>
    <row r="47" spans="1:28" hidden="1">
      <c r="H47" s="663" t="s">
        <v>318</v>
      </c>
      <c r="I47" s="701"/>
      <c r="AA47" s="699"/>
      <c r="AB47" s="615"/>
    </row>
    <row r="48" spans="1:28" hidden="1">
      <c r="E48" s="702"/>
      <c r="F48" s="702"/>
      <c r="G48" s="702"/>
      <c r="H48" s="702"/>
      <c r="I48" s="703"/>
      <c r="AA48" s="699"/>
      <c r="AB48" s="615"/>
    </row>
    <row r="49" spans="1:28" hidden="1">
      <c r="A49" s="697" t="s">
        <v>310</v>
      </c>
      <c r="B49" s="692" t="s">
        <v>324</v>
      </c>
      <c r="E49" s="702"/>
      <c r="F49" s="702"/>
      <c r="G49" s="702"/>
      <c r="H49" s="702"/>
      <c r="I49" s="703"/>
      <c r="AA49" s="699"/>
      <c r="AB49" s="615"/>
    </row>
    <row r="50" spans="1:28" hidden="1">
      <c r="A50" s="697" t="s">
        <v>312</v>
      </c>
      <c r="B50" s="692" t="s">
        <v>325</v>
      </c>
      <c r="AA50" s="699"/>
      <c r="AB50" s="615"/>
    </row>
    <row r="51" spans="1:28" hidden="1">
      <c r="A51" s="697" t="s">
        <v>308</v>
      </c>
      <c r="B51" s="692" t="s">
        <v>326</v>
      </c>
      <c r="E51" s="702"/>
      <c r="F51" s="702"/>
      <c r="G51" s="702"/>
      <c r="H51" s="702"/>
      <c r="I51" s="703"/>
      <c r="AA51" s="699"/>
      <c r="AB51" s="615"/>
    </row>
    <row r="52" spans="1:28" hidden="1">
      <c r="A52" s="697" t="s">
        <v>318</v>
      </c>
      <c r="B52" s="692" t="s">
        <v>327</v>
      </c>
      <c r="E52" s="624"/>
      <c r="F52" s="624"/>
      <c r="G52" s="624"/>
      <c r="H52" s="624"/>
      <c r="I52" s="624"/>
      <c r="AA52" s="690"/>
      <c r="AB52" s="615"/>
    </row>
    <row r="53" spans="1:28" hidden="1">
      <c r="A53" s="697" t="s">
        <v>320</v>
      </c>
      <c r="B53" s="692" t="s">
        <v>328</v>
      </c>
      <c r="E53" s="624"/>
      <c r="F53" s="624"/>
      <c r="G53" s="624"/>
      <c r="H53" s="624"/>
      <c r="I53" s="624"/>
      <c r="AA53" s="615"/>
      <c r="AB53" s="615"/>
    </row>
    <row r="54" spans="1:28" hidden="1">
      <c r="A54" s="697" t="s">
        <v>329</v>
      </c>
      <c r="B54" s="692" t="s">
        <v>330</v>
      </c>
      <c r="E54" s="624"/>
      <c r="F54" s="624"/>
      <c r="G54" s="624"/>
      <c r="H54" s="624"/>
      <c r="I54" s="624"/>
      <c r="AA54" s="615"/>
      <c r="AB54" s="615"/>
    </row>
    <row r="55" spans="1:28" hidden="1">
      <c r="B55" s="692" t="s">
        <v>331</v>
      </c>
      <c r="E55" s="624"/>
      <c r="F55" s="624"/>
      <c r="G55" s="624"/>
      <c r="H55" s="624"/>
      <c r="I55" s="624"/>
      <c r="AA55" s="615"/>
      <c r="AB55" s="615"/>
    </row>
    <row r="56" spans="1:28">
      <c r="E56" s="624"/>
      <c r="F56" s="624"/>
      <c r="G56" s="624"/>
      <c r="H56" s="624"/>
      <c r="I56" s="624"/>
      <c r="M56" s="673"/>
      <c r="AA56" s="615"/>
      <c r="AB56" s="615"/>
    </row>
    <row r="57" spans="1:28">
      <c r="D57" s="95"/>
      <c r="AA57" s="615"/>
      <c r="AB57" s="615"/>
    </row>
    <row r="58" spans="1:28">
      <c r="AA58" s="615"/>
      <c r="AB58" s="615"/>
    </row>
    <row r="59" spans="1:28">
      <c r="AA59" s="614"/>
      <c r="AB59" s="615"/>
    </row>
    <row r="60" spans="1:28">
      <c r="A60" s="697"/>
      <c r="B60" s="692"/>
      <c r="AA60" s="614"/>
      <c r="AB60" s="615"/>
    </row>
    <row r="61" spans="1:28">
      <c r="A61" s="697"/>
      <c r="B61" s="692"/>
      <c r="AA61" s="614"/>
      <c r="AB61" s="615"/>
    </row>
    <row r="62" spans="1:28">
      <c r="B62" s="692"/>
      <c r="E62" s="624"/>
      <c r="F62" s="624"/>
      <c r="G62" s="624"/>
      <c r="H62" s="624"/>
      <c r="I62" s="624"/>
      <c r="AA62" s="614"/>
      <c r="AB62" s="615"/>
    </row>
    <row r="63" spans="1:28">
      <c r="E63" s="624"/>
      <c r="F63" s="624"/>
      <c r="G63" s="624"/>
      <c r="H63" s="624"/>
      <c r="I63" s="624"/>
      <c r="AA63" s="614"/>
      <c r="AB63" s="615"/>
    </row>
    <row r="64" spans="1:28">
      <c r="A64" s="697"/>
      <c r="B64" s="701"/>
      <c r="E64" s="663"/>
      <c r="G64" s="702"/>
      <c r="H64" s="702"/>
      <c r="I64" s="703"/>
      <c r="AA64" s="614"/>
      <c r="AB64" s="615"/>
    </row>
    <row r="65" spans="1:28">
      <c r="A65" s="697"/>
      <c r="B65" s="701"/>
      <c r="E65" s="697"/>
      <c r="G65" s="702"/>
      <c r="H65" s="702"/>
      <c r="I65" s="703"/>
      <c r="AA65" s="614"/>
      <c r="AB65" s="615"/>
    </row>
    <row r="66" spans="1:28">
      <c r="A66" s="697"/>
      <c r="B66" s="701"/>
      <c r="E66" s="697"/>
      <c r="G66" s="702"/>
      <c r="H66" s="702"/>
      <c r="I66" s="703"/>
      <c r="AA66" s="614"/>
      <c r="AB66" s="615"/>
    </row>
    <row r="67" spans="1:28">
      <c r="E67" s="663"/>
      <c r="G67" s="702"/>
      <c r="H67" s="702"/>
      <c r="I67" s="703"/>
      <c r="AA67" s="614"/>
      <c r="AB67" s="615"/>
    </row>
    <row r="68" spans="1:28">
      <c r="A68" s="697"/>
      <c r="B68" s="701"/>
      <c r="E68" s="697"/>
      <c r="F68" s="704"/>
      <c r="G68" s="702"/>
      <c r="H68" s="702"/>
      <c r="I68" s="703"/>
      <c r="AA68" s="614"/>
      <c r="AB68" s="615"/>
    </row>
    <row r="69" spans="1:28">
      <c r="A69" s="697"/>
      <c r="B69" s="701"/>
      <c r="E69" s="697"/>
      <c r="F69" s="705"/>
      <c r="G69" s="702"/>
      <c r="H69" s="702"/>
      <c r="I69" s="703"/>
      <c r="AA69" s="614"/>
      <c r="AB69" s="615"/>
    </row>
    <row r="70" spans="1:28">
      <c r="E70" s="624"/>
      <c r="F70" s="624"/>
      <c r="G70" s="624"/>
      <c r="H70" s="624"/>
      <c r="I70" s="624"/>
      <c r="AA70" s="614"/>
      <c r="AB70" s="615"/>
    </row>
  </sheetData>
  <mergeCells count="5">
    <mergeCell ref="C9:D9"/>
    <mergeCell ref="F9:G9"/>
    <mergeCell ref="J9:K9"/>
    <mergeCell ref="M9:N9"/>
    <mergeCell ref="AA9:AB9"/>
  </mergeCells>
  <pageMargins left="0.75" right="0.75" top="1" bottom="1" header="0" footer="0"/>
  <pageSetup orientation="portrait" r:id="rId1"/>
  <headerFooter alignWithMargins="0"/>
  <customProperties>
    <customPr name="EpmWorksheetKeyString_GUID" r:id="rId2"/>
  </customProperties>
  <drawing r:id="rId3"/>
  <legacyDrawing r:id="rId4"/>
  <controls>
    <mc:AlternateContent xmlns:mc="http://schemas.openxmlformats.org/markup-compatibility/2006">
      <mc:Choice Requires="x14">
        <control shapeId="41985" r:id="rId5" name="FPMExcelClientSheetOptionstb1">
          <controlPr defaultSize="0" autoLine="0" autoPict="0" r:id="rId6">
            <anchor moveWithCells="1" sizeWithCells="1">
              <from>
                <xdr:col>0</xdr:col>
                <xdr:colOff>0</xdr:colOff>
                <xdr:row>0</xdr:row>
                <xdr:rowOff>0</xdr:rowOff>
              </from>
              <to>
                <xdr:col>1</xdr:col>
                <xdr:colOff>476250</xdr:colOff>
                <xdr:row>0</xdr:row>
                <xdr:rowOff>0</xdr:rowOff>
              </to>
            </anchor>
          </controlPr>
        </control>
      </mc:Choice>
      <mc:Fallback>
        <control shapeId="41985" r:id="rId5"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69BF-92E4-4F39-A107-306A76EA6650}">
  <sheetPr transitionEvaluation="1" codeName="Hoja4">
    <tabColor rgb="FFFFFF00"/>
  </sheetPr>
  <dimension ref="A1:AJ85"/>
  <sheetViews>
    <sheetView showGridLines="0" topLeftCell="A26" zoomScale="90" zoomScaleNormal="90" workbookViewId="0">
      <selection activeCell="B34" sqref="B34"/>
    </sheetView>
  </sheetViews>
  <sheetFormatPr baseColWidth="10" defaultRowHeight="14.5"/>
  <cols>
    <col min="1" max="1" width="5.7265625" style="614" customWidth="1"/>
    <col min="2" max="2" width="32.1796875" style="614" customWidth="1"/>
    <col min="3" max="3" width="11.453125" style="614" customWidth="1"/>
    <col min="4" max="4" width="13.54296875" style="614" bestFit="1" customWidth="1"/>
    <col min="5" max="5" width="8.6328125" style="614" bestFit="1" customWidth="1"/>
    <col min="6" max="6" width="10.81640625" style="614" bestFit="1" customWidth="1"/>
    <col min="7" max="7" width="12.81640625" style="614" bestFit="1" customWidth="1"/>
    <col min="8" max="8" width="6.7265625" style="614" customWidth="1"/>
    <col min="9" max="9" width="1" style="614" customWidth="1"/>
    <col min="10" max="10" width="9.26953125" style="614" customWidth="1"/>
    <col min="11" max="11" width="9.26953125" style="614" bestFit="1" customWidth="1"/>
    <col min="12" max="12" width="8.26953125" style="614" bestFit="1" customWidth="1"/>
    <col min="13" max="13" width="10.1796875" style="614" bestFit="1" customWidth="1"/>
    <col min="14" max="14" width="10.453125" style="614" bestFit="1" customWidth="1"/>
    <col min="15" max="15" width="8.6328125" style="614" bestFit="1" customWidth="1"/>
    <col min="16" max="16" width="11.08984375" style="614" customWidth="1"/>
    <col min="17" max="17" width="15.1796875" style="614" customWidth="1"/>
    <col min="18" max="18" width="11.26953125" style="614" bestFit="1" customWidth="1"/>
    <col min="19" max="19" width="9.26953125" style="614" bestFit="1" customWidth="1"/>
    <col min="20" max="20" width="6.7265625" style="614" bestFit="1" customWidth="1"/>
    <col min="21" max="22" width="10.81640625" style="614" bestFit="1" customWidth="1"/>
    <col min="23" max="23" width="7.6328125" style="614" bestFit="1" customWidth="1"/>
    <col min="24" max="24" width="17.1796875" style="614" customWidth="1"/>
    <col min="25" max="25" width="4.81640625" style="614" bestFit="1" customWidth="1"/>
    <col min="26" max="26" width="16" style="614" customWidth="1"/>
    <col min="27" max="27" width="13.7265625" style="706" bestFit="1" customWidth="1"/>
    <col min="28" max="28" width="13.1796875" style="624" bestFit="1" customWidth="1"/>
    <col min="29" max="29" width="7.6328125" style="614" bestFit="1" customWidth="1"/>
    <col min="30" max="30" width="10.90625" style="614"/>
    <col min="31" max="31" width="15.453125" style="614" bestFit="1" customWidth="1"/>
    <col min="32" max="251" width="10.90625" style="614"/>
    <col min="252" max="252" width="5.7265625" style="614" customWidth="1"/>
    <col min="253" max="253" width="35.1796875" style="614" customWidth="1"/>
    <col min="254" max="255" width="10.26953125" style="614" customWidth="1"/>
    <col min="256" max="256" width="7.453125" style="614" customWidth="1"/>
    <col min="257" max="258" width="10.26953125" style="614" customWidth="1"/>
    <col min="259" max="259" width="7" style="614" customWidth="1"/>
    <col min="260" max="260" width="1" style="614" customWidth="1"/>
    <col min="261" max="262" width="8.7265625" style="614" customWidth="1"/>
    <col min="263" max="263" width="7.453125" style="614" customWidth="1"/>
    <col min="264" max="265" width="8.7265625" style="614" customWidth="1"/>
    <col min="266" max="266" width="8.453125" style="614" bestFit="1" customWidth="1"/>
    <col min="267" max="267" width="10.26953125" style="614" customWidth="1"/>
    <col min="268" max="268" width="10" style="614" customWidth="1"/>
    <col min="269" max="269" width="5.26953125" style="614" bestFit="1" customWidth="1"/>
    <col min="270" max="271" width="8.7265625" style="614" customWidth="1"/>
    <col min="272" max="272" width="9.7265625" style="614" customWidth="1"/>
    <col min="273" max="274" width="10.26953125" style="614" customWidth="1"/>
    <col min="275" max="275" width="7.81640625" style="614" bestFit="1" customWidth="1"/>
    <col min="276" max="276" width="13.453125" style="614" customWidth="1"/>
    <col min="277" max="277" width="3.26953125" style="614" customWidth="1"/>
    <col min="278" max="278" width="17.1796875" style="614" customWidth="1"/>
    <col min="279" max="279" width="14.453125" style="614" bestFit="1" customWidth="1"/>
    <col min="280" max="280" width="10.26953125" style="614" customWidth="1"/>
    <col min="281" max="281" width="6" style="614" bestFit="1" customWidth="1"/>
    <col min="282" max="282" width="10.90625" style="614"/>
    <col min="283" max="284" width="14.453125" style="614" bestFit="1" customWidth="1"/>
    <col min="285" max="285" width="12.81640625" style="614" bestFit="1" customWidth="1"/>
    <col min="286" max="286" width="14.453125" style="614" bestFit="1" customWidth="1"/>
    <col min="287" max="507" width="10.90625" style="614"/>
    <col min="508" max="508" width="5.7265625" style="614" customWidth="1"/>
    <col min="509" max="509" width="35.1796875" style="614" customWidth="1"/>
    <col min="510" max="511" width="10.26953125" style="614" customWidth="1"/>
    <col min="512" max="512" width="7.453125" style="614" customWidth="1"/>
    <col min="513" max="514" width="10.26953125" style="614" customWidth="1"/>
    <col min="515" max="515" width="7" style="614" customWidth="1"/>
    <col min="516" max="516" width="1" style="614" customWidth="1"/>
    <col min="517" max="518" width="8.7265625" style="614" customWidth="1"/>
    <col min="519" max="519" width="7.453125" style="614" customWidth="1"/>
    <col min="520" max="521" width="8.7265625" style="614" customWidth="1"/>
    <col min="522" max="522" width="8.453125" style="614" bestFit="1" customWidth="1"/>
    <col min="523" max="523" width="10.26953125" style="614" customWidth="1"/>
    <col min="524" max="524" width="10" style="614" customWidth="1"/>
    <col min="525" max="525" width="5.26953125" style="614" bestFit="1" customWidth="1"/>
    <col min="526" max="527" width="8.7265625" style="614" customWidth="1"/>
    <col min="528" max="528" width="9.7265625" style="614" customWidth="1"/>
    <col min="529" max="530" width="10.26953125" style="614" customWidth="1"/>
    <col min="531" max="531" width="7.81640625" style="614" bestFit="1" customWidth="1"/>
    <col min="532" max="532" width="13.453125" style="614" customWidth="1"/>
    <col min="533" max="533" width="3.26953125" style="614" customWidth="1"/>
    <col min="534" max="534" width="17.1796875" style="614" customWidth="1"/>
    <col min="535" max="535" width="14.453125" style="614" bestFit="1" customWidth="1"/>
    <col min="536" max="536" width="10.26953125" style="614" customWidth="1"/>
    <col min="537" max="537" width="6" style="614" bestFit="1" customWidth="1"/>
    <col min="538" max="538" width="10.90625" style="614"/>
    <col min="539" max="540" width="14.453125" style="614" bestFit="1" customWidth="1"/>
    <col min="541" max="541" width="12.81640625" style="614" bestFit="1" customWidth="1"/>
    <col min="542" max="542" width="14.453125" style="614" bestFit="1" customWidth="1"/>
    <col min="543" max="763" width="10.90625" style="614"/>
    <col min="764" max="764" width="5.7265625" style="614" customWidth="1"/>
    <col min="765" max="765" width="35.1796875" style="614" customWidth="1"/>
    <col min="766" max="767" width="10.26953125" style="614" customWidth="1"/>
    <col min="768" max="768" width="7.453125" style="614" customWidth="1"/>
    <col min="769" max="770" width="10.26953125" style="614" customWidth="1"/>
    <col min="771" max="771" width="7" style="614" customWidth="1"/>
    <col min="772" max="772" width="1" style="614" customWidth="1"/>
    <col min="773" max="774" width="8.7265625" style="614" customWidth="1"/>
    <col min="775" max="775" width="7.453125" style="614" customWidth="1"/>
    <col min="776" max="777" width="8.7265625" style="614" customWidth="1"/>
    <col min="778" max="778" width="8.453125" style="614" bestFit="1" customWidth="1"/>
    <col min="779" max="779" width="10.26953125" style="614" customWidth="1"/>
    <col min="780" max="780" width="10" style="614" customWidth="1"/>
    <col min="781" max="781" width="5.26953125" style="614" bestFit="1" customWidth="1"/>
    <col min="782" max="783" width="8.7265625" style="614" customWidth="1"/>
    <col min="784" max="784" width="9.7265625" style="614" customWidth="1"/>
    <col min="785" max="786" width="10.26953125" style="614" customWidth="1"/>
    <col min="787" max="787" width="7.81640625" style="614" bestFit="1" customWidth="1"/>
    <col min="788" max="788" width="13.453125" style="614" customWidth="1"/>
    <col min="789" max="789" width="3.26953125" style="614" customWidth="1"/>
    <col min="790" max="790" width="17.1796875" style="614" customWidth="1"/>
    <col min="791" max="791" width="14.453125" style="614" bestFit="1" customWidth="1"/>
    <col min="792" max="792" width="10.26953125" style="614" customWidth="1"/>
    <col min="793" max="793" width="6" style="614" bestFit="1" customWidth="1"/>
    <col min="794" max="794" width="10.90625" style="614"/>
    <col min="795" max="796" width="14.453125" style="614" bestFit="1" customWidth="1"/>
    <col min="797" max="797" width="12.81640625" style="614" bestFit="1" customWidth="1"/>
    <col min="798" max="798" width="14.453125" style="614" bestFit="1" customWidth="1"/>
    <col min="799" max="1019" width="10.90625" style="614"/>
    <col min="1020" max="1020" width="5.7265625" style="614" customWidth="1"/>
    <col min="1021" max="1021" width="35.1796875" style="614" customWidth="1"/>
    <col min="1022" max="1023" width="10.26953125" style="614" customWidth="1"/>
    <col min="1024" max="1024" width="7.453125" style="614" customWidth="1"/>
    <col min="1025" max="1026" width="10.26953125" style="614" customWidth="1"/>
    <col min="1027" max="1027" width="7" style="614" customWidth="1"/>
    <col min="1028" max="1028" width="1" style="614" customWidth="1"/>
    <col min="1029" max="1030" width="8.7265625" style="614" customWidth="1"/>
    <col min="1031" max="1031" width="7.453125" style="614" customWidth="1"/>
    <col min="1032" max="1033" width="8.7265625" style="614" customWidth="1"/>
    <col min="1034" max="1034" width="8.453125" style="614" bestFit="1" customWidth="1"/>
    <col min="1035" max="1035" width="10.26953125" style="614" customWidth="1"/>
    <col min="1036" max="1036" width="10" style="614" customWidth="1"/>
    <col min="1037" max="1037" width="5.26953125" style="614" bestFit="1" customWidth="1"/>
    <col min="1038" max="1039" width="8.7265625" style="614" customWidth="1"/>
    <col min="1040" max="1040" width="9.7265625" style="614" customWidth="1"/>
    <col min="1041" max="1042" width="10.26953125" style="614" customWidth="1"/>
    <col min="1043" max="1043" width="7.81640625" style="614" bestFit="1" customWidth="1"/>
    <col min="1044" max="1044" width="13.453125" style="614" customWidth="1"/>
    <col min="1045" max="1045" width="3.26953125" style="614" customWidth="1"/>
    <col min="1046" max="1046" width="17.1796875" style="614" customWidth="1"/>
    <col min="1047" max="1047" width="14.453125" style="614" bestFit="1" customWidth="1"/>
    <col min="1048" max="1048" width="10.26953125" style="614" customWidth="1"/>
    <col min="1049" max="1049" width="6" style="614" bestFit="1" customWidth="1"/>
    <col min="1050" max="1050" width="10.90625" style="614"/>
    <col min="1051" max="1052" width="14.453125" style="614" bestFit="1" customWidth="1"/>
    <col min="1053" max="1053" width="12.81640625" style="614" bestFit="1" customWidth="1"/>
    <col min="1054" max="1054" width="14.453125" style="614" bestFit="1" customWidth="1"/>
    <col min="1055" max="1275" width="10.90625" style="614"/>
    <col min="1276" max="1276" width="5.7265625" style="614" customWidth="1"/>
    <col min="1277" max="1277" width="35.1796875" style="614" customWidth="1"/>
    <col min="1278" max="1279" width="10.26953125" style="614" customWidth="1"/>
    <col min="1280" max="1280" width="7.453125" style="614" customWidth="1"/>
    <col min="1281" max="1282" width="10.26953125" style="614" customWidth="1"/>
    <col min="1283" max="1283" width="7" style="614" customWidth="1"/>
    <col min="1284" max="1284" width="1" style="614" customWidth="1"/>
    <col min="1285" max="1286" width="8.7265625" style="614" customWidth="1"/>
    <col min="1287" max="1287" width="7.453125" style="614" customWidth="1"/>
    <col min="1288" max="1289" width="8.7265625" style="614" customWidth="1"/>
    <col min="1290" max="1290" width="8.453125" style="614" bestFit="1" customWidth="1"/>
    <col min="1291" max="1291" width="10.26953125" style="614" customWidth="1"/>
    <col min="1292" max="1292" width="10" style="614" customWidth="1"/>
    <col min="1293" max="1293" width="5.26953125" style="614" bestFit="1" customWidth="1"/>
    <col min="1294" max="1295" width="8.7265625" style="614" customWidth="1"/>
    <col min="1296" max="1296" width="9.7265625" style="614" customWidth="1"/>
    <col min="1297" max="1298" width="10.26953125" style="614" customWidth="1"/>
    <col min="1299" max="1299" width="7.81640625" style="614" bestFit="1" customWidth="1"/>
    <col min="1300" max="1300" width="13.453125" style="614" customWidth="1"/>
    <col min="1301" max="1301" width="3.26953125" style="614" customWidth="1"/>
    <col min="1302" max="1302" width="17.1796875" style="614" customWidth="1"/>
    <col min="1303" max="1303" width="14.453125" style="614" bestFit="1" customWidth="1"/>
    <col min="1304" max="1304" width="10.26953125" style="614" customWidth="1"/>
    <col min="1305" max="1305" width="6" style="614" bestFit="1" customWidth="1"/>
    <col min="1306" max="1306" width="10.90625" style="614"/>
    <col min="1307" max="1308" width="14.453125" style="614" bestFit="1" customWidth="1"/>
    <col min="1309" max="1309" width="12.81640625" style="614" bestFit="1" customWidth="1"/>
    <col min="1310" max="1310" width="14.453125" style="614" bestFit="1" customWidth="1"/>
    <col min="1311" max="1531" width="10.90625" style="614"/>
    <col min="1532" max="1532" width="5.7265625" style="614" customWidth="1"/>
    <col min="1533" max="1533" width="35.1796875" style="614" customWidth="1"/>
    <col min="1534" max="1535" width="10.26953125" style="614" customWidth="1"/>
    <col min="1536" max="1536" width="7.453125" style="614" customWidth="1"/>
    <col min="1537" max="1538" width="10.26953125" style="614" customWidth="1"/>
    <col min="1539" max="1539" width="7" style="614" customWidth="1"/>
    <col min="1540" max="1540" width="1" style="614" customWidth="1"/>
    <col min="1541" max="1542" width="8.7265625" style="614" customWidth="1"/>
    <col min="1543" max="1543" width="7.453125" style="614" customWidth="1"/>
    <col min="1544" max="1545" width="8.7265625" style="614" customWidth="1"/>
    <col min="1546" max="1546" width="8.453125" style="614" bestFit="1" customWidth="1"/>
    <col min="1547" max="1547" width="10.26953125" style="614" customWidth="1"/>
    <col min="1548" max="1548" width="10" style="614" customWidth="1"/>
    <col min="1549" max="1549" width="5.26953125" style="614" bestFit="1" customWidth="1"/>
    <col min="1550" max="1551" width="8.7265625" style="614" customWidth="1"/>
    <col min="1552" max="1552" width="9.7265625" style="614" customWidth="1"/>
    <col min="1553" max="1554" width="10.26953125" style="614" customWidth="1"/>
    <col min="1555" max="1555" width="7.81640625" style="614" bestFit="1" customWidth="1"/>
    <col min="1556" max="1556" width="13.453125" style="614" customWidth="1"/>
    <col min="1557" max="1557" width="3.26953125" style="614" customWidth="1"/>
    <col min="1558" max="1558" width="17.1796875" style="614" customWidth="1"/>
    <col min="1559" max="1559" width="14.453125" style="614" bestFit="1" customWidth="1"/>
    <col min="1560" max="1560" width="10.26953125" style="614" customWidth="1"/>
    <col min="1561" max="1561" width="6" style="614" bestFit="1" customWidth="1"/>
    <col min="1562" max="1562" width="10.90625" style="614"/>
    <col min="1563" max="1564" width="14.453125" style="614" bestFit="1" customWidth="1"/>
    <col min="1565" max="1565" width="12.81640625" style="614" bestFit="1" customWidth="1"/>
    <col min="1566" max="1566" width="14.453125" style="614" bestFit="1" customWidth="1"/>
    <col min="1567" max="1787" width="10.90625" style="614"/>
    <col min="1788" max="1788" width="5.7265625" style="614" customWidth="1"/>
    <col min="1789" max="1789" width="35.1796875" style="614" customWidth="1"/>
    <col min="1790" max="1791" width="10.26953125" style="614" customWidth="1"/>
    <col min="1792" max="1792" width="7.453125" style="614" customWidth="1"/>
    <col min="1793" max="1794" width="10.26953125" style="614" customWidth="1"/>
    <col min="1795" max="1795" width="7" style="614" customWidth="1"/>
    <col min="1796" max="1796" width="1" style="614" customWidth="1"/>
    <col min="1797" max="1798" width="8.7265625" style="614" customWidth="1"/>
    <col min="1799" max="1799" width="7.453125" style="614" customWidth="1"/>
    <col min="1800" max="1801" width="8.7265625" style="614" customWidth="1"/>
    <col min="1802" max="1802" width="8.453125" style="614" bestFit="1" customWidth="1"/>
    <col min="1803" max="1803" width="10.26953125" style="614" customWidth="1"/>
    <col min="1804" max="1804" width="10" style="614" customWidth="1"/>
    <col min="1805" max="1805" width="5.26953125" style="614" bestFit="1" customWidth="1"/>
    <col min="1806" max="1807" width="8.7265625" style="614" customWidth="1"/>
    <col min="1808" max="1808" width="9.7265625" style="614" customWidth="1"/>
    <col min="1809" max="1810" width="10.26953125" style="614" customWidth="1"/>
    <col min="1811" max="1811" width="7.81640625" style="614" bestFit="1" customWidth="1"/>
    <col min="1812" max="1812" width="13.453125" style="614" customWidth="1"/>
    <col min="1813" max="1813" width="3.26953125" style="614" customWidth="1"/>
    <col min="1814" max="1814" width="17.1796875" style="614" customWidth="1"/>
    <col min="1815" max="1815" width="14.453125" style="614" bestFit="1" customWidth="1"/>
    <col min="1816" max="1816" width="10.26953125" style="614" customWidth="1"/>
    <col min="1817" max="1817" width="6" style="614" bestFit="1" customWidth="1"/>
    <col min="1818" max="1818" width="10.90625" style="614"/>
    <col min="1819" max="1820" width="14.453125" style="614" bestFit="1" customWidth="1"/>
    <col min="1821" max="1821" width="12.81640625" style="614" bestFit="1" customWidth="1"/>
    <col min="1822" max="1822" width="14.453125" style="614" bestFit="1" customWidth="1"/>
    <col min="1823" max="2043" width="10.90625" style="614"/>
    <col min="2044" max="2044" width="5.7265625" style="614" customWidth="1"/>
    <col min="2045" max="2045" width="35.1796875" style="614" customWidth="1"/>
    <col min="2046" max="2047" width="10.26953125" style="614" customWidth="1"/>
    <col min="2048" max="2048" width="7.453125" style="614" customWidth="1"/>
    <col min="2049" max="2050" width="10.26953125" style="614" customWidth="1"/>
    <col min="2051" max="2051" width="7" style="614" customWidth="1"/>
    <col min="2052" max="2052" width="1" style="614" customWidth="1"/>
    <col min="2053" max="2054" width="8.7265625" style="614" customWidth="1"/>
    <col min="2055" max="2055" width="7.453125" style="614" customWidth="1"/>
    <col min="2056" max="2057" width="8.7265625" style="614" customWidth="1"/>
    <col min="2058" max="2058" width="8.453125" style="614" bestFit="1" customWidth="1"/>
    <col min="2059" max="2059" width="10.26953125" style="614" customWidth="1"/>
    <col min="2060" max="2060" width="10" style="614" customWidth="1"/>
    <col min="2061" max="2061" width="5.26953125" style="614" bestFit="1" customWidth="1"/>
    <col min="2062" max="2063" width="8.7265625" style="614" customWidth="1"/>
    <col min="2064" max="2064" width="9.7265625" style="614" customWidth="1"/>
    <col min="2065" max="2066" width="10.26953125" style="614" customWidth="1"/>
    <col min="2067" max="2067" width="7.81640625" style="614" bestFit="1" customWidth="1"/>
    <col min="2068" max="2068" width="13.453125" style="614" customWidth="1"/>
    <col min="2069" max="2069" width="3.26953125" style="614" customWidth="1"/>
    <col min="2070" max="2070" width="17.1796875" style="614" customWidth="1"/>
    <col min="2071" max="2071" width="14.453125" style="614" bestFit="1" customWidth="1"/>
    <col min="2072" max="2072" width="10.26953125" style="614" customWidth="1"/>
    <col min="2073" max="2073" width="6" style="614" bestFit="1" customWidth="1"/>
    <col min="2074" max="2074" width="10.90625" style="614"/>
    <col min="2075" max="2076" width="14.453125" style="614" bestFit="1" customWidth="1"/>
    <col min="2077" max="2077" width="12.81640625" style="614" bestFit="1" customWidth="1"/>
    <col min="2078" max="2078" width="14.453125" style="614" bestFit="1" customWidth="1"/>
    <col min="2079" max="2299" width="10.90625" style="614"/>
    <col min="2300" max="2300" width="5.7265625" style="614" customWidth="1"/>
    <col min="2301" max="2301" width="35.1796875" style="614" customWidth="1"/>
    <col min="2302" max="2303" width="10.26953125" style="614" customWidth="1"/>
    <col min="2304" max="2304" width="7.453125" style="614" customWidth="1"/>
    <col min="2305" max="2306" width="10.26953125" style="614" customWidth="1"/>
    <col min="2307" max="2307" width="7" style="614" customWidth="1"/>
    <col min="2308" max="2308" width="1" style="614" customWidth="1"/>
    <col min="2309" max="2310" width="8.7265625" style="614" customWidth="1"/>
    <col min="2311" max="2311" width="7.453125" style="614" customWidth="1"/>
    <col min="2312" max="2313" width="8.7265625" style="614" customWidth="1"/>
    <col min="2314" max="2314" width="8.453125" style="614" bestFit="1" customWidth="1"/>
    <col min="2315" max="2315" width="10.26953125" style="614" customWidth="1"/>
    <col min="2316" max="2316" width="10" style="614" customWidth="1"/>
    <col min="2317" max="2317" width="5.26953125" style="614" bestFit="1" customWidth="1"/>
    <col min="2318" max="2319" width="8.7265625" style="614" customWidth="1"/>
    <col min="2320" max="2320" width="9.7265625" style="614" customWidth="1"/>
    <col min="2321" max="2322" width="10.26953125" style="614" customWidth="1"/>
    <col min="2323" max="2323" width="7.81640625" style="614" bestFit="1" customWidth="1"/>
    <col min="2324" max="2324" width="13.453125" style="614" customWidth="1"/>
    <col min="2325" max="2325" width="3.26953125" style="614" customWidth="1"/>
    <col min="2326" max="2326" width="17.1796875" style="614" customWidth="1"/>
    <col min="2327" max="2327" width="14.453125" style="614" bestFit="1" customWidth="1"/>
    <col min="2328" max="2328" width="10.26953125" style="614" customWidth="1"/>
    <col min="2329" max="2329" width="6" style="614" bestFit="1" customWidth="1"/>
    <col min="2330" max="2330" width="10.90625" style="614"/>
    <col min="2331" max="2332" width="14.453125" style="614" bestFit="1" customWidth="1"/>
    <col min="2333" max="2333" width="12.81640625" style="614" bestFit="1" customWidth="1"/>
    <col min="2334" max="2334" width="14.453125" style="614" bestFit="1" customWidth="1"/>
    <col min="2335" max="2555" width="10.90625" style="614"/>
    <col min="2556" max="2556" width="5.7265625" style="614" customWidth="1"/>
    <col min="2557" max="2557" width="35.1796875" style="614" customWidth="1"/>
    <col min="2558" max="2559" width="10.26953125" style="614" customWidth="1"/>
    <col min="2560" max="2560" width="7.453125" style="614" customWidth="1"/>
    <col min="2561" max="2562" width="10.26953125" style="614" customWidth="1"/>
    <col min="2563" max="2563" width="7" style="614" customWidth="1"/>
    <col min="2564" max="2564" width="1" style="614" customWidth="1"/>
    <col min="2565" max="2566" width="8.7265625" style="614" customWidth="1"/>
    <col min="2567" max="2567" width="7.453125" style="614" customWidth="1"/>
    <col min="2568" max="2569" width="8.7265625" style="614" customWidth="1"/>
    <col min="2570" max="2570" width="8.453125" style="614" bestFit="1" customWidth="1"/>
    <col min="2571" max="2571" width="10.26953125" style="614" customWidth="1"/>
    <col min="2572" max="2572" width="10" style="614" customWidth="1"/>
    <col min="2573" max="2573" width="5.26953125" style="614" bestFit="1" customWidth="1"/>
    <col min="2574" max="2575" width="8.7265625" style="614" customWidth="1"/>
    <col min="2576" max="2576" width="9.7265625" style="614" customWidth="1"/>
    <col min="2577" max="2578" width="10.26953125" style="614" customWidth="1"/>
    <col min="2579" max="2579" width="7.81640625" style="614" bestFit="1" customWidth="1"/>
    <col min="2580" max="2580" width="13.453125" style="614" customWidth="1"/>
    <col min="2581" max="2581" width="3.26953125" style="614" customWidth="1"/>
    <col min="2582" max="2582" width="17.1796875" style="614" customWidth="1"/>
    <col min="2583" max="2583" width="14.453125" style="614" bestFit="1" customWidth="1"/>
    <col min="2584" max="2584" width="10.26953125" style="614" customWidth="1"/>
    <col min="2585" max="2585" width="6" style="614" bestFit="1" customWidth="1"/>
    <col min="2586" max="2586" width="10.90625" style="614"/>
    <col min="2587" max="2588" width="14.453125" style="614" bestFit="1" customWidth="1"/>
    <col min="2589" max="2589" width="12.81640625" style="614" bestFit="1" customWidth="1"/>
    <col min="2590" max="2590" width="14.453125" style="614" bestFit="1" customWidth="1"/>
    <col min="2591" max="2811" width="10.90625" style="614"/>
    <col min="2812" max="2812" width="5.7265625" style="614" customWidth="1"/>
    <col min="2813" max="2813" width="35.1796875" style="614" customWidth="1"/>
    <col min="2814" max="2815" width="10.26953125" style="614" customWidth="1"/>
    <col min="2816" max="2816" width="7.453125" style="614" customWidth="1"/>
    <col min="2817" max="2818" width="10.26953125" style="614" customWidth="1"/>
    <col min="2819" max="2819" width="7" style="614" customWidth="1"/>
    <col min="2820" max="2820" width="1" style="614" customWidth="1"/>
    <col min="2821" max="2822" width="8.7265625" style="614" customWidth="1"/>
    <col min="2823" max="2823" width="7.453125" style="614" customWidth="1"/>
    <col min="2824" max="2825" width="8.7265625" style="614" customWidth="1"/>
    <col min="2826" max="2826" width="8.453125" style="614" bestFit="1" customWidth="1"/>
    <col min="2827" max="2827" width="10.26953125" style="614" customWidth="1"/>
    <col min="2828" max="2828" width="10" style="614" customWidth="1"/>
    <col min="2829" max="2829" width="5.26953125" style="614" bestFit="1" customWidth="1"/>
    <col min="2830" max="2831" width="8.7265625" style="614" customWidth="1"/>
    <col min="2832" max="2832" width="9.7265625" style="614" customWidth="1"/>
    <col min="2833" max="2834" width="10.26953125" style="614" customWidth="1"/>
    <col min="2835" max="2835" width="7.81640625" style="614" bestFit="1" customWidth="1"/>
    <col min="2836" max="2836" width="13.453125" style="614" customWidth="1"/>
    <col min="2837" max="2837" width="3.26953125" style="614" customWidth="1"/>
    <col min="2838" max="2838" width="17.1796875" style="614" customWidth="1"/>
    <col min="2839" max="2839" width="14.453125" style="614" bestFit="1" customWidth="1"/>
    <col min="2840" max="2840" width="10.26953125" style="614" customWidth="1"/>
    <col min="2841" max="2841" width="6" style="614" bestFit="1" customWidth="1"/>
    <col min="2842" max="2842" width="10.90625" style="614"/>
    <col min="2843" max="2844" width="14.453125" style="614" bestFit="1" customWidth="1"/>
    <col min="2845" max="2845" width="12.81640625" style="614" bestFit="1" customWidth="1"/>
    <col min="2846" max="2846" width="14.453125" style="614" bestFit="1" customWidth="1"/>
    <col min="2847" max="3067" width="10.90625" style="614"/>
    <col min="3068" max="3068" width="5.7265625" style="614" customWidth="1"/>
    <col min="3069" max="3069" width="35.1796875" style="614" customWidth="1"/>
    <col min="3070" max="3071" width="10.26953125" style="614" customWidth="1"/>
    <col min="3072" max="3072" width="7.453125" style="614" customWidth="1"/>
    <col min="3073" max="3074" width="10.26953125" style="614" customWidth="1"/>
    <col min="3075" max="3075" width="7" style="614" customWidth="1"/>
    <col min="3076" max="3076" width="1" style="614" customWidth="1"/>
    <col min="3077" max="3078" width="8.7265625" style="614" customWidth="1"/>
    <col min="3079" max="3079" width="7.453125" style="614" customWidth="1"/>
    <col min="3080" max="3081" width="8.7265625" style="614" customWidth="1"/>
    <col min="3082" max="3082" width="8.453125" style="614" bestFit="1" customWidth="1"/>
    <col min="3083" max="3083" width="10.26953125" style="614" customWidth="1"/>
    <col min="3084" max="3084" width="10" style="614" customWidth="1"/>
    <col min="3085" max="3085" width="5.26953125" style="614" bestFit="1" customWidth="1"/>
    <col min="3086" max="3087" width="8.7265625" style="614" customWidth="1"/>
    <col min="3088" max="3088" width="9.7265625" style="614" customWidth="1"/>
    <col min="3089" max="3090" width="10.26953125" style="614" customWidth="1"/>
    <col min="3091" max="3091" width="7.81640625" style="614" bestFit="1" customWidth="1"/>
    <col min="3092" max="3092" width="13.453125" style="614" customWidth="1"/>
    <col min="3093" max="3093" width="3.26953125" style="614" customWidth="1"/>
    <col min="3094" max="3094" width="17.1796875" style="614" customWidth="1"/>
    <col min="3095" max="3095" width="14.453125" style="614" bestFit="1" customWidth="1"/>
    <col min="3096" max="3096" width="10.26953125" style="614" customWidth="1"/>
    <col min="3097" max="3097" width="6" style="614" bestFit="1" customWidth="1"/>
    <col min="3098" max="3098" width="10.90625" style="614"/>
    <col min="3099" max="3100" width="14.453125" style="614" bestFit="1" customWidth="1"/>
    <col min="3101" max="3101" width="12.81640625" style="614" bestFit="1" customWidth="1"/>
    <col min="3102" max="3102" width="14.453125" style="614" bestFit="1" customWidth="1"/>
    <col min="3103" max="3323" width="10.90625" style="614"/>
    <col min="3324" max="3324" width="5.7265625" style="614" customWidth="1"/>
    <col min="3325" max="3325" width="35.1796875" style="614" customWidth="1"/>
    <col min="3326" max="3327" width="10.26953125" style="614" customWidth="1"/>
    <col min="3328" max="3328" width="7.453125" style="614" customWidth="1"/>
    <col min="3329" max="3330" width="10.26953125" style="614" customWidth="1"/>
    <col min="3331" max="3331" width="7" style="614" customWidth="1"/>
    <col min="3332" max="3332" width="1" style="614" customWidth="1"/>
    <col min="3333" max="3334" width="8.7265625" style="614" customWidth="1"/>
    <col min="3335" max="3335" width="7.453125" style="614" customWidth="1"/>
    <col min="3336" max="3337" width="8.7265625" style="614" customWidth="1"/>
    <col min="3338" max="3338" width="8.453125" style="614" bestFit="1" customWidth="1"/>
    <col min="3339" max="3339" width="10.26953125" style="614" customWidth="1"/>
    <col min="3340" max="3340" width="10" style="614" customWidth="1"/>
    <col min="3341" max="3341" width="5.26953125" style="614" bestFit="1" customWidth="1"/>
    <col min="3342" max="3343" width="8.7265625" style="614" customWidth="1"/>
    <col min="3344" max="3344" width="9.7265625" style="614" customWidth="1"/>
    <col min="3345" max="3346" width="10.26953125" style="614" customWidth="1"/>
    <col min="3347" max="3347" width="7.81640625" style="614" bestFit="1" customWidth="1"/>
    <col min="3348" max="3348" width="13.453125" style="614" customWidth="1"/>
    <col min="3349" max="3349" width="3.26953125" style="614" customWidth="1"/>
    <col min="3350" max="3350" width="17.1796875" style="614" customWidth="1"/>
    <col min="3351" max="3351" width="14.453125" style="614" bestFit="1" customWidth="1"/>
    <col min="3352" max="3352" width="10.26953125" style="614" customWidth="1"/>
    <col min="3353" max="3353" width="6" style="614" bestFit="1" customWidth="1"/>
    <col min="3354" max="3354" width="10.90625" style="614"/>
    <col min="3355" max="3356" width="14.453125" style="614" bestFit="1" customWidth="1"/>
    <col min="3357" max="3357" width="12.81640625" style="614" bestFit="1" customWidth="1"/>
    <col min="3358" max="3358" width="14.453125" style="614" bestFit="1" customWidth="1"/>
    <col min="3359" max="3579" width="10.90625" style="614"/>
    <col min="3580" max="3580" width="5.7265625" style="614" customWidth="1"/>
    <col min="3581" max="3581" width="35.1796875" style="614" customWidth="1"/>
    <col min="3582" max="3583" width="10.26953125" style="614" customWidth="1"/>
    <col min="3584" max="3584" width="7.453125" style="614" customWidth="1"/>
    <col min="3585" max="3586" width="10.26953125" style="614" customWidth="1"/>
    <col min="3587" max="3587" width="7" style="614" customWidth="1"/>
    <col min="3588" max="3588" width="1" style="614" customWidth="1"/>
    <col min="3589" max="3590" width="8.7265625" style="614" customWidth="1"/>
    <col min="3591" max="3591" width="7.453125" style="614" customWidth="1"/>
    <col min="3592" max="3593" width="8.7265625" style="614" customWidth="1"/>
    <col min="3594" max="3594" width="8.453125" style="614" bestFit="1" customWidth="1"/>
    <col min="3595" max="3595" width="10.26953125" style="614" customWidth="1"/>
    <col min="3596" max="3596" width="10" style="614" customWidth="1"/>
    <col min="3597" max="3597" width="5.26953125" style="614" bestFit="1" customWidth="1"/>
    <col min="3598" max="3599" width="8.7265625" style="614" customWidth="1"/>
    <col min="3600" max="3600" width="9.7265625" style="614" customWidth="1"/>
    <col min="3601" max="3602" width="10.26953125" style="614" customWidth="1"/>
    <col min="3603" max="3603" width="7.81640625" style="614" bestFit="1" customWidth="1"/>
    <col min="3604" max="3604" width="13.453125" style="614" customWidth="1"/>
    <col min="3605" max="3605" width="3.26953125" style="614" customWidth="1"/>
    <col min="3606" max="3606" width="17.1796875" style="614" customWidth="1"/>
    <col min="3607" max="3607" width="14.453125" style="614" bestFit="1" customWidth="1"/>
    <col min="3608" max="3608" width="10.26953125" style="614" customWidth="1"/>
    <col min="3609" max="3609" width="6" style="614" bestFit="1" customWidth="1"/>
    <col min="3610" max="3610" width="10.90625" style="614"/>
    <col min="3611" max="3612" width="14.453125" style="614" bestFit="1" customWidth="1"/>
    <col min="3613" max="3613" width="12.81640625" style="614" bestFit="1" customWidth="1"/>
    <col min="3614" max="3614" width="14.453125" style="614" bestFit="1" customWidth="1"/>
    <col min="3615" max="3835" width="10.90625" style="614"/>
    <col min="3836" max="3836" width="5.7265625" style="614" customWidth="1"/>
    <col min="3837" max="3837" width="35.1796875" style="614" customWidth="1"/>
    <col min="3838" max="3839" width="10.26953125" style="614" customWidth="1"/>
    <col min="3840" max="3840" width="7.453125" style="614" customWidth="1"/>
    <col min="3841" max="3842" width="10.26953125" style="614" customWidth="1"/>
    <col min="3843" max="3843" width="7" style="614" customWidth="1"/>
    <col min="3844" max="3844" width="1" style="614" customWidth="1"/>
    <col min="3845" max="3846" width="8.7265625" style="614" customWidth="1"/>
    <col min="3847" max="3847" width="7.453125" style="614" customWidth="1"/>
    <col min="3848" max="3849" width="8.7265625" style="614" customWidth="1"/>
    <col min="3850" max="3850" width="8.453125" style="614" bestFit="1" customWidth="1"/>
    <col min="3851" max="3851" width="10.26953125" style="614" customWidth="1"/>
    <col min="3852" max="3852" width="10" style="614" customWidth="1"/>
    <col min="3853" max="3853" width="5.26953125" style="614" bestFit="1" customWidth="1"/>
    <col min="3854" max="3855" width="8.7265625" style="614" customWidth="1"/>
    <col min="3856" max="3856" width="9.7265625" style="614" customWidth="1"/>
    <col min="3857" max="3858" width="10.26953125" style="614" customWidth="1"/>
    <col min="3859" max="3859" width="7.81640625" style="614" bestFit="1" customWidth="1"/>
    <col min="3860" max="3860" width="13.453125" style="614" customWidth="1"/>
    <col min="3861" max="3861" width="3.26953125" style="614" customWidth="1"/>
    <col min="3862" max="3862" width="17.1796875" style="614" customWidth="1"/>
    <col min="3863" max="3863" width="14.453125" style="614" bestFit="1" customWidth="1"/>
    <col min="3864" max="3864" width="10.26953125" style="614" customWidth="1"/>
    <col min="3865" max="3865" width="6" style="614" bestFit="1" customWidth="1"/>
    <col min="3866" max="3866" width="10.90625" style="614"/>
    <col min="3867" max="3868" width="14.453125" style="614" bestFit="1" customWidth="1"/>
    <col min="3869" max="3869" width="12.81640625" style="614" bestFit="1" customWidth="1"/>
    <col min="3870" max="3870" width="14.453125" style="614" bestFit="1" customWidth="1"/>
    <col min="3871" max="4091" width="10.90625" style="614"/>
    <col min="4092" max="4092" width="5.7265625" style="614" customWidth="1"/>
    <col min="4093" max="4093" width="35.1796875" style="614" customWidth="1"/>
    <col min="4094" max="4095" width="10.26953125" style="614" customWidth="1"/>
    <col min="4096" max="4096" width="7.453125" style="614" customWidth="1"/>
    <col min="4097" max="4098" width="10.26953125" style="614" customWidth="1"/>
    <col min="4099" max="4099" width="7" style="614" customWidth="1"/>
    <col min="4100" max="4100" width="1" style="614" customWidth="1"/>
    <col min="4101" max="4102" width="8.7265625" style="614" customWidth="1"/>
    <col min="4103" max="4103" width="7.453125" style="614" customWidth="1"/>
    <col min="4104" max="4105" width="8.7265625" style="614" customWidth="1"/>
    <col min="4106" max="4106" width="8.453125" style="614" bestFit="1" customWidth="1"/>
    <col min="4107" max="4107" width="10.26953125" style="614" customWidth="1"/>
    <col min="4108" max="4108" width="10" style="614" customWidth="1"/>
    <col min="4109" max="4109" width="5.26953125" style="614" bestFit="1" customWidth="1"/>
    <col min="4110" max="4111" width="8.7265625" style="614" customWidth="1"/>
    <col min="4112" max="4112" width="9.7265625" style="614" customWidth="1"/>
    <col min="4113" max="4114" width="10.26953125" style="614" customWidth="1"/>
    <col min="4115" max="4115" width="7.81640625" style="614" bestFit="1" customWidth="1"/>
    <col min="4116" max="4116" width="13.453125" style="614" customWidth="1"/>
    <col min="4117" max="4117" width="3.26953125" style="614" customWidth="1"/>
    <col min="4118" max="4118" width="17.1796875" style="614" customWidth="1"/>
    <col min="4119" max="4119" width="14.453125" style="614" bestFit="1" customWidth="1"/>
    <col min="4120" max="4120" width="10.26953125" style="614" customWidth="1"/>
    <col min="4121" max="4121" width="6" style="614" bestFit="1" customWidth="1"/>
    <col min="4122" max="4122" width="10.90625" style="614"/>
    <col min="4123" max="4124" width="14.453125" style="614" bestFit="1" customWidth="1"/>
    <col min="4125" max="4125" width="12.81640625" style="614" bestFit="1" customWidth="1"/>
    <col min="4126" max="4126" width="14.453125" style="614" bestFit="1" customWidth="1"/>
    <col min="4127" max="4347" width="10.90625" style="614"/>
    <col min="4348" max="4348" width="5.7265625" style="614" customWidth="1"/>
    <col min="4349" max="4349" width="35.1796875" style="614" customWidth="1"/>
    <col min="4350" max="4351" width="10.26953125" style="614" customWidth="1"/>
    <col min="4352" max="4352" width="7.453125" style="614" customWidth="1"/>
    <col min="4353" max="4354" width="10.26953125" style="614" customWidth="1"/>
    <col min="4355" max="4355" width="7" style="614" customWidth="1"/>
    <col min="4356" max="4356" width="1" style="614" customWidth="1"/>
    <col min="4357" max="4358" width="8.7265625" style="614" customWidth="1"/>
    <col min="4359" max="4359" width="7.453125" style="614" customWidth="1"/>
    <col min="4360" max="4361" width="8.7265625" style="614" customWidth="1"/>
    <col min="4362" max="4362" width="8.453125" style="614" bestFit="1" customWidth="1"/>
    <col min="4363" max="4363" width="10.26953125" style="614" customWidth="1"/>
    <col min="4364" max="4364" width="10" style="614" customWidth="1"/>
    <col min="4365" max="4365" width="5.26953125" style="614" bestFit="1" customWidth="1"/>
    <col min="4366" max="4367" width="8.7265625" style="614" customWidth="1"/>
    <col min="4368" max="4368" width="9.7265625" style="614" customWidth="1"/>
    <col min="4369" max="4370" width="10.26953125" style="614" customWidth="1"/>
    <col min="4371" max="4371" width="7.81640625" style="614" bestFit="1" customWidth="1"/>
    <col min="4372" max="4372" width="13.453125" style="614" customWidth="1"/>
    <col min="4373" max="4373" width="3.26953125" style="614" customWidth="1"/>
    <col min="4374" max="4374" width="17.1796875" style="614" customWidth="1"/>
    <col min="4375" max="4375" width="14.453125" style="614" bestFit="1" customWidth="1"/>
    <col min="4376" max="4376" width="10.26953125" style="614" customWidth="1"/>
    <col min="4377" max="4377" width="6" style="614" bestFit="1" customWidth="1"/>
    <col min="4378" max="4378" width="10.90625" style="614"/>
    <col min="4379" max="4380" width="14.453125" style="614" bestFit="1" customWidth="1"/>
    <col min="4381" max="4381" width="12.81640625" style="614" bestFit="1" customWidth="1"/>
    <col min="4382" max="4382" width="14.453125" style="614" bestFit="1" customWidth="1"/>
    <col min="4383" max="4603" width="10.90625" style="614"/>
    <col min="4604" max="4604" width="5.7265625" style="614" customWidth="1"/>
    <col min="4605" max="4605" width="35.1796875" style="614" customWidth="1"/>
    <col min="4606" max="4607" width="10.26953125" style="614" customWidth="1"/>
    <col min="4608" max="4608" width="7.453125" style="614" customWidth="1"/>
    <col min="4609" max="4610" width="10.26953125" style="614" customWidth="1"/>
    <col min="4611" max="4611" width="7" style="614" customWidth="1"/>
    <col min="4612" max="4612" width="1" style="614" customWidth="1"/>
    <col min="4613" max="4614" width="8.7265625" style="614" customWidth="1"/>
    <col min="4615" max="4615" width="7.453125" style="614" customWidth="1"/>
    <col min="4616" max="4617" width="8.7265625" style="614" customWidth="1"/>
    <col min="4618" max="4618" width="8.453125" style="614" bestFit="1" customWidth="1"/>
    <col min="4619" max="4619" width="10.26953125" style="614" customWidth="1"/>
    <col min="4620" max="4620" width="10" style="614" customWidth="1"/>
    <col min="4621" max="4621" width="5.26953125" style="614" bestFit="1" customWidth="1"/>
    <col min="4622" max="4623" width="8.7265625" style="614" customWidth="1"/>
    <col min="4624" max="4624" width="9.7265625" style="614" customWidth="1"/>
    <col min="4625" max="4626" width="10.26953125" style="614" customWidth="1"/>
    <col min="4627" max="4627" width="7.81640625" style="614" bestFit="1" customWidth="1"/>
    <col min="4628" max="4628" width="13.453125" style="614" customWidth="1"/>
    <col min="4629" max="4629" width="3.26953125" style="614" customWidth="1"/>
    <col min="4630" max="4630" width="17.1796875" style="614" customWidth="1"/>
    <col min="4631" max="4631" width="14.453125" style="614" bestFit="1" customWidth="1"/>
    <col min="4632" max="4632" width="10.26953125" style="614" customWidth="1"/>
    <col min="4633" max="4633" width="6" style="614" bestFit="1" customWidth="1"/>
    <col min="4634" max="4634" width="10.90625" style="614"/>
    <col min="4635" max="4636" width="14.453125" style="614" bestFit="1" customWidth="1"/>
    <col min="4637" max="4637" width="12.81640625" style="614" bestFit="1" customWidth="1"/>
    <col min="4638" max="4638" width="14.453125" style="614" bestFit="1" customWidth="1"/>
    <col min="4639" max="4859" width="10.90625" style="614"/>
    <col min="4860" max="4860" width="5.7265625" style="614" customWidth="1"/>
    <col min="4861" max="4861" width="35.1796875" style="614" customWidth="1"/>
    <col min="4862" max="4863" width="10.26953125" style="614" customWidth="1"/>
    <col min="4864" max="4864" width="7.453125" style="614" customWidth="1"/>
    <col min="4865" max="4866" width="10.26953125" style="614" customWidth="1"/>
    <col min="4867" max="4867" width="7" style="614" customWidth="1"/>
    <col min="4868" max="4868" width="1" style="614" customWidth="1"/>
    <col min="4869" max="4870" width="8.7265625" style="614" customWidth="1"/>
    <col min="4871" max="4871" width="7.453125" style="614" customWidth="1"/>
    <col min="4872" max="4873" width="8.7265625" style="614" customWidth="1"/>
    <col min="4874" max="4874" width="8.453125" style="614" bestFit="1" customWidth="1"/>
    <col min="4875" max="4875" width="10.26953125" style="614" customWidth="1"/>
    <col min="4876" max="4876" width="10" style="614" customWidth="1"/>
    <col min="4877" max="4877" width="5.26953125" style="614" bestFit="1" customWidth="1"/>
    <col min="4878" max="4879" width="8.7265625" style="614" customWidth="1"/>
    <col min="4880" max="4880" width="9.7265625" style="614" customWidth="1"/>
    <col min="4881" max="4882" width="10.26953125" style="614" customWidth="1"/>
    <col min="4883" max="4883" width="7.81640625" style="614" bestFit="1" customWidth="1"/>
    <col min="4884" max="4884" width="13.453125" style="614" customWidth="1"/>
    <col min="4885" max="4885" width="3.26953125" style="614" customWidth="1"/>
    <col min="4886" max="4886" width="17.1796875" style="614" customWidth="1"/>
    <col min="4887" max="4887" width="14.453125" style="614" bestFit="1" customWidth="1"/>
    <col min="4888" max="4888" width="10.26953125" style="614" customWidth="1"/>
    <col min="4889" max="4889" width="6" style="614" bestFit="1" customWidth="1"/>
    <col min="4890" max="4890" width="10.90625" style="614"/>
    <col min="4891" max="4892" width="14.453125" style="614" bestFit="1" customWidth="1"/>
    <col min="4893" max="4893" width="12.81640625" style="614" bestFit="1" customWidth="1"/>
    <col min="4894" max="4894" width="14.453125" style="614" bestFit="1" customWidth="1"/>
    <col min="4895" max="5115" width="10.90625" style="614"/>
    <col min="5116" max="5116" width="5.7265625" style="614" customWidth="1"/>
    <col min="5117" max="5117" width="35.1796875" style="614" customWidth="1"/>
    <col min="5118" max="5119" width="10.26953125" style="614" customWidth="1"/>
    <col min="5120" max="5120" width="7.453125" style="614" customWidth="1"/>
    <col min="5121" max="5122" width="10.26953125" style="614" customWidth="1"/>
    <col min="5123" max="5123" width="7" style="614" customWidth="1"/>
    <col min="5124" max="5124" width="1" style="614" customWidth="1"/>
    <col min="5125" max="5126" width="8.7265625" style="614" customWidth="1"/>
    <col min="5127" max="5127" width="7.453125" style="614" customWidth="1"/>
    <col min="5128" max="5129" width="8.7265625" style="614" customWidth="1"/>
    <col min="5130" max="5130" width="8.453125" style="614" bestFit="1" customWidth="1"/>
    <col min="5131" max="5131" width="10.26953125" style="614" customWidth="1"/>
    <col min="5132" max="5132" width="10" style="614" customWidth="1"/>
    <col min="5133" max="5133" width="5.26953125" style="614" bestFit="1" customWidth="1"/>
    <col min="5134" max="5135" width="8.7265625" style="614" customWidth="1"/>
    <col min="5136" max="5136" width="9.7265625" style="614" customWidth="1"/>
    <col min="5137" max="5138" width="10.26953125" style="614" customWidth="1"/>
    <col min="5139" max="5139" width="7.81640625" style="614" bestFit="1" customWidth="1"/>
    <col min="5140" max="5140" width="13.453125" style="614" customWidth="1"/>
    <col min="5141" max="5141" width="3.26953125" style="614" customWidth="1"/>
    <col min="5142" max="5142" width="17.1796875" style="614" customWidth="1"/>
    <col min="5143" max="5143" width="14.453125" style="614" bestFit="1" customWidth="1"/>
    <col min="5144" max="5144" width="10.26953125" style="614" customWidth="1"/>
    <col min="5145" max="5145" width="6" style="614" bestFit="1" customWidth="1"/>
    <col min="5146" max="5146" width="10.90625" style="614"/>
    <col min="5147" max="5148" width="14.453125" style="614" bestFit="1" customWidth="1"/>
    <col min="5149" max="5149" width="12.81640625" style="614" bestFit="1" customWidth="1"/>
    <col min="5150" max="5150" width="14.453125" style="614" bestFit="1" customWidth="1"/>
    <col min="5151" max="5371" width="10.90625" style="614"/>
    <col min="5372" max="5372" width="5.7265625" style="614" customWidth="1"/>
    <col min="5373" max="5373" width="35.1796875" style="614" customWidth="1"/>
    <col min="5374" max="5375" width="10.26953125" style="614" customWidth="1"/>
    <col min="5376" max="5376" width="7.453125" style="614" customWidth="1"/>
    <col min="5377" max="5378" width="10.26953125" style="614" customWidth="1"/>
    <col min="5379" max="5379" width="7" style="614" customWidth="1"/>
    <col min="5380" max="5380" width="1" style="614" customWidth="1"/>
    <col min="5381" max="5382" width="8.7265625" style="614" customWidth="1"/>
    <col min="5383" max="5383" width="7.453125" style="614" customWidth="1"/>
    <col min="5384" max="5385" width="8.7265625" style="614" customWidth="1"/>
    <col min="5386" max="5386" width="8.453125" style="614" bestFit="1" customWidth="1"/>
    <col min="5387" max="5387" width="10.26953125" style="614" customWidth="1"/>
    <col min="5388" max="5388" width="10" style="614" customWidth="1"/>
    <col min="5389" max="5389" width="5.26953125" style="614" bestFit="1" customWidth="1"/>
    <col min="5390" max="5391" width="8.7265625" style="614" customWidth="1"/>
    <col min="5392" max="5392" width="9.7265625" style="614" customWidth="1"/>
    <col min="5393" max="5394" width="10.26953125" style="614" customWidth="1"/>
    <col min="5395" max="5395" width="7.81640625" style="614" bestFit="1" customWidth="1"/>
    <col min="5396" max="5396" width="13.453125" style="614" customWidth="1"/>
    <col min="5397" max="5397" width="3.26953125" style="614" customWidth="1"/>
    <col min="5398" max="5398" width="17.1796875" style="614" customWidth="1"/>
    <col min="5399" max="5399" width="14.453125" style="614" bestFit="1" customWidth="1"/>
    <col min="5400" max="5400" width="10.26953125" style="614" customWidth="1"/>
    <col min="5401" max="5401" width="6" style="614" bestFit="1" customWidth="1"/>
    <col min="5402" max="5402" width="10.90625" style="614"/>
    <col min="5403" max="5404" width="14.453125" style="614" bestFit="1" customWidth="1"/>
    <col min="5405" max="5405" width="12.81640625" style="614" bestFit="1" customWidth="1"/>
    <col min="5406" max="5406" width="14.453125" style="614" bestFit="1" customWidth="1"/>
    <col min="5407" max="5627" width="10.90625" style="614"/>
    <col min="5628" max="5628" width="5.7265625" style="614" customWidth="1"/>
    <col min="5629" max="5629" width="35.1796875" style="614" customWidth="1"/>
    <col min="5630" max="5631" width="10.26953125" style="614" customWidth="1"/>
    <col min="5632" max="5632" width="7.453125" style="614" customWidth="1"/>
    <col min="5633" max="5634" width="10.26953125" style="614" customWidth="1"/>
    <col min="5635" max="5635" width="7" style="614" customWidth="1"/>
    <col min="5636" max="5636" width="1" style="614" customWidth="1"/>
    <col min="5637" max="5638" width="8.7265625" style="614" customWidth="1"/>
    <col min="5639" max="5639" width="7.453125" style="614" customWidth="1"/>
    <col min="5640" max="5641" width="8.7265625" style="614" customWidth="1"/>
    <col min="5642" max="5642" width="8.453125" style="614" bestFit="1" customWidth="1"/>
    <col min="5643" max="5643" width="10.26953125" style="614" customWidth="1"/>
    <col min="5644" max="5644" width="10" style="614" customWidth="1"/>
    <col min="5645" max="5645" width="5.26953125" style="614" bestFit="1" customWidth="1"/>
    <col min="5646" max="5647" width="8.7265625" style="614" customWidth="1"/>
    <col min="5648" max="5648" width="9.7265625" style="614" customWidth="1"/>
    <col min="5649" max="5650" width="10.26953125" style="614" customWidth="1"/>
    <col min="5651" max="5651" width="7.81640625" style="614" bestFit="1" customWidth="1"/>
    <col min="5652" max="5652" width="13.453125" style="614" customWidth="1"/>
    <col min="5653" max="5653" width="3.26953125" style="614" customWidth="1"/>
    <col min="5654" max="5654" width="17.1796875" style="614" customWidth="1"/>
    <col min="5655" max="5655" width="14.453125" style="614" bestFit="1" customWidth="1"/>
    <col min="5656" max="5656" width="10.26953125" style="614" customWidth="1"/>
    <col min="5657" max="5657" width="6" style="614" bestFit="1" customWidth="1"/>
    <col min="5658" max="5658" width="10.90625" style="614"/>
    <col min="5659" max="5660" width="14.453125" style="614" bestFit="1" customWidth="1"/>
    <col min="5661" max="5661" width="12.81640625" style="614" bestFit="1" customWidth="1"/>
    <col min="5662" max="5662" width="14.453125" style="614" bestFit="1" customWidth="1"/>
    <col min="5663" max="5883" width="10.90625" style="614"/>
    <col min="5884" max="5884" width="5.7265625" style="614" customWidth="1"/>
    <col min="5885" max="5885" width="35.1796875" style="614" customWidth="1"/>
    <col min="5886" max="5887" width="10.26953125" style="614" customWidth="1"/>
    <col min="5888" max="5888" width="7.453125" style="614" customWidth="1"/>
    <col min="5889" max="5890" width="10.26953125" style="614" customWidth="1"/>
    <col min="5891" max="5891" width="7" style="614" customWidth="1"/>
    <col min="5892" max="5892" width="1" style="614" customWidth="1"/>
    <col min="5893" max="5894" width="8.7265625" style="614" customWidth="1"/>
    <col min="5895" max="5895" width="7.453125" style="614" customWidth="1"/>
    <col min="5896" max="5897" width="8.7265625" style="614" customWidth="1"/>
    <col min="5898" max="5898" width="8.453125" style="614" bestFit="1" customWidth="1"/>
    <col min="5899" max="5899" width="10.26953125" style="614" customWidth="1"/>
    <col min="5900" max="5900" width="10" style="614" customWidth="1"/>
    <col min="5901" max="5901" width="5.26953125" style="614" bestFit="1" customWidth="1"/>
    <col min="5902" max="5903" width="8.7265625" style="614" customWidth="1"/>
    <col min="5904" max="5904" width="9.7265625" style="614" customWidth="1"/>
    <col min="5905" max="5906" width="10.26953125" style="614" customWidth="1"/>
    <col min="5907" max="5907" width="7.81640625" style="614" bestFit="1" customWidth="1"/>
    <col min="5908" max="5908" width="13.453125" style="614" customWidth="1"/>
    <col min="5909" max="5909" width="3.26953125" style="614" customWidth="1"/>
    <col min="5910" max="5910" width="17.1796875" style="614" customWidth="1"/>
    <col min="5911" max="5911" width="14.453125" style="614" bestFit="1" customWidth="1"/>
    <col min="5912" max="5912" width="10.26953125" style="614" customWidth="1"/>
    <col min="5913" max="5913" width="6" style="614" bestFit="1" customWidth="1"/>
    <col min="5914" max="5914" width="10.90625" style="614"/>
    <col min="5915" max="5916" width="14.453125" style="614" bestFit="1" customWidth="1"/>
    <col min="5917" max="5917" width="12.81640625" style="614" bestFit="1" customWidth="1"/>
    <col min="5918" max="5918" width="14.453125" style="614" bestFit="1" customWidth="1"/>
    <col min="5919" max="6139" width="10.90625" style="614"/>
    <col min="6140" max="6140" width="5.7265625" style="614" customWidth="1"/>
    <col min="6141" max="6141" width="35.1796875" style="614" customWidth="1"/>
    <col min="6142" max="6143" width="10.26953125" style="614" customWidth="1"/>
    <col min="6144" max="6144" width="7.453125" style="614" customWidth="1"/>
    <col min="6145" max="6146" width="10.26953125" style="614" customWidth="1"/>
    <col min="6147" max="6147" width="7" style="614" customWidth="1"/>
    <col min="6148" max="6148" width="1" style="614" customWidth="1"/>
    <col min="6149" max="6150" width="8.7265625" style="614" customWidth="1"/>
    <col min="6151" max="6151" width="7.453125" style="614" customWidth="1"/>
    <col min="6152" max="6153" width="8.7265625" style="614" customWidth="1"/>
    <col min="6154" max="6154" width="8.453125" style="614" bestFit="1" customWidth="1"/>
    <col min="6155" max="6155" width="10.26953125" style="614" customWidth="1"/>
    <col min="6156" max="6156" width="10" style="614" customWidth="1"/>
    <col min="6157" max="6157" width="5.26953125" style="614" bestFit="1" customWidth="1"/>
    <col min="6158" max="6159" width="8.7265625" style="614" customWidth="1"/>
    <col min="6160" max="6160" width="9.7265625" style="614" customWidth="1"/>
    <col min="6161" max="6162" width="10.26953125" style="614" customWidth="1"/>
    <col min="6163" max="6163" width="7.81640625" style="614" bestFit="1" customWidth="1"/>
    <col min="6164" max="6164" width="13.453125" style="614" customWidth="1"/>
    <col min="6165" max="6165" width="3.26953125" style="614" customWidth="1"/>
    <col min="6166" max="6166" width="17.1796875" style="614" customWidth="1"/>
    <col min="6167" max="6167" width="14.453125" style="614" bestFit="1" customWidth="1"/>
    <col min="6168" max="6168" width="10.26953125" style="614" customWidth="1"/>
    <col min="6169" max="6169" width="6" style="614" bestFit="1" customWidth="1"/>
    <col min="6170" max="6170" width="10.90625" style="614"/>
    <col min="6171" max="6172" width="14.453125" style="614" bestFit="1" customWidth="1"/>
    <col min="6173" max="6173" width="12.81640625" style="614" bestFit="1" customWidth="1"/>
    <col min="6174" max="6174" width="14.453125" style="614" bestFit="1" customWidth="1"/>
    <col min="6175" max="6395" width="10.90625" style="614"/>
    <col min="6396" max="6396" width="5.7265625" style="614" customWidth="1"/>
    <col min="6397" max="6397" width="35.1796875" style="614" customWidth="1"/>
    <col min="6398" max="6399" width="10.26953125" style="614" customWidth="1"/>
    <col min="6400" max="6400" width="7.453125" style="614" customWidth="1"/>
    <col min="6401" max="6402" width="10.26953125" style="614" customWidth="1"/>
    <col min="6403" max="6403" width="7" style="614" customWidth="1"/>
    <col min="6404" max="6404" width="1" style="614" customWidth="1"/>
    <col min="6405" max="6406" width="8.7265625" style="614" customWidth="1"/>
    <col min="6407" max="6407" width="7.453125" style="614" customWidth="1"/>
    <col min="6408" max="6409" width="8.7265625" style="614" customWidth="1"/>
    <col min="6410" max="6410" width="8.453125" style="614" bestFit="1" customWidth="1"/>
    <col min="6411" max="6411" width="10.26953125" style="614" customWidth="1"/>
    <col min="6412" max="6412" width="10" style="614" customWidth="1"/>
    <col min="6413" max="6413" width="5.26953125" style="614" bestFit="1" customWidth="1"/>
    <col min="6414" max="6415" width="8.7265625" style="614" customWidth="1"/>
    <col min="6416" max="6416" width="9.7265625" style="614" customWidth="1"/>
    <col min="6417" max="6418" width="10.26953125" style="614" customWidth="1"/>
    <col min="6419" max="6419" width="7.81640625" style="614" bestFit="1" customWidth="1"/>
    <col min="6420" max="6420" width="13.453125" style="614" customWidth="1"/>
    <col min="6421" max="6421" width="3.26953125" style="614" customWidth="1"/>
    <col min="6422" max="6422" width="17.1796875" style="614" customWidth="1"/>
    <col min="6423" max="6423" width="14.453125" style="614" bestFit="1" customWidth="1"/>
    <col min="6424" max="6424" width="10.26953125" style="614" customWidth="1"/>
    <col min="6425" max="6425" width="6" style="614" bestFit="1" customWidth="1"/>
    <col min="6426" max="6426" width="10.90625" style="614"/>
    <col min="6427" max="6428" width="14.453125" style="614" bestFit="1" customWidth="1"/>
    <col min="6429" max="6429" width="12.81640625" style="614" bestFit="1" customWidth="1"/>
    <col min="6430" max="6430" width="14.453125" style="614" bestFit="1" customWidth="1"/>
    <col min="6431" max="6651" width="10.90625" style="614"/>
    <col min="6652" max="6652" width="5.7265625" style="614" customWidth="1"/>
    <col min="6653" max="6653" width="35.1796875" style="614" customWidth="1"/>
    <col min="6654" max="6655" width="10.26953125" style="614" customWidth="1"/>
    <col min="6656" max="6656" width="7.453125" style="614" customWidth="1"/>
    <col min="6657" max="6658" width="10.26953125" style="614" customWidth="1"/>
    <col min="6659" max="6659" width="7" style="614" customWidth="1"/>
    <col min="6660" max="6660" width="1" style="614" customWidth="1"/>
    <col min="6661" max="6662" width="8.7265625" style="614" customWidth="1"/>
    <col min="6663" max="6663" width="7.453125" style="614" customWidth="1"/>
    <col min="6664" max="6665" width="8.7265625" style="614" customWidth="1"/>
    <col min="6666" max="6666" width="8.453125" style="614" bestFit="1" customWidth="1"/>
    <col min="6667" max="6667" width="10.26953125" style="614" customWidth="1"/>
    <col min="6668" max="6668" width="10" style="614" customWidth="1"/>
    <col min="6669" max="6669" width="5.26953125" style="614" bestFit="1" customWidth="1"/>
    <col min="6670" max="6671" width="8.7265625" style="614" customWidth="1"/>
    <col min="6672" max="6672" width="9.7265625" style="614" customWidth="1"/>
    <col min="6673" max="6674" width="10.26953125" style="614" customWidth="1"/>
    <col min="6675" max="6675" width="7.81640625" style="614" bestFit="1" customWidth="1"/>
    <col min="6676" max="6676" width="13.453125" style="614" customWidth="1"/>
    <col min="6677" max="6677" width="3.26953125" style="614" customWidth="1"/>
    <col min="6678" max="6678" width="17.1796875" style="614" customWidth="1"/>
    <col min="6679" max="6679" width="14.453125" style="614" bestFit="1" customWidth="1"/>
    <col min="6680" max="6680" width="10.26953125" style="614" customWidth="1"/>
    <col min="6681" max="6681" width="6" style="614" bestFit="1" customWidth="1"/>
    <col min="6682" max="6682" width="10.90625" style="614"/>
    <col min="6683" max="6684" width="14.453125" style="614" bestFit="1" customWidth="1"/>
    <col min="6685" max="6685" width="12.81640625" style="614" bestFit="1" customWidth="1"/>
    <col min="6686" max="6686" width="14.453125" style="614" bestFit="1" customWidth="1"/>
    <col min="6687" max="6907" width="10.90625" style="614"/>
    <col min="6908" max="6908" width="5.7265625" style="614" customWidth="1"/>
    <col min="6909" max="6909" width="35.1796875" style="614" customWidth="1"/>
    <col min="6910" max="6911" width="10.26953125" style="614" customWidth="1"/>
    <col min="6912" max="6912" width="7.453125" style="614" customWidth="1"/>
    <col min="6913" max="6914" width="10.26953125" style="614" customWidth="1"/>
    <col min="6915" max="6915" width="7" style="614" customWidth="1"/>
    <col min="6916" max="6916" width="1" style="614" customWidth="1"/>
    <col min="6917" max="6918" width="8.7265625" style="614" customWidth="1"/>
    <col min="6919" max="6919" width="7.453125" style="614" customWidth="1"/>
    <col min="6920" max="6921" width="8.7265625" style="614" customWidth="1"/>
    <col min="6922" max="6922" width="8.453125" style="614" bestFit="1" customWidth="1"/>
    <col min="6923" max="6923" width="10.26953125" style="614" customWidth="1"/>
    <col min="6924" max="6924" width="10" style="614" customWidth="1"/>
    <col min="6925" max="6925" width="5.26953125" style="614" bestFit="1" customWidth="1"/>
    <col min="6926" max="6927" width="8.7265625" style="614" customWidth="1"/>
    <col min="6928" max="6928" width="9.7265625" style="614" customWidth="1"/>
    <col min="6929" max="6930" width="10.26953125" style="614" customWidth="1"/>
    <col min="6931" max="6931" width="7.81640625" style="614" bestFit="1" customWidth="1"/>
    <col min="6932" max="6932" width="13.453125" style="614" customWidth="1"/>
    <col min="6933" max="6933" width="3.26953125" style="614" customWidth="1"/>
    <col min="6934" max="6934" width="17.1796875" style="614" customWidth="1"/>
    <col min="6935" max="6935" width="14.453125" style="614" bestFit="1" customWidth="1"/>
    <col min="6936" max="6936" width="10.26953125" style="614" customWidth="1"/>
    <col min="6937" max="6937" width="6" style="614" bestFit="1" customWidth="1"/>
    <col min="6938" max="6938" width="10.90625" style="614"/>
    <col min="6939" max="6940" width="14.453125" style="614" bestFit="1" customWidth="1"/>
    <col min="6941" max="6941" width="12.81640625" style="614" bestFit="1" customWidth="1"/>
    <col min="6942" max="6942" width="14.453125" style="614" bestFit="1" customWidth="1"/>
    <col min="6943" max="7163" width="10.90625" style="614"/>
    <col min="7164" max="7164" width="5.7265625" style="614" customWidth="1"/>
    <col min="7165" max="7165" width="35.1796875" style="614" customWidth="1"/>
    <col min="7166" max="7167" width="10.26953125" style="614" customWidth="1"/>
    <col min="7168" max="7168" width="7.453125" style="614" customWidth="1"/>
    <col min="7169" max="7170" width="10.26953125" style="614" customWidth="1"/>
    <col min="7171" max="7171" width="7" style="614" customWidth="1"/>
    <col min="7172" max="7172" width="1" style="614" customWidth="1"/>
    <col min="7173" max="7174" width="8.7265625" style="614" customWidth="1"/>
    <col min="7175" max="7175" width="7.453125" style="614" customWidth="1"/>
    <col min="7176" max="7177" width="8.7265625" style="614" customWidth="1"/>
    <col min="7178" max="7178" width="8.453125" style="614" bestFit="1" customWidth="1"/>
    <col min="7179" max="7179" width="10.26953125" style="614" customWidth="1"/>
    <col min="7180" max="7180" width="10" style="614" customWidth="1"/>
    <col min="7181" max="7181" width="5.26953125" style="614" bestFit="1" customWidth="1"/>
    <col min="7182" max="7183" width="8.7265625" style="614" customWidth="1"/>
    <col min="7184" max="7184" width="9.7265625" style="614" customWidth="1"/>
    <col min="7185" max="7186" width="10.26953125" style="614" customWidth="1"/>
    <col min="7187" max="7187" width="7.81640625" style="614" bestFit="1" customWidth="1"/>
    <col min="7188" max="7188" width="13.453125" style="614" customWidth="1"/>
    <col min="7189" max="7189" width="3.26953125" style="614" customWidth="1"/>
    <col min="7190" max="7190" width="17.1796875" style="614" customWidth="1"/>
    <col min="7191" max="7191" width="14.453125" style="614" bestFit="1" customWidth="1"/>
    <col min="7192" max="7192" width="10.26953125" style="614" customWidth="1"/>
    <col min="7193" max="7193" width="6" style="614" bestFit="1" customWidth="1"/>
    <col min="7194" max="7194" width="10.90625" style="614"/>
    <col min="7195" max="7196" width="14.453125" style="614" bestFit="1" customWidth="1"/>
    <col min="7197" max="7197" width="12.81640625" style="614" bestFit="1" customWidth="1"/>
    <col min="7198" max="7198" width="14.453125" style="614" bestFit="1" customWidth="1"/>
    <col min="7199" max="7419" width="10.90625" style="614"/>
    <col min="7420" max="7420" width="5.7265625" style="614" customWidth="1"/>
    <col min="7421" max="7421" width="35.1796875" style="614" customWidth="1"/>
    <col min="7422" max="7423" width="10.26953125" style="614" customWidth="1"/>
    <col min="7424" max="7424" width="7.453125" style="614" customWidth="1"/>
    <col min="7425" max="7426" width="10.26953125" style="614" customWidth="1"/>
    <col min="7427" max="7427" width="7" style="614" customWidth="1"/>
    <col min="7428" max="7428" width="1" style="614" customWidth="1"/>
    <col min="7429" max="7430" width="8.7265625" style="614" customWidth="1"/>
    <col min="7431" max="7431" width="7.453125" style="614" customWidth="1"/>
    <col min="7432" max="7433" width="8.7265625" style="614" customWidth="1"/>
    <col min="7434" max="7434" width="8.453125" style="614" bestFit="1" customWidth="1"/>
    <col min="7435" max="7435" width="10.26953125" style="614" customWidth="1"/>
    <col min="7436" max="7436" width="10" style="614" customWidth="1"/>
    <col min="7437" max="7437" width="5.26953125" style="614" bestFit="1" customWidth="1"/>
    <col min="7438" max="7439" width="8.7265625" style="614" customWidth="1"/>
    <col min="7440" max="7440" width="9.7265625" style="614" customWidth="1"/>
    <col min="7441" max="7442" width="10.26953125" style="614" customWidth="1"/>
    <col min="7443" max="7443" width="7.81640625" style="614" bestFit="1" customWidth="1"/>
    <col min="7444" max="7444" width="13.453125" style="614" customWidth="1"/>
    <col min="7445" max="7445" width="3.26953125" style="614" customWidth="1"/>
    <col min="7446" max="7446" width="17.1796875" style="614" customWidth="1"/>
    <col min="7447" max="7447" width="14.453125" style="614" bestFit="1" customWidth="1"/>
    <col min="7448" max="7448" width="10.26953125" style="614" customWidth="1"/>
    <col min="7449" max="7449" width="6" style="614" bestFit="1" customWidth="1"/>
    <col min="7450" max="7450" width="10.90625" style="614"/>
    <col min="7451" max="7452" width="14.453125" style="614" bestFit="1" customWidth="1"/>
    <col min="7453" max="7453" width="12.81640625" style="614" bestFit="1" customWidth="1"/>
    <col min="7454" max="7454" width="14.453125" style="614" bestFit="1" customWidth="1"/>
    <col min="7455" max="7675" width="10.90625" style="614"/>
    <col min="7676" max="7676" width="5.7265625" style="614" customWidth="1"/>
    <col min="7677" max="7677" width="35.1796875" style="614" customWidth="1"/>
    <col min="7678" max="7679" width="10.26953125" style="614" customWidth="1"/>
    <col min="7680" max="7680" width="7.453125" style="614" customWidth="1"/>
    <col min="7681" max="7682" width="10.26953125" style="614" customWidth="1"/>
    <col min="7683" max="7683" width="7" style="614" customWidth="1"/>
    <col min="7684" max="7684" width="1" style="614" customWidth="1"/>
    <col min="7685" max="7686" width="8.7265625" style="614" customWidth="1"/>
    <col min="7687" max="7687" width="7.453125" style="614" customWidth="1"/>
    <col min="7688" max="7689" width="8.7265625" style="614" customWidth="1"/>
    <col min="7690" max="7690" width="8.453125" style="614" bestFit="1" customWidth="1"/>
    <col min="7691" max="7691" width="10.26953125" style="614" customWidth="1"/>
    <col min="7692" max="7692" width="10" style="614" customWidth="1"/>
    <col min="7693" max="7693" width="5.26953125" style="614" bestFit="1" customWidth="1"/>
    <col min="7694" max="7695" width="8.7265625" style="614" customWidth="1"/>
    <col min="7696" max="7696" width="9.7265625" style="614" customWidth="1"/>
    <col min="7697" max="7698" width="10.26953125" style="614" customWidth="1"/>
    <col min="7699" max="7699" width="7.81640625" style="614" bestFit="1" customWidth="1"/>
    <col min="7700" max="7700" width="13.453125" style="614" customWidth="1"/>
    <col min="7701" max="7701" width="3.26953125" style="614" customWidth="1"/>
    <col min="7702" max="7702" width="17.1796875" style="614" customWidth="1"/>
    <col min="7703" max="7703" width="14.453125" style="614" bestFit="1" customWidth="1"/>
    <col min="7704" max="7704" width="10.26953125" style="614" customWidth="1"/>
    <col min="7705" max="7705" width="6" style="614" bestFit="1" customWidth="1"/>
    <col min="7706" max="7706" width="10.90625" style="614"/>
    <col min="7707" max="7708" width="14.453125" style="614" bestFit="1" customWidth="1"/>
    <col min="7709" max="7709" width="12.81640625" style="614" bestFit="1" customWidth="1"/>
    <col min="7710" max="7710" width="14.453125" style="614" bestFit="1" customWidth="1"/>
    <col min="7711" max="7931" width="10.90625" style="614"/>
    <col min="7932" max="7932" width="5.7265625" style="614" customWidth="1"/>
    <col min="7933" max="7933" width="35.1796875" style="614" customWidth="1"/>
    <col min="7934" max="7935" width="10.26953125" style="614" customWidth="1"/>
    <col min="7936" max="7936" width="7.453125" style="614" customWidth="1"/>
    <col min="7937" max="7938" width="10.26953125" style="614" customWidth="1"/>
    <col min="7939" max="7939" width="7" style="614" customWidth="1"/>
    <col min="7940" max="7940" width="1" style="614" customWidth="1"/>
    <col min="7941" max="7942" width="8.7265625" style="614" customWidth="1"/>
    <col min="7943" max="7943" width="7.453125" style="614" customWidth="1"/>
    <col min="7944" max="7945" width="8.7265625" style="614" customWidth="1"/>
    <col min="7946" max="7946" width="8.453125" style="614" bestFit="1" customWidth="1"/>
    <col min="7947" max="7947" width="10.26953125" style="614" customWidth="1"/>
    <col min="7948" max="7948" width="10" style="614" customWidth="1"/>
    <col min="7949" max="7949" width="5.26953125" style="614" bestFit="1" customWidth="1"/>
    <col min="7950" max="7951" width="8.7265625" style="614" customWidth="1"/>
    <col min="7952" max="7952" width="9.7265625" style="614" customWidth="1"/>
    <col min="7953" max="7954" width="10.26953125" style="614" customWidth="1"/>
    <col min="7955" max="7955" width="7.81640625" style="614" bestFit="1" customWidth="1"/>
    <col min="7956" max="7956" width="13.453125" style="614" customWidth="1"/>
    <col min="7957" max="7957" width="3.26953125" style="614" customWidth="1"/>
    <col min="7958" max="7958" width="17.1796875" style="614" customWidth="1"/>
    <col min="7959" max="7959" width="14.453125" style="614" bestFit="1" customWidth="1"/>
    <col min="7960" max="7960" width="10.26953125" style="614" customWidth="1"/>
    <col min="7961" max="7961" width="6" style="614" bestFit="1" customWidth="1"/>
    <col min="7962" max="7962" width="10.90625" style="614"/>
    <col min="7963" max="7964" width="14.453125" style="614" bestFit="1" customWidth="1"/>
    <col min="7965" max="7965" width="12.81640625" style="614" bestFit="1" customWidth="1"/>
    <col min="7966" max="7966" width="14.453125" style="614" bestFit="1" customWidth="1"/>
    <col min="7967" max="8187" width="10.90625" style="614"/>
    <col min="8188" max="8188" width="5.7265625" style="614" customWidth="1"/>
    <col min="8189" max="8189" width="35.1796875" style="614" customWidth="1"/>
    <col min="8190" max="8191" width="10.26953125" style="614" customWidth="1"/>
    <col min="8192" max="8192" width="7.453125" style="614" customWidth="1"/>
    <col min="8193" max="8194" width="10.26953125" style="614" customWidth="1"/>
    <col min="8195" max="8195" width="7" style="614" customWidth="1"/>
    <col min="8196" max="8196" width="1" style="614" customWidth="1"/>
    <col min="8197" max="8198" width="8.7265625" style="614" customWidth="1"/>
    <col min="8199" max="8199" width="7.453125" style="614" customWidth="1"/>
    <col min="8200" max="8201" width="8.7265625" style="614" customWidth="1"/>
    <col min="8202" max="8202" width="8.453125" style="614" bestFit="1" customWidth="1"/>
    <col min="8203" max="8203" width="10.26953125" style="614" customWidth="1"/>
    <col min="8204" max="8204" width="10" style="614" customWidth="1"/>
    <col min="8205" max="8205" width="5.26953125" style="614" bestFit="1" customWidth="1"/>
    <col min="8206" max="8207" width="8.7265625" style="614" customWidth="1"/>
    <col min="8208" max="8208" width="9.7265625" style="614" customWidth="1"/>
    <col min="8209" max="8210" width="10.26953125" style="614" customWidth="1"/>
    <col min="8211" max="8211" width="7.81640625" style="614" bestFit="1" customWidth="1"/>
    <col min="8212" max="8212" width="13.453125" style="614" customWidth="1"/>
    <col min="8213" max="8213" width="3.26953125" style="614" customWidth="1"/>
    <col min="8214" max="8214" width="17.1796875" style="614" customWidth="1"/>
    <col min="8215" max="8215" width="14.453125" style="614" bestFit="1" customWidth="1"/>
    <col min="8216" max="8216" width="10.26953125" style="614" customWidth="1"/>
    <col min="8217" max="8217" width="6" style="614" bestFit="1" customWidth="1"/>
    <col min="8218" max="8218" width="10.90625" style="614"/>
    <col min="8219" max="8220" width="14.453125" style="614" bestFit="1" customWidth="1"/>
    <col min="8221" max="8221" width="12.81640625" style="614" bestFit="1" customWidth="1"/>
    <col min="8222" max="8222" width="14.453125" style="614" bestFit="1" customWidth="1"/>
    <col min="8223" max="8443" width="10.90625" style="614"/>
    <col min="8444" max="8444" width="5.7265625" style="614" customWidth="1"/>
    <col min="8445" max="8445" width="35.1796875" style="614" customWidth="1"/>
    <col min="8446" max="8447" width="10.26953125" style="614" customWidth="1"/>
    <col min="8448" max="8448" width="7.453125" style="614" customWidth="1"/>
    <col min="8449" max="8450" width="10.26953125" style="614" customWidth="1"/>
    <col min="8451" max="8451" width="7" style="614" customWidth="1"/>
    <col min="8452" max="8452" width="1" style="614" customWidth="1"/>
    <col min="8453" max="8454" width="8.7265625" style="614" customWidth="1"/>
    <col min="8455" max="8455" width="7.453125" style="614" customWidth="1"/>
    <col min="8456" max="8457" width="8.7265625" style="614" customWidth="1"/>
    <col min="8458" max="8458" width="8.453125" style="614" bestFit="1" customWidth="1"/>
    <col min="8459" max="8459" width="10.26953125" style="614" customWidth="1"/>
    <col min="8460" max="8460" width="10" style="614" customWidth="1"/>
    <col min="8461" max="8461" width="5.26953125" style="614" bestFit="1" customWidth="1"/>
    <col min="8462" max="8463" width="8.7265625" style="614" customWidth="1"/>
    <col min="8464" max="8464" width="9.7265625" style="614" customWidth="1"/>
    <col min="8465" max="8466" width="10.26953125" style="614" customWidth="1"/>
    <col min="8467" max="8467" width="7.81640625" style="614" bestFit="1" customWidth="1"/>
    <col min="8468" max="8468" width="13.453125" style="614" customWidth="1"/>
    <col min="8469" max="8469" width="3.26953125" style="614" customWidth="1"/>
    <col min="8470" max="8470" width="17.1796875" style="614" customWidth="1"/>
    <col min="8471" max="8471" width="14.453125" style="614" bestFit="1" customWidth="1"/>
    <col min="8472" max="8472" width="10.26953125" style="614" customWidth="1"/>
    <col min="8473" max="8473" width="6" style="614" bestFit="1" customWidth="1"/>
    <col min="8474" max="8474" width="10.90625" style="614"/>
    <col min="8475" max="8476" width="14.453125" style="614" bestFit="1" customWidth="1"/>
    <col min="8477" max="8477" width="12.81640625" style="614" bestFit="1" customWidth="1"/>
    <col min="8478" max="8478" width="14.453125" style="614" bestFit="1" customWidth="1"/>
    <col min="8479" max="8699" width="10.90625" style="614"/>
    <col min="8700" max="8700" width="5.7265625" style="614" customWidth="1"/>
    <col min="8701" max="8701" width="35.1796875" style="614" customWidth="1"/>
    <col min="8702" max="8703" width="10.26953125" style="614" customWidth="1"/>
    <col min="8704" max="8704" width="7.453125" style="614" customWidth="1"/>
    <col min="8705" max="8706" width="10.26953125" style="614" customWidth="1"/>
    <col min="8707" max="8707" width="7" style="614" customWidth="1"/>
    <col min="8708" max="8708" width="1" style="614" customWidth="1"/>
    <col min="8709" max="8710" width="8.7265625" style="614" customWidth="1"/>
    <col min="8711" max="8711" width="7.453125" style="614" customWidth="1"/>
    <col min="8712" max="8713" width="8.7265625" style="614" customWidth="1"/>
    <col min="8714" max="8714" width="8.453125" style="614" bestFit="1" customWidth="1"/>
    <col min="8715" max="8715" width="10.26953125" style="614" customWidth="1"/>
    <col min="8716" max="8716" width="10" style="614" customWidth="1"/>
    <col min="8717" max="8717" width="5.26953125" style="614" bestFit="1" customWidth="1"/>
    <col min="8718" max="8719" width="8.7265625" style="614" customWidth="1"/>
    <col min="8720" max="8720" width="9.7265625" style="614" customWidth="1"/>
    <col min="8721" max="8722" width="10.26953125" style="614" customWidth="1"/>
    <col min="8723" max="8723" width="7.81640625" style="614" bestFit="1" customWidth="1"/>
    <col min="8724" max="8724" width="13.453125" style="614" customWidth="1"/>
    <col min="8725" max="8725" width="3.26953125" style="614" customWidth="1"/>
    <col min="8726" max="8726" width="17.1796875" style="614" customWidth="1"/>
    <col min="8727" max="8727" width="14.453125" style="614" bestFit="1" customWidth="1"/>
    <col min="8728" max="8728" width="10.26953125" style="614" customWidth="1"/>
    <col min="8729" max="8729" width="6" style="614" bestFit="1" customWidth="1"/>
    <col min="8730" max="8730" width="10.90625" style="614"/>
    <col min="8731" max="8732" width="14.453125" style="614" bestFit="1" customWidth="1"/>
    <col min="8733" max="8733" width="12.81640625" style="614" bestFit="1" customWidth="1"/>
    <col min="8734" max="8734" width="14.453125" style="614" bestFit="1" customWidth="1"/>
    <col min="8735" max="8955" width="10.90625" style="614"/>
    <col min="8956" max="8956" width="5.7265625" style="614" customWidth="1"/>
    <col min="8957" max="8957" width="35.1796875" style="614" customWidth="1"/>
    <col min="8958" max="8959" width="10.26953125" style="614" customWidth="1"/>
    <col min="8960" max="8960" width="7.453125" style="614" customWidth="1"/>
    <col min="8961" max="8962" width="10.26953125" style="614" customWidth="1"/>
    <col min="8963" max="8963" width="7" style="614" customWidth="1"/>
    <col min="8964" max="8964" width="1" style="614" customWidth="1"/>
    <col min="8965" max="8966" width="8.7265625" style="614" customWidth="1"/>
    <col min="8967" max="8967" width="7.453125" style="614" customWidth="1"/>
    <col min="8968" max="8969" width="8.7265625" style="614" customWidth="1"/>
    <col min="8970" max="8970" width="8.453125" style="614" bestFit="1" customWidth="1"/>
    <col min="8971" max="8971" width="10.26953125" style="614" customWidth="1"/>
    <col min="8972" max="8972" width="10" style="614" customWidth="1"/>
    <col min="8973" max="8973" width="5.26953125" style="614" bestFit="1" customWidth="1"/>
    <col min="8974" max="8975" width="8.7265625" style="614" customWidth="1"/>
    <col min="8976" max="8976" width="9.7265625" style="614" customWidth="1"/>
    <col min="8977" max="8978" width="10.26953125" style="614" customWidth="1"/>
    <col min="8979" max="8979" width="7.81640625" style="614" bestFit="1" customWidth="1"/>
    <col min="8980" max="8980" width="13.453125" style="614" customWidth="1"/>
    <col min="8981" max="8981" width="3.26953125" style="614" customWidth="1"/>
    <col min="8982" max="8982" width="17.1796875" style="614" customWidth="1"/>
    <col min="8983" max="8983" width="14.453125" style="614" bestFit="1" customWidth="1"/>
    <col min="8984" max="8984" width="10.26953125" style="614" customWidth="1"/>
    <col min="8985" max="8985" width="6" style="614" bestFit="1" customWidth="1"/>
    <col min="8986" max="8986" width="10.90625" style="614"/>
    <col min="8987" max="8988" width="14.453125" style="614" bestFit="1" customWidth="1"/>
    <col min="8989" max="8989" width="12.81640625" style="614" bestFit="1" customWidth="1"/>
    <col min="8990" max="8990" width="14.453125" style="614" bestFit="1" customWidth="1"/>
    <col min="8991" max="9211" width="10.90625" style="614"/>
    <col min="9212" max="9212" width="5.7265625" style="614" customWidth="1"/>
    <col min="9213" max="9213" width="35.1796875" style="614" customWidth="1"/>
    <col min="9214" max="9215" width="10.26953125" style="614" customWidth="1"/>
    <col min="9216" max="9216" width="7.453125" style="614" customWidth="1"/>
    <col min="9217" max="9218" width="10.26953125" style="614" customWidth="1"/>
    <col min="9219" max="9219" width="7" style="614" customWidth="1"/>
    <col min="9220" max="9220" width="1" style="614" customWidth="1"/>
    <col min="9221" max="9222" width="8.7265625" style="614" customWidth="1"/>
    <col min="9223" max="9223" width="7.453125" style="614" customWidth="1"/>
    <col min="9224" max="9225" width="8.7265625" style="614" customWidth="1"/>
    <col min="9226" max="9226" width="8.453125" style="614" bestFit="1" customWidth="1"/>
    <col min="9227" max="9227" width="10.26953125" style="614" customWidth="1"/>
    <col min="9228" max="9228" width="10" style="614" customWidth="1"/>
    <col min="9229" max="9229" width="5.26953125" style="614" bestFit="1" customWidth="1"/>
    <col min="9230" max="9231" width="8.7265625" style="614" customWidth="1"/>
    <col min="9232" max="9232" width="9.7265625" style="614" customWidth="1"/>
    <col min="9233" max="9234" width="10.26953125" style="614" customWidth="1"/>
    <col min="9235" max="9235" width="7.81640625" style="614" bestFit="1" customWidth="1"/>
    <col min="9236" max="9236" width="13.453125" style="614" customWidth="1"/>
    <col min="9237" max="9237" width="3.26953125" style="614" customWidth="1"/>
    <col min="9238" max="9238" width="17.1796875" style="614" customWidth="1"/>
    <col min="9239" max="9239" width="14.453125" style="614" bestFit="1" customWidth="1"/>
    <col min="9240" max="9240" width="10.26953125" style="614" customWidth="1"/>
    <col min="9241" max="9241" width="6" style="614" bestFit="1" customWidth="1"/>
    <col min="9242" max="9242" width="10.90625" style="614"/>
    <col min="9243" max="9244" width="14.453125" style="614" bestFit="1" customWidth="1"/>
    <col min="9245" max="9245" width="12.81640625" style="614" bestFit="1" customWidth="1"/>
    <col min="9246" max="9246" width="14.453125" style="614" bestFit="1" customWidth="1"/>
    <col min="9247" max="9467" width="10.90625" style="614"/>
    <col min="9468" max="9468" width="5.7265625" style="614" customWidth="1"/>
    <col min="9469" max="9469" width="35.1796875" style="614" customWidth="1"/>
    <col min="9470" max="9471" width="10.26953125" style="614" customWidth="1"/>
    <col min="9472" max="9472" width="7.453125" style="614" customWidth="1"/>
    <col min="9473" max="9474" width="10.26953125" style="614" customWidth="1"/>
    <col min="9475" max="9475" width="7" style="614" customWidth="1"/>
    <col min="9476" max="9476" width="1" style="614" customWidth="1"/>
    <col min="9477" max="9478" width="8.7265625" style="614" customWidth="1"/>
    <col min="9479" max="9479" width="7.453125" style="614" customWidth="1"/>
    <col min="9480" max="9481" width="8.7265625" style="614" customWidth="1"/>
    <col min="9482" max="9482" width="8.453125" style="614" bestFit="1" customWidth="1"/>
    <col min="9483" max="9483" width="10.26953125" style="614" customWidth="1"/>
    <col min="9484" max="9484" width="10" style="614" customWidth="1"/>
    <col min="9485" max="9485" width="5.26953125" style="614" bestFit="1" customWidth="1"/>
    <col min="9486" max="9487" width="8.7265625" style="614" customWidth="1"/>
    <col min="9488" max="9488" width="9.7265625" style="614" customWidth="1"/>
    <col min="9489" max="9490" width="10.26953125" style="614" customWidth="1"/>
    <col min="9491" max="9491" width="7.81640625" style="614" bestFit="1" customWidth="1"/>
    <col min="9492" max="9492" width="13.453125" style="614" customWidth="1"/>
    <col min="9493" max="9493" width="3.26953125" style="614" customWidth="1"/>
    <col min="9494" max="9494" width="17.1796875" style="614" customWidth="1"/>
    <col min="9495" max="9495" width="14.453125" style="614" bestFit="1" customWidth="1"/>
    <col min="9496" max="9496" width="10.26953125" style="614" customWidth="1"/>
    <col min="9497" max="9497" width="6" style="614" bestFit="1" customWidth="1"/>
    <col min="9498" max="9498" width="10.90625" style="614"/>
    <col min="9499" max="9500" width="14.453125" style="614" bestFit="1" customWidth="1"/>
    <col min="9501" max="9501" width="12.81640625" style="614" bestFit="1" customWidth="1"/>
    <col min="9502" max="9502" width="14.453125" style="614" bestFit="1" customWidth="1"/>
    <col min="9503" max="9723" width="10.90625" style="614"/>
    <col min="9724" max="9724" width="5.7265625" style="614" customWidth="1"/>
    <col min="9725" max="9725" width="35.1796875" style="614" customWidth="1"/>
    <col min="9726" max="9727" width="10.26953125" style="614" customWidth="1"/>
    <col min="9728" max="9728" width="7.453125" style="614" customWidth="1"/>
    <col min="9729" max="9730" width="10.26953125" style="614" customWidth="1"/>
    <col min="9731" max="9731" width="7" style="614" customWidth="1"/>
    <col min="9732" max="9732" width="1" style="614" customWidth="1"/>
    <col min="9733" max="9734" width="8.7265625" style="614" customWidth="1"/>
    <col min="9735" max="9735" width="7.453125" style="614" customWidth="1"/>
    <col min="9736" max="9737" width="8.7265625" style="614" customWidth="1"/>
    <col min="9738" max="9738" width="8.453125" style="614" bestFit="1" customWidth="1"/>
    <col min="9739" max="9739" width="10.26953125" style="614" customWidth="1"/>
    <col min="9740" max="9740" width="10" style="614" customWidth="1"/>
    <col min="9741" max="9741" width="5.26953125" style="614" bestFit="1" customWidth="1"/>
    <col min="9742" max="9743" width="8.7265625" style="614" customWidth="1"/>
    <col min="9744" max="9744" width="9.7265625" style="614" customWidth="1"/>
    <col min="9745" max="9746" width="10.26953125" style="614" customWidth="1"/>
    <col min="9747" max="9747" width="7.81640625" style="614" bestFit="1" customWidth="1"/>
    <col min="9748" max="9748" width="13.453125" style="614" customWidth="1"/>
    <col min="9749" max="9749" width="3.26953125" style="614" customWidth="1"/>
    <col min="9750" max="9750" width="17.1796875" style="614" customWidth="1"/>
    <col min="9751" max="9751" width="14.453125" style="614" bestFit="1" customWidth="1"/>
    <col min="9752" max="9752" width="10.26953125" style="614" customWidth="1"/>
    <col min="9753" max="9753" width="6" style="614" bestFit="1" customWidth="1"/>
    <col min="9754" max="9754" width="10.90625" style="614"/>
    <col min="9755" max="9756" width="14.453125" style="614" bestFit="1" customWidth="1"/>
    <col min="9757" max="9757" width="12.81640625" style="614" bestFit="1" customWidth="1"/>
    <col min="9758" max="9758" width="14.453125" style="614" bestFit="1" customWidth="1"/>
    <col min="9759" max="9979" width="10.90625" style="614"/>
    <col min="9980" max="9980" width="5.7265625" style="614" customWidth="1"/>
    <col min="9981" max="9981" width="35.1796875" style="614" customWidth="1"/>
    <col min="9982" max="9983" width="10.26953125" style="614" customWidth="1"/>
    <col min="9984" max="9984" width="7.453125" style="614" customWidth="1"/>
    <col min="9985" max="9986" width="10.26953125" style="614" customWidth="1"/>
    <col min="9987" max="9987" width="7" style="614" customWidth="1"/>
    <col min="9988" max="9988" width="1" style="614" customWidth="1"/>
    <col min="9989" max="9990" width="8.7265625" style="614" customWidth="1"/>
    <col min="9991" max="9991" width="7.453125" style="614" customWidth="1"/>
    <col min="9992" max="9993" width="8.7265625" style="614" customWidth="1"/>
    <col min="9994" max="9994" width="8.453125" style="614" bestFit="1" customWidth="1"/>
    <col min="9995" max="9995" width="10.26953125" style="614" customWidth="1"/>
    <col min="9996" max="9996" width="10" style="614" customWidth="1"/>
    <col min="9997" max="9997" width="5.26953125" style="614" bestFit="1" customWidth="1"/>
    <col min="9998" max="9999" width="8.7265625" style="614" customWidth="1"/>
    <col min="10000" max="10000" width="9.7265625" style="614" customWidth="1"/>
    <col min="10001" max="10002" width="10.26953125" style="614" customWidth="1"/>
    <col min="10003" max="10003" width="7.81640625" style="614" bestFit="1" customWidth="1"/>
    <col min="10004" max="10004" width="13.453125" style="614" customWidth="1"/>
    <col min="10005" max="10005" width="3.26953125" style="614" customWidth="1"/>
    <col min="10006" max="10006" width="17.1796875" style="614" customWidth="1"/>
    <col min="10007" max="10007" width="14.453125" style="614" bestFit="1" customWidth="1"/>
    <col min="10008" max="10008" width="10.26953125" style="614" customWidth="1"/>
    <col min="10009" max="10009" width="6" style="614" bestFit="1" customWidth="1"/>
    <col min="10010" max="10010" width="10.90625" style="614"/>
    <col min="10011" max="10012" width="14.453125" style="614" bestFit="1" customWidth="1"/>
    <col min="10013" max="10013" width="12.81640625" style="614" bestFit="1" customWidth="1"/>
    <col min="10014" max="10014" width="14.453125" style="614" bestFit="1" customWidth="1"/>
    <col min="10015" max="10235" width="10.90625" style="614"/>
    <col min="10236" max="10236" width="5.7265625" style="614" customWidth="1"/>
    <col min="10237" max="10237" width="35.1796875" style="614" customWidth="1"/>
    <col min="10238" max="10239" width="10.26953125" style="614" customWidth="1"/>
    <col min="10240" max="10240" width="7.453125" style="614" customWidth="1"/>
    <col min="10241" max="10242" width="10.26953125" style="614" customWidth="1"/>
    <col min="10243" max="10243" width="7" style="614" customWidth="1"/>
    <col min="10244" max="10244" width="1" style="614" customWidth="1"/>
    <col min="10245" max="10246" width="8.7265625" style="614" customWidth="1"/>
    <col min="10247" max="10247" width="7.453125" style="614" customWidth="1"/>
    <col min="10248" max="10249" width="8.7265625" style="614" customWidth="1"/>
    <col min="10250" max="10250" width="8.453125" style="614" bestFit="1" customWidth="1"/>
    <col min="10251" max="10251" width="10.26953125" style="614" customWidth="1"/>
    <col min="10252" max="10252" width="10" style="614" customWidth="1"/>
    <col min="10253" max="10253" width="5.26953125" style="614" bestFit="1" customWidth="1"/>
    <col min="10254" max="10255" width="8.7265625" style="614" customWidth="1"/>
    <col min="10256" max="10256" width="9.7265625" style="614" customWidth="1"/>
    <col min="10257" max="10258" width="10.26953125" style="614" customWidth="1"/>
    <col min="10259" max="10259" width="7.81640625" style="614" bestFit="1" customWidth="1"/>
    <col min="10260" max="10260" width="13.453125" style="614" customWidth="1"/>
    <col min="10261" max="10261" width="3.26953125" style="614" customWidth="1"/>
    <col min="10262" max="10262" width="17.1796875" style="614" customWidth="1"/>
    <col min="10263" max="10263" width="14.453125" style="614" bestFit="1" customWidth="1"/>
    <col min="10264" max="10264" width="10.26953125" style="614" customWidth="1"/>
    <col min="10265" max="10265" width="6" style="614" bestFit="1" customWidth="1"/>
    <col min="10266" max="10266" width="10.90625" style="614"/>
    <col min="10267" max="10268" width="14.453125" style="614" bestFit="1" customWidth="1"/>
    <col min="10269" max="10269" width="12.81640625" style="614" bestFit="1" customWidth="1"/>
    <col min="10270" max="10270" width="14.453125" style="614" bestFit="1" customWidth="1"/>
    <col min="10271" max="10491" width="10.90625" style="614"/>
    <col min="10492" max="10492" width="5.7265625" style="614" customWidth="1"/>
    <col min="10493" max="10493" width="35.1796875" style="614" customWidth="1"/>
    <col min="10494" max="10495" width="10.26953125" style="614" customWidth="1"/>
    <col min="10496" max="10496" width="7.453125" style="614" customWidth="1"/>
    <col min="10497" max="10498" width="10.26953125" style="614" customWidth="1"/>
    <col min="10499" max="10499" width="7" style="614" customWidth="1"/>
    <col min="10500" max="10500" width="1" style="614" customWidth="1"/>
    <col min="10501" max="10502" width="8.7265625" style="614" customWidth="1"/>
    <col min="10503" max="10503" width="7.453125" style="614" customWidth="1"/>
    <col min="10504" max="10505" width="8.7265625" style="614" customWidth="1"/>
    <col min="10506" max="10506" width="8.453125" style="614" bestFit="1" customWidth="1"/>
    <col min="10507" max="10507" width="10.26953125" style="614" customWidth="1"/>
    <col min="10508" max="10508" width="10" style="614" customWidth="1"/>
    <col min="10509" max="10509" width="5.26953125" style="614" bestFit="1" customWidth="1"/>
    <col min="10510" max="10511" width="8.7265625" style="614" customWidth="1"/>
    <col min="10512" max="10512" width="9.7265625" style="614" customWidth="1"/>
    <col min="10513" max="10514" width="10.26953125" style="614" customWidth="1"/>
    <col min="10515" max="10515" width="7.81640625" style="614" bestFit="1" customWidth="1"/>
    <col min="10516" max="10516" width="13.453125" style="614" customWidth="1"/>
    <col min="10517" max="10517" width="3.26953125" style="614" customWidth="1"/>
    <col min="10518" max="10518" width="17.1796875" style="614" customWidth="1"/>
    <col min="10519" max="10519" width="14.453125" style="614" bestFit="1" customWidth="1"/>
    <col min="10520" max="10520" width="10.26953125" style="614" customWidth="1"/>
    <col min="10521" max="10521" width="6" style="614" bestFit="1" customWidth="1"/>
    <col min="10522" max="10522" width="10.90625" style="614"/>
    <col min="10523" max="10524" width="14.453125" style="614" bestFit="1" customWidth="1"/>
    <col min="10525" max="10525" width="12.81640625" style="614" bestFit="1" customWidth="1"/>
    <col min="10526" max="10526" width="14.453125" style="614" bestFit="1" customWidth="1"/>
    <col min="10527" max="10747" width="10.90625" style="614"/>
    <col min="10748" max="10748" width="5.7265625" style="614" customWidth="1"/>
    <col min="10749" max="10749" width="35.1796875" style="614" customWidth="1"/>
    <col min="10750" max="10751" width="10.26953125" style="614" customWidth="1"/>
    <col min="10752" max="10752" width="7.453125" style="614" customWidth="1"/>
    <col min="10753" max="10754" width="10.26953125" style="614" customWidth="1"/>
    <col min="10755" max="10755" width="7" style="614" customWidth="1"/>
    <col min="10756" max="10756" width="1" style="614" customWidth="1"/>
    <col min="10757" max="10758" width="8.7265625" style="614" customWidth="1"/>
    <col min="10759" max="10759" width="7.453125" style="614" customWidth="1"/>
    <col min="10760" max="10761" width="8.7265625" style="614" customWidth="1"/>
    <col min="10762" max="10762" width="8.453125" style="614" bestFit="1" customWidth="1"/>
    <col min="10763" max="10763" width="10.26953125" style="614" customWidth="1"/>
    <col min="10764" max="10764" width="10" style="614" customWidth="1"/>
    <col min="10765" max="10765" width="5.26953125" style="614" bestFit="1" customWidth="1"/>
    <col min="10766" max="10767" width="8.7265625" style="614" customWidth="1"/>
    <col min="10768" max="10768" width="9.7265625" style="614" customWidth="1"/>
    <col min="10769" max="10770" width="10.26953125" style="614" customWidth="1"/>
    <col min="10771" max="10771" width="7.81640625" style="614" bestFit="1" customWidth="1"/>
    <col min="10772" max="10772" width="13.453125" style="614" customWidth="1"/>
    <col min="10773" max="10773" width="3.26953125" style="614" customWidth="1"/>
    <col min="10774" max="10774" width="17.1796875" style="614" customWidth="1"/>
    <col min="10775" max="10775" width="14.453125" style="614" bestFit="1" customWidth="1"/>
    <col min="10776" max="10776" width="10.26953125" style="614" customWidth="1"/>
    <col min="10777" max="10777" width="6" style="614" bestFit="1" customWidth="1"/>
    <col min="10778" max="10778" width="10.90625" style="614"/>
    <col min="10779" max="10780" width="14.453125" style="614" bestFit="1" customWidth="1"/>
    <col min="10781" max="10781" width="12.81640625" style="614" bestFit="1" customWidth="1"/>
    <col min="10782" max="10782" width="14.453125" style="614" bestFit="1" customWidth="1"/>
    <col min="10783" max="11003" width="10.90625" style="614"/>
    <col min="11004" max="11004" width="5.7265625" style="614" customWidth="1"/>
    <col min="11005" max="11005" width="35.1796875" style="614" customWidth="1"/>
    <col min="11006" max="11007" width="10.26953125" style="614" customWidth="1"/>
    <col min="11008" max="11008" width="7.453125" style="614" customWidth="1"/>
    <col min="11009" max="11010" width="10.26953125" style="614" customWidth="1"/>
    <col min="11011" max="11011" width="7" style="614" customWidth="1"/>
    <col min="11012" max="11012" width="1" style="614" customWidth="1"/>
    <col min="11013" max="11014" width="8.7265625" style="614" customWidth="1"/>
    <col min="11015" max="11015" width="7.453125" style="614" customWidth="1"/>
    <col min="11016" max="11017" width="8.7265625" style="614" customWidth="1"/>
    <col min="11018" max="11018" width="8.453125" style="614" bestFit="1" customWidth="1"/>
    <col min="11019" max="11019" width="10.26953125" style="614" customWidth="1"/>
    <col min="11020" max="11020" width="10" style="614" customWidth="1"/>
    <col min="11021" max="11021" width="5.26953125" style="614" bestFit="1" customWidth="1"/>
    <col min="11022" max="11023" width="8.7265625" style="614" customWidth="1"/>
    <col min="11024" max="11024" width="9.7265625" style="614" customWidth="1"/>
    <col min="11025" max="11026" width="10.26953125" style="614" customWidth="1"/>
    <col min="11027" max="11027" width="7.81640625" style="614" bestFit="1" customWidth="1"/>
    <col min="11028" max="11028" width="13.453125" style="614" customWidth="1"/>
    <col min="11029" max="11029" width="3.26953125" style="614" customWidth="1"/>
    <col min="11030" max="11030" width="17.1796875" style="614" customWidth="1"/>
    <col min="11031" max="11031" width="14.453125" style="614" bestFit="1" customWidth="1"/>
    <col min="11032" max="11032" width="10.26953125" style="614" customWidth="1"/>
    <col min="11033" max="11033" width="6" style="614" bestFit="1" customWidth="1"/>
    <col min="11034" max="11034" width="10.90625" style="614"/>
    <col min="11035" max="11036" width="14.453125" style="614" bestFit="1" customWidth="1"/>
    <col min="11037" max="11037" width="12.81640625" style="614" bestFit="1" customWidth="1"/>
    <col min="11038" max="11038" width="14.453125" style="614" bestFit="1" customWidth="1"/>
    <col min="11039" max="11259" width="10.90625" style="614"/>
    <col min="11260" max="11260" width="5.7265625" style="614" customWidth="1"/>
    <col min="11261" max="11261" width="35.1796875" style="614" customWidth="1"/>
    <col min="11262" max="11263" width="10.26953125" style="614" customWidth="1"/>
    <col min="11264" max="11264" width="7.453125" style="614" customWidth="1"/>
    <col min="11265" max="11266" width="10.26953125" style="614" customWidth="1"/>
    <col min="11267" max="11267" width="7" style="614" customWidth="1"/>
    <col min="11268" max="11268" width="1" style="614" customWidth="1"/>
    <col min="11269" max="11270" width="8.7265625" style="614" customWidth="1"/>
    <col min="11271" max="11271" width="7.453125" style="614" customWidth="1"/>
    <col min="11272" max="11273" width="8.7265625" style="614" customWidth="1"/>
    <col min="11274" max="11274" width="8.453125" style="614" bestFit="1" customWidth="1"/>
    <col min="11275" max="11275" width="10.26953125" style="614" customWidth="1"/>
    <col min="11276" max="11276" width="10" style="614" customWidth="1"/>
    <col min="11277" max="11277" width="5.26953125" style="614" bestFit="1" customWidth="1"/>
    <col min="11278" max="11279" width="8.7265625" style="614" customWidth="1"/>
    <col min="11280" max="11280" width="9.7265625" style="614" customWidth="1"/>
    <col min="11281" max="11282" width="10.26953125" style="614" customWidth="1"/>
    <col min="11283" max="11283" width="7.81640625" style="614" bestFit="1" customWidth="1"/>
    <col min="11284" max="11284" width="13.453125" style="614" customWidth="1"/>
    <col min="11285" max="11285" width="3.26953125" style="614" customWidth="1"/>
    <col min="11286" max="11286" width="17.1796875" style="614" customWidth="1"/>
    <col min="11287" max="11287" width="14.453125" style="614" bestFit="1" customWidth="1"/>
    <col min="11288" max="11288" width="10.26953125" style="614" customWidth="1"/>
    <col min="11289" max="11289" width="6" style="614" bestFit="1" customWidth="1"/>
    <col min="11290" max="11290" width="10.90625" style="614"/>
    <col min="11291" max="11292" width="14.453125" style="614" bestFit="1" customWidth="1"/>
    <col min="11293" max="11293" width="12.81640625" style="614" bestFit="1" customWidth="1"/>
    <col min="11294" max="11294" width="14.453125" style="614" bestFit="1" customWidth="1"/>
    <col min="11295" max="11515" width="10.90625" style="614"/>
    <col min="11516" max="11516" width="5.7265625" style="614" customWidth="1"/>
    <col min="11517" max="11517" width="35.1796875" style="614" customWidth="1"/>
    <col min="11518" max="11519" width="10.26953125" style="614" customWidth="1"/>
    <col min="11520" max="11520" width="7.453125" style="614" customWidth="1"/>
    <col min="11521" max="11522" width="10.26953125" style="614" customWidth="1"/>
    <col min="11523" max="11523" width="7" style="614" customWidth="1"/>
    <col min="11524" max="11524" width="1" style="614" customWidth="1"/>
    <col min="11525" max="11526" width="8.7265625" style="614" customWidth="1"/>
    <col min="11527" max="11527" width="7.453125" style="614" customWidth="1"/>
    <col min="11528" max="11529" width="8.7265625" style="614" customWidth="1"/>
    <col min="11530" max="11530" width="8.453125" style="614" bestFit="1" customWidth="1"/>
    <col min="11531" max="11531" width="10.26953125" style="614" customWidth="1"/>
    <col min="11532" max="11532" width="10" style="614" customWidth="1"/>
    <col min="11533" max="11533" width="5.26953125" style="614" bestFit="1" customWidth="1"/>
    <col min="11534" max="11535" width="8.7265625" style="614" customWidth="1"/>
    <col min="11536" max="11536" width="9.7265625" style="614" customWidth="1"/>
    <col min="11537" max="11538" width="10.26953125" style="614" customWidth="1"/>
    <col min="11539" max="11539" width="7.81640625" style="614" bestFit="1" customWidth="1"/>
    <col min="11540" max="11540" width="13.453125" style="614" customWidth="1"/>
    <col min="11541" max="11541" width="3.26953125" style="614" customWidth="1"/>
    <col min="11542" max="11542" width="17.1796875" style="614" customWidth="1"/>
    <col min="11543" max="11543" width="14.453125" style="614" bestFit="1" customWidth="1"/>
    <col min="11544" max="11544" width="10.26953125" style="614" customWidth="1"/>
    <col min="11545" max="11545" width="6" style="614" bestFit="1" customWidth="1"/>
    <col min="11546" max="11546" width="10.90625" style="614"/>
    <col min="11547" max="11548" width="14.453125" style="614" bestFit="1" customWidth="1"/>
    <col min="11549" max="11549" width="12.81640625" style="614" bestFit="1" customWidth="1"/>
    <col min="11550" max="11550" width="14.453125" style="614" bestFit="1" customWidth="1"/>
    <col min="11551" max="11771" width="10.90625" style="614"/>
    <col min="11772" max="11772" width="5.7265625" style="614" customWidth="1"/>
    <col min="11773" max="11773" width="35.1796875" style="614" customWidth="1"/>
    <col min="11774" max="11775" width="10.26953125" style="614" customWidth="1"/>
    <col min="11776" max="11776" width="7.453125" style="614" customWidth="1"/>
    <col min="11777" max="11778" width="10.26953125" style="614" customWidth="1"/>
    <col min="11779" max="11779" width="7" style="614" customWidth="1"/>
    <col min="11780" max="11780" width="1" style="614" customWidth="1"/>
    <col min="11781" max="11782" width="8.7265625" style="614" customWidth="1"/>
    <col min="11783" max="11783" width="7.453125" style="614" customWidth="1"/>
    <col min="11784" max="11785" width="8.7265625" style="614" customWidth="1"/>
    <col min="11786" max="11786" width="8.453125" style="614" bestFit="1" customWidth="1"/>
    <col min="11787" max="11787" width="10.26953125" style="614" customWidth="1"/>
    <col min="11788" max="11788" width="10" style="614" customWidth="1"/>
    <col min="11789" max="11789" width="5.26953125" style="614" bestFit="1" customWidth="1"/>
    <col min="11790" max="11791" width="8.7265625" style="614" customWidth="1"/>
    <col min="11792" max="11792" width="9.7265625" style="614" customWidth="1"/>
    <col min="11793" max="11794" width="10.26953125" style="614" customWidth="1"/>
    <col min="11795" max="11795" width="7.81640625" style="614" bestFit="1" customWidth="1"/>
    <col min="11796" max="11796" width="13.453125" style="614" customWidth="1"/>
    <col min="11797" max="11797" width="3.26953125" style="614" customWidth="1"/>
    <col min="11798" max="11798" width="17.1796875" style="614" customWidth="1"/>
    <col min="11799" max="11799" width="14.453125" style="614" bestFit="1" customWidth="1"/>
    <col min="11800" max="11800" width="10.26953125" style="614" customWidth="1"/>
    <col min="11801" max="11801" width="6" style="614" bestFit="1" customWidth="1"/>
    <col min="11802" max="11802" width="10.90625" style="614"/>
    <col min="11803" max="11804" width="14.453125" style="614" bestFit="1" customWidth="1"/>
    <col min="11805" max="11805" width="12.81640625" style="614" bestFit="1" customWidth="1"/>
    <col min="11806" max="11806" width="14.453125" style="614" bestFit="1" customWidth="1"/>
    <col min="11807" max="12027" width="10.90625" style="614"/>
    <col min="12028" max="12028" width="5.7265625" style="614" customWidth="1"/>
    <col min="12029" max="12029" width="35.1796875" style="614" customWidth="1"/>
    <col min="12030" max="12031" width="10.26953125" style="614" customWidth="1"/>
    <col min="12032" max="12032" width="7.453125" style="614" customWidth="1"/>
    <col min="12033" max="12034" width="10.26953125" style="614" customWidth="1"/>
    <col min="12035" max="12035" width="7" style="614" customWidth="1"/>
    <col min="12036" max="12036" width="1" style="614" customWidth="1"/>
    <col min="12037" max="12038" width="8.7265625" style="614" customWidth="1"/>
    <col min="12039" max="12039" width="7.453125" style="614" customWidth="1"/>
    <col min="12040" max="12041" width="8.7265625" style="614" customWidth="1"/>
    <col min="12042" max="12042" width="8.453125" style="614" bestFit="1" customWidth="1"/>
    <col min="12043" max="12043" width="10.26953125" style="614" customWidth="1"/>
    <col min="12044" max="12044" width="10" style="614" customWidth="1"/>
    <col min="12045" max="12045" width="5.26953125" style="614" bestFit="1" customWidth="1"/>
    <col min="12046" max="12047" width="8.7265625" style="614" customWidth="1"/>
    <col min="12048" max="12048" width="9.7265625" style="614" customWidth="1"/>
    <col min="12049" max="12050" width="10.26953125" style="614" customWidth="1"/>
    <col min="12051" max="12051" width="7.81640625" style="614" bestFit="1" customWidth="1"/>
    <col min="12052" max="12052" width="13.453125" style="614" customWidth="1"/>
    <col min="12053" max="12053" width="3.26953125" style="614" customWidth="1"/>
    <col min="12054" max="12054" width="17.1796875" style="614" customWidth="1"/>
    <col min="12055" max="12055" width="14.453125" style="614" bestFit="1" customWidth="1"/>
    <col min="12056" max="12056" width="10.26953125" style="614" customWidth="1"/>
    <col min="12057" max="12057" width="6" style="614" bestFit="1" customWidth="1"/>
    <col min="12058" max="12058" width="10.90625" style="614"/>
    <col min="12059" max="12060" width="14.453125" style="614" bestFit="1" customWidth="1"/>
    <col min="12061" max="12061" width="12.81640625" style="614" bestFit="1" customWidth="1"/>
    <col min="12062" max="12062" width="14.453125" style="614" bestFit="1" customWidth="1"/>
    <col min="12063" max="12283" width="10.90625" style="614"/>
    <col min="12284" max="12284" width="5.7265625" style="614" customWidth="1"/>
    <col min="12285" max="12285" width="35.1796875" style="614" customWidth="1"/>
    <col min="12286" max="12287" width="10.26953125" style="614" customWidth="1"/>
    <col min="12288" max="12288" width="7.453125" style="614" customWidth="1"/>
    <col min="12289" max="12290" width="10.26953125" style="614" customWidth="1"/>
    <col min="12291" max="12291" width="7" style="614" customWidth="1"/>
    <col min="12292" max="12292" width="1" style="614" customWidth="1"/>
    <col min="12293" max="12294" width="8.7265625" style="614" customWidth="1"/>
    <col min="12295" max="12295" width="7.453125" style="614" customWidth="1"/>
    <col min="12296" max="12297" width="8.7265625" style="614" customWidth="1"/>
    <col min="12298" max="12298" width="8.453125" style="614" bestFit="1" customWidth="1"/>
    <col min="12299" max="12299" width="10.26953125" style="614" customWidth="1"/>
    <col min="12300" max="12300" width="10" style="614" customWidth="1"/>
    <col min="12301" max="12301" width="5.26953125" style="614" bestFit="1" customWidth="1"/>
    <col min="12302" max="12303" width="8.7265625" style="614" customWidth="1"/>
    <col min="12304" max="12304" width="9.7265625" style="614" customWidth="1"/>
    <col min="12305" max="12306" width="10.26953125" style="614" customWidth="1"/>
    <col min="12307" max="12307" width="7.81640625" style="614" bestFit="1" customWidth="1"/>
    <col min="12308" max="12308" width="13.453125" style="614" customWidth="1"/>
    <col min="12309" max="12309" width="3.26953125" style="614" customWidth="1"/>
    <col min="12310" max="12310" width="17.1796875" style="614" customWidth="1"/>
    <col min="12311" max="12311" width="14.453125" style="614" bestFit="1" customWidth="1"/>
    <col min="12312" max="12312" width="10.26953125" style="614" customWidth="1"/>
    <col min="12313" max="12313" width="6" style="614" bestFit="1" customWidth="1"/>
    <col min="12314" max="12314" width="10.90625" style="614"/>
    <col min="12315" max="12316" width="14.453125" style="614" bestFit="1" customWidth="1"/>
    <col min="12317" max="12317" width="12.81640625" style="614" bestFit="1" customWidth="1"/>
    <col min="12318" max="12318" width="14.453125" style="614" bestFit="1" customWidth="1"/>
    <col min="12319" max="12539" width="10.90625" style="614"/>
    <col min="12540" max="12540" width="5.7265625" style="614" customWidth="1"/>
    <col min="12541" max="12541" width="35.1796875" style="614" customWidth="1"/>
    <col min="12542" max="12543" width="10.26953125" style="614" customWidth="1"/>
    <col min="12544" max="12544" width="7.453125" style="614" customWidth="1"/>
    <col min="12545" max="12546" width="10.26953125" style="614" customWidth="1"/>
    <col min="12547" max="12547" width="7" style="614" customWidth="1"/>
    <col min="12548" max="12548" width="1" style="614" customWidth="1"/>
    <col min="12549" max="12550" width="8.7265625" style="614" customWidth="1"/>
    <col min="12551" max="12551" width="7.453125" style="614" customWidth="1"/>
    <col min="12552" max="12553" width="8.7265625" style="614" customWidth="1"/>
    <col min="12554" max="12554" width="8.453125" style="614" bestFit="1" customWidth="1"/>
    <col min="12555" max="12555" width="10.26953125" style="614" customWidth="1"/>
    <col min="12556" max="12556" width="10" style="614" customWidth="1"/>
    <col min="12557" max="12557" width="5.26953125" style="614" bestFit="1" customWidth="1"/>
    <col min="12558" max="12559" width="8.7265625" style="614" customWidth="1"/>
    <col min="12560" max="12560" width="9.7265625" style="614" customWidth="1"/>
    <col min="12561" max="12562" width="10.26953125" style="614" customWidth="1"/>
    <col min="12563" max="12563" width="7.81640625" style="614" bestFit="1" customWidth="1"/>
    <col min="12564" max="12564" width="13.453125" style="614" customWidth="1"/>
    <col min="12565" max="12565" width="3.26953125" style="614" customWidth="1"/>
    <col min="12566" max="12566" width="17.1796875" style="614" customWidth="1"/>
    <col min="12567" max="12567" width="14.453125" style="614" bestFit="1" customWidth="1"/>
    <col min="12568" max="12568" width="10.26953125" style="614" customWidth="1"/>
    <col min="12569" max="12569" width="6" style="614" bestFit="1" customWidth="1"/>
    <col min="12570" max="12570" width="10.90625" style="614"/>
    <col min="12571" max="12572" width="14.453125" style="614" bestFit="1" customWidth="1"/>
    <col min="12573" max="12573" width="12.81640625" style="614" bestFit="1" customWidth="1"/>
    <col min="12574" max="12574" width="14.453125" style="614" bestFit="1" customWidth="1"/>
    <col min="12575" max="12795" width="10.90625" style="614"/>
    <col min="12796" max="12796" width="5.7265625" style="614" customWidth="1"/>
    <col min="12797" max="12797" width="35.1796875" style="614" customWidth="1"/>
    <col min="12798" max="12799" width="10.26953125" style="614" customWidth="1"/>
    <col min="12800" max="12800" width="7.453125" style="614" customWidth="1"/>
    <col min="12801" max="12802" width="10.26953125" style="614" customWidth="1"/>
    <col min="12803" max="12803" width="7" style="614" customWidth="1"/>
    <col min="12804" max="12804" width="1" style="614" customWidth="1"/>
    <col min="12805" max="12806" width="8.7265625" style="614" customWidth="1"/>
    <col min="12807" max="12807" width="7.453125" style="614" customWidth="1"/>
    <col min="12808" max="12809" width="8.7265625" style="614" customWidth="1"/>
    <col min="12810" max="12810" width="8.453125" style="614" bestFit="1" customWidth="1"/>
    <col min="12811" max="12811" width="10.26953125" style="614" customWidth="1"/>
    <col min="12812" max="12812" width="10" style="614" customWidth="1"/>
    <col min="12813" max="12813" width="5.26953125" style="614" bestFit="1" customWidth="1"/>
    <col min="12814" max="12815" width="8.7265625" style="614" customWidth="1"/>
    <col min="12816" max="12816" width="9.7265625" style="614" customWidth="1"/>
    <col min="12817" max="12818" width="10.26953125" style="614" customWidth="1"/>
    <col min="12819" max="12819" width="7.81640625" style="614" bestFit="1" customWidth="1"/>
    <col min="12820" max="12820" width="13.453125" style="614" customWidth="1"/>
    <col min="12821" max="12821" width="3.26953125" style="614" customWidth="1"/>
    <col min="12822" max="12822" width="17.1796875" style="614" customWidth="1"/>
    <col min="12823" max="12823" width="14.453125" style="614" bestFit="1" customWidth="1"/>
    <col min="12824" max="12824" width="10.26953125" style="614" customWidth="1"/>
    <col min="12825" max="12825" width="6" style="614" bestFit="1" customWidth="1"/>
    <col min="12826" max="12826" width="10.90625" style="614"/>
    <col min="12827" max="12828" width="14.453125" style="614" bestFit="1" customWidth="1"/>
    <col min="12829" max="12829" width="12.81640625" style="614" bestFit="1" customWidth="1"/>
    <col min="12830" max="12830" width="14.453125" style="614" bestFit="1" customWidth="1"/>
    <col min="12831" max="13051" width="10.90625" style="614"/>
    <col min="13052" max="13052" width="5.7265625" style="614" customWidth="1"/>
    <col min="13053" max="13053" width="35.1796875" style="614" customWidth="1"/>
    <col min="13054" max="13055" width="10.26953125" style="614" customWidth="1"/>
    <col min="13056" max="13056" width="7.453125" style="614" customWidth="1"/>
    <col min="13057" max="13058" width="10.26953125" style="614" customWidth="1"/>
    <col min="13059" max="13059" width="7" style="614" customWidth="1"/>
    <col min="13060" max="13060" width="1" style="614" customWidth="1"/>
    <col min="13061" max="13062" width="8.7265625" style="614" customWidth="1"/>
    <col min="13063" max="13063" width="7.453125" style="614" customWidth="1"/>
    <col min="13064" max="13065" width="8.7265625" style="614" customWidth="1"/>
    <col min="13066" max="13066" width="8.453125" style="614" bestFit="1" customWidth="1"/>
    <col min="13067" max="13067" width="10.26953125" style="614" customWidth="1"/>
    <col min="13068" max="13068" width="10" style="614" customWidth="1"/>
    <col min="13069" max="13069" width="5.26953125" style="614" bestFit="1" customWidth="1"/>
    <col min="13070" max="13071" width="8.7265625" style="614" customWidth="1"/>
    <col min="13072" max="13072" width="9.7265625" style="614" customWidth="1"/>
    <col min="13073" max="13074" width="10.26953125" style="614" customWidth="1"/>
    <col min="13075" max="13075" width="7.81640625" style="614" bestFit="1" customWidth="1"/>
    <col min="13076" max="13076" width="13.453125" style="614" customWidth="1"/>
    <col min="13077" max="13077" width="3.26953125" style="614" customWidth="1"/>
    <col min="13078" max="13078" width="17.1796875" style="614" customWidth="1"/>
    <col min="13079" max="13079" width="14.453125" style="614" bestFit="1" customWidth="1"/>
    <col min="13080" max="13080" width="10.26953125" style="614" customWidth="1"/>
    <col min="13081" max="13081" width="6" style="614" bestFit="1" customWidth="1"/>
    <col min="13082" max="13082" width="10.90625" style="614"/>
    <col min="13083" max="13084" width="14.453125" style="614" bestFit="1" customWidth="1"/>
    <col min="13085" max="13085" width="12.81640625" style="614" bestFit="1" customWidth="1"/>
    <col min="13086" max="13086" width="14.453125" style="614" bestFit="1" customWidth="1"/>
    <col min="13087" max="13307" width="10.90625" style="614"/>
    <col min="13308" max="13308" width="5.7265625" style="614" customWidth="1"/>
    <col min="13309" max="13309" width="35.1796875" style="614" customWidth="1"/>
    <col min="13310" max="13311" width="10.26953125" style="614" customWidth="1"/>
    <col min="13312" max="13312" width="7.453125" style="614" customWidth="1"/>
    <col min="13313" max="13314" width="10.26953125" style="614" customWidth="1"/>
    <col min="13315" max="13315" width="7" style="614" customWidth="1"/>
    <col min="13316" max="13316" width="1" style="614" customWidth="1"/>
    <col min="13317" max="13318" width="8.7265625" style="614" customWidth="1"/>
    <col min="13319" max="13319" width="7.453125" style="614" customWidth="1"/>
    <col min="13320" max="13321" width="8.7265625" style="614" customWidth="1"/>
    <col min="13322" max="13322" width="8.453125" style="614" bestFit="1" customWidth="1"/>
    <col min="13323" max="13323" width="10.26953125" style="614" customWidth="1"/>
    <col min="13324" max="13324" width="10" style="614" customWidth="1"/>
    <col min="13325" max="13325" width="5.26953125" style="614" bestFit="1" customWidth="1"/>
    <col min="13326" max="13327" width="8.7265625" style="614" customWidth="1"/>
    <col min="13328" max="13328" width="9.7265625" style="614" customWidth="1"/>
    <col min="13329" max="13330" width="10.26953125" style="614" customWidth="1"/>
    <col min="13331" max="13331" width="7.81640625" style="614" bestFit="1" customWidth="1"/>
    <col min="13332" max="13332" width="13.453125" style="614" customWidth="1"/>
    <col min="13333" max="13333" width="3.26953125" style="614" customWidth="1"/>
    <col min="13334" max="13334" width="17.1796875" style="614" customWidth="1"/>
    <col min="13335" max="13335" width="14.453125" style="614" bestFit="1" customWidth="1"/>
    <col min="13336" max="13336" width="10.26953125" style="614" customWidth="1"/>
    <col min="13337" max="13337" width="6" style="614" bestFit="1" customWidth="1"/>
    <col min="13338" max="13338" width="10.90625" style="614"/>
    <col min="13339" max="13340" width="14.453125" style="614" bestFit="1" customWidth="1"/>
    <col min="13341" max="13341" width="12.81640625" style="614" bestFit="1" customWidth="1"/>
    <col min="13342" max="13342" width="14.453125" style="614" bestFit="1" customWidth="1"/>
    <col min="13343" max="13563" width="10.90625" style="614"/>
    <col min="13564" max="13564" width="5.7265625" style="614" customWidth="1"/>
    <col min="13565" max="13565" width="35.1796875" style="614" customWidth="1"/>
    <col min="13566" max="13567" width="10.26953125" style="614" customWidth="1"/>
    <col min="13568" max="13568" width="7.453125" style="614" customWidth="1"/>
    <col min="13569" max="13570" width="10.26953125" style="614" customWidth="1"/>
    <col min="13571" max="13571" width="7" style="614" customWidth="1"/>
    <col min="13572" max="13572" width="1" style="614" customWidth="1"/>
    <col min="13573" max="13574" width="8.7265625" style="614" customWidth="1"/>
    <col min="13575" max="13575" width="7.453125" style="614" customWidth="1"/>
    <col min="13576" max="13577" width="8.7265625" style="614" customWidth="1"/>
    <col min="13578" max="13578" width="8.453125" style="614" bestFit="1" customWidth="1"/>
    <col min="13579" max="13579" width="10.26953125" style="614" customWidth="1"/>
    <col min="13580" max="13580" width="10" style="614" customWidth="1"/>
    <col min="13581" max="13581" width="5.26953125" style="614" bestFit="1" customWidth="1"/>
    <col min="13582" max="13583" width="8.7265625" style="614" customWidth="1"/>
    <col min="13584" max="13584" width="9.7265625" style="614" customWidth="1"/>
    <col min="13585" max="13586" width="10.26953125" style="614" customWidth="1"/>
    <col min="13587" max="13587" width="7.81640625" style="614" bestFit="1" customWidth="1"/>
    <col min="13588" max="13588" width="13.453125" style="614" customWidth="1"/>
    <col min="13589" max="13589" width="3.26953125" style="614" customWidth="1"/>
    <col min="13590" max="13590" width="17.1796875" style="614" customWidth="1"/>
    <col min="13591" max="13591" width="14.453125" style="614" bestFit="1" customWidth="1"/>
    <col min="13592" max="13592" width="10.26953125" style="614" customWidth="1"/>
    <col min="13593" max="13593" width="6" style="614" bestFit="1" customWidth="1"/>
    <col min="13594" max="13594" width="10.90625" style="614"/>
    <col min="13595" max="13596" width="14.453125" style="614" bestFit="1" customWidth="1"/>
    <col min="13597" max="13597" width="12.81640625" style="614" bestFit="1" customWidth="1"/>
    <col min="13598" max="13598" width="14.453125" style="614" bestFit="1" customWidth="1"/>
    <col min="13599" max="13819" width="10.90625" style="614"/>
    <col min="13820" max="13820" width="5.7265625" style="614" customWidth="1"/>
    <col min="13821" max="13821" width="35.1796875" style="614" customWidth="1"/>
    <col min="13822" max="13823" width="10.26953125" style="614" customWidth="1"/>
    <col min="13824" max="13824" width="7.453125" style="614" customWidth="1"/>
    <col min="13825" max="13826" width="10.26953125" style="614" customWidth="1"/>
    <col min="13827" max="13827" width="7" style="614" customWidth="1"/>
    <col min="13828" max="13828" width="1" style="614" customWidth="1"/>
    <col min="13829" max="13830" width="8.7265625" style="614" customWidth="1"/>
    <col min="13831" max="13831" width="7.453125" style="614" customWidth="1"/>
    <col min="13832" max="13833" width="8.7265625" style="614" customWidth="1"/>
    <col min="13834" max="13834" width="8.453125" style="614" bestFit="1" customWidth="1"/>
    <col min="13835" max="13835" width="10.26953125" style="614" customWidth="1"/>
    <col min="13836" max="13836" width="10" style="614" customWidth="1"/>
    <col min="13837" max="13837" width="5.26953125" style="614" bestFit="1" customWidth="1"/>
    <col min="13838" max="13839" width="8.7265625" style="614" customWidth="1"/>
    <col min="13840" max="13840" width="9.7265625" style="614" customWidth="1"/>
    <col min="13841" max="13842" width="10.26953125" style="614" customWidth="1"/>
    <col min="13843" max="13843" width="7.81640625" style="614" bestFit="1" customWidth="1"/>
    <col min="13844" max="13844" width="13.453125" style="614" customWidth="1"/>
    <col min="13845" max="13845" width="3.26953125" style="614" customWidth="1"/>
    <col min="13846" max="13846" width="17.1796875" style="614" customWidth="1"/>
    <col min="13847" max="13847" width="14.453125" style="614" bestFit="1" customWidth="1"/>
    <col min="13848" max="13848" width="10.26953125" style="614" customWidth="1"/>
    <col min="13849" max="13849" width="6" style="614" bestFit="1" customWidth="1"/>
    <col min="13850" max="13850" width="10.90625" style="614"/>
    <col min="13851" max="13852" width="14.453125" style="614" bestFit="1" customWidth="1"/>
    <col min="13853" max="13853" width="12.81640625" style="614" bestFit="1" customWidth="1"/>
    <col min="13854" max="13854" width="14.453125" style="614" bestFit="1" customWidth="1"/>
    <col min="13855" max="14075" width="10.90625" style="614"/>
    <col min="14076" max="14076" width="5.7265625" style="614" customWidth="1"/>
    <col min="14077" max="14077" width="35.1796875" style="614" customWidth="1"/>
    <col min="14078" max="14079" width="10.26953125" style="614" customWidth="1"/>
    <col min="14080" max="14080" width="7.453125" style="614" customWidth="1"/>
    <col min="14081" max="14082" width="10.26953125" style="614" customWidth="1"/>
    <col min="14083" max="14083" width="7" style="614" customWidth="1"/>
    <col min="14084" max="14084" width="1" style="614" customWidth="1"/>
    <col min="14085" max="14086" width="8.7265625" style="614" customWidth="1"/>
    <col min="14087" max="14087" width="7.453125" style="614" customWidth="1"/>
    <col min="14088" max="14089" width="8.7265625" style="614" customWidth="1"/>
    <col min="14090" max="14090" width="8.453125" style="614" bestFit="1" customWidth="1"/>
    <col min="14091" max="14091" width="10.26953125" style="614" customWidth="1"/>
    <col min="14092" max="14092" width="10" style="614" customWidth="1"/>
    <col min="14093" max="14093" width="5.26953125" style="614" bestFit="1" customWidth="1"/>
    <col min="14094" max="14095" width="8.7265625" style="614" customWidth="1"/>
    <col min="14096" max="14096" width="9.7265625" style="614" customWidth="1"/>
    <col min="14097" max="14098" width="10.26953125" style="614" customWidth="1"/>
    <col min="14099" max="14099" width="7.81640625" style="614" bestFit="1" customWidth="1"/>
    <col min="14100" max="14100" width="13.453125" style="614" customWidth="1"/>
    <col min="14101" max="14101" width="3.26953125" style="614" customWidth="1"/>
    <col min="14102" max="14102" width="17.1796875" style="614" customWidth="1"/>
    <col min="14103" max="14103" width="14.453125" style="614" bestFit="1" customWidth="1"/>
    <col min="14104" max="14104" width="10.26953125" style="614" customWidth="1"/>
    <col min="14105" max="14105" width="6" style="614" bestFit="1" customWidth="1"/>
    <col min="14106" max="14106" width="10.90625" style="614"/>
    <col min="14107" max="14108" width="14.453125" style="614" bestFit="1" customWidth="1"/>
    <col min="14109" max="14109" width="12.81640625" style="614" bestFit="1" customWidth="1"/>
    <col min="14110" max="14110" width="14.453125" style="614" bestFit="1" customWidth="1"/>
    <col min="14111" max="14331" width="10.90625" style="614"/>
    <col min="14332" max="14332" width="5.7265625" style="614" customWidth="1"/>
    <col min="14333" max="14333" width="35.1796875" style="614" customWidth="1"/>
    <col min="14334" max="14335" width="10.26953125" style="614" customWidth="1"/>
    <col min="14336" max="14336" width="7.453125" style="614" customWidth="1"/>
    <col min="14337" max="14338" width="10.26953125" style="614" customWidth="1"/>
    <col min="14339" max="14339" width="7" style="614" customWidth="1"/>
    <col min="14340" max="14340" width="1" style="614" customWidth="1"/>
    <col min="14341" max="14342" width="8.7265625" style="614" customWidth="1"/>
    <col min="14343" max="14343" width="7.453125" style="614" customWidth="1"/>
    <col min="14344" max="14345" width="8.7265625" style="614" customWidth="1"/>
    <col min="14346" max="14346" width="8.453125" style="614" bestFit="1" customWidth="1"/>
    <col min="14347" max="14347" width="10.26953125" style="614" customWidth="1"/>
    <col min="14348" max="14348" width="10" style="614" customWidth="1"/>
    <col min="14349" max="14349" width="5.26953125" style="614" bestFit="1" customWidth="1"/>
    <col min="14350" max="14351" width="8.7265625" style="614" customWidth="1"/>
    <col min="14352" max="14352" width="9.7265625" style="614" customWidth="1"/>
    <col min="14353" max="14354" width="10.26953125" style="614" customWidth="1"/>
    <col min="14355" max="14355" width="7.81640625" style="614" bestFit="1" customWidth="1"/>
    <col min="14356" max="14356" width="13.453125" style="614" customWidth="1"/>
    <col min="14357" max="14357" width="3.26953125" style="614" customWidth="1"/>
    <col min="14358" max="14358" width="17.1796875" style="614" customWidth="1"/>
    <col min="14359" max="14359" width="14.453125" style="614" bestFit="1" customWidth="1"/>
    <col min="14360" max="14360" width="10.26953125" style="614" customWidth="1"/>
    <col min="14361" max="14361" width="6" style="614" bestFit="1" customWidth="1"/>
    <col min="14362" max="14362" width="10.90625" style="614"/>
    <col min="14363" max="14364" width="14.453125" style="614" bestFit="1" customWidth="1"/>
    <col min="14365" max="14365" width="12.81640625" style="614" bestFit="1" customWidth="1"/>
    <col min="14366" max="14366" width="14.453125" style="614" bestFit="1" customWidth="1"/>
    <col min="14367" max="14587" width="10.90625" style="614"/>
    <col min="14588" max="14588" width="5.7265625" style="614" customWidth="1"/>
    <col min="14589" max="14589" width="35.1796875" style="614" customWidth="1"/>
    <col min="14590" max="14591" width="10.26953125" style="614" customWidth="1"/>
    <col min="14592" max="14592" width="7.453125" style="614" customWidth="1"/>
    <col min="14593" max="14594" width="10.26953125" style="614" customWidth="1"/>
    <col min="14595" max="14595" width="7" style="614" customWidth="1"/>
    <col min="14596" max="14596" width="1" style="614" customWidth="1"/>
    <col min="14597" max="14598" width="8.7265625" style="614" customWidth="1"/>
    <col min="14599" max="14599" width="7.453125" style="614" customWidth="1"/>
    <col min="14600" max="14601" width="8.7265625" style="614" customWidth="1"/>
    <col min="14602" max="14602" width="8.453125" style="614" bestFit="1" customWidth="1"/>
    <col min="14603" max="14603" width="10.26953125" style="614" customWidth="1"/>
    <col min="14604" max="14604" width="10" style="614" customWidth="1"/>
    <col min="14605" max="14605" width="5.26953125" style="614" bestFit="1" customWidth="1"/>
    <col min="14606" max="14607" width="8.7265625" style="614" customWidth="1"/>
    <col min="14608" max="14608" width="9.7265625" style="614" customWidth="1"/>
    <col min="14609" max="14610" width="10.26953125" style="614" customWidth="1"/>
    <col min="14611" max="14611" width="7.81640625" style="614" bestFit="1" customWidth="1"/>
    <col min="14612" max="14612" width="13.453125" style="614" customWidth="1"/>
    <col min="14613" max="14613" width="3.26953125" style="614" customWidth="1"/>
    <col min="14614" max="14614" width="17.1796875" style="614" customWidth="1"/>
    <col min="14615" max="14615" width="14.453125" style="614" bestFit="1" customWidth="1"/>
    <col min="14616" max="14616" width="10.26953125" style="614" customWidth="1"/>
    <col min="14617" max="14617" width="6" style="614" bestFit="1" customWidth="1"/>
    <col min="14618" max="14618" width="10.90625" style="614"/>
    <col min="14619" max="14620" width="14.453125" style="614" bestFit="1" customWidth="1"/>
    <col min="14621" max="14621" width="12.81640625" style="614" bestFit="1" customWidth="1"/>
    <col min="14622" max="14622" width="14.453125" style="614" bestFit="1" customWidth="1"/>
    <col min="14623" max="14843" width="10.90625" style="614"/>
    <col min="14844" max="14844" width="5.7265625" style="614" customWidth="1"/>
    <col min="14845" max="14845" width="35.1796875" style="614" customWidth="1"/>
    <col min="14846" max="14847" width="10.26953125" style="614" customWidth="1"/>
    <col min="14848" max="14848" width="7.453125" style="614" customWidth="1"/>
    <col min="14849" max="14850" width="10.26953125" style="614" customWidth="1"/>
    <col min="14851" max="14851" width="7" style="614" customWidth="1"/>
    <col min="14852" max="14852" width="1" style="614" customWidth="1"/>
    <col min="14853" max="14854" width="8.7265625" style="614" customWidth="1"/>
    <col min="14855" max="14855" width="7.453125" style="614" customWidth="1"/>
    <col min="14856" max="14857" width="8.7265625" style="614" customWidth="1"/>
    <col min="14858" max="14858" width="8.453125" style="614" bestFit="1" customWidth="1"/>
    <col min="14859" max="14859" width="10.26953125" style="614" customWidth="1"/>
    <col min="14860" max="14860" width="10" style="614" customWidth="1"/>
    <col min="14861" max="14861" width="5.26953125" style="614" bestFit="1" customWidth="1"/>
    <col min="14862" max="14863" width="8.7265625" style="614" customWidth="1"/>
    <col min="14864" max="14864" width="9.7265625" style="614" customWidth="1"/>
    <col min="14865" max="14866" width="10.26953125" style="614" customWidth="1"/>
    <col min="14867" max="14867" width="7.81640625" style="614" bestFit="1" customWidth="1"/>
    <col min="14868" max="14868" width="13.453125" style="614" customWidth="1"/>
    <col min="14869" max="14869" width="3.26953125" style="614" customWidth="1"/>
    <col min="14870" max="14870" width="17.1796875" style="614" customWidth="1"/>
    <col min="14871" max="14871" width="14.453125" style="614" bestFit="1" customWidth="1"/>
    <col min="14872" max="14872" width="10.26953125" style="614" customWidth="1"/>
    <col min="14873" max="14873" width="6" style="614" bestFit="1" customWidth="1"/>
    <col min="14874" max="14874" width="10.90625" style="614"/>
    <col min="14875" max="14876" width="14.453125" style="614" bestFit="1" customWidth="1"/>
    <col min="14877" max="14877" width="12.81640625" style="614" bestFit="1" customWidth="1"/>
    <col min="14878" max="14878" width="14.453125" style="614" bestFit="1" customWidth="1"/>
    <col min="14879" max="15099" width="10.90625" style="614"/>
    <col min="15100" max="15100" width="5.7265625" style="614" customWidth="1"/>
    <col min="15101" max="15101" width="35.1796875" style="614" customWidth="1"/>
    <col min="15102" max="15103" width="10.26953125" style="614" customWidth="1"/>
    <col min="15104" max="15104" width="7.453125" style="614" customWidth="1"/>
    <col min="15105" max="15106" width="10.26953125" style="614" customWidth="1"/>
    <col min="15107" max="15107" width="7" style="614" customWidth="1"/>
    <col min="15108" max="15108" width="1" style="614" customWidth="1"/>
    <col min="15109" max="15110" width="8.7265625" style="614" customWidth="1"/>
    <col min="15111" max="15111" width="7.453125" style="614" customWidth="1"/>
    <col min="15112" max="15113" width="8.7265625" style="614" customWidth="1"/>
    <col min="15114" max="15114" width="8.453125" style="614" bestFit="1" customWidth="1"/>
    <col min="15115" max="15115" width="10.26953125" style="614" customWidth="1"/>
    <col min="15116" max="15116" width="10" style="614" customWidth="1"/>
    <col min="15117" max="15117" width="5.26953125" style="614" bestFit="1" customWidth="1"/>
    <col min="15118" max="15119" width="8.7265625" style="614" customWidth="1"/>
    <col min="15120" max="15120" width="9.7265625" style="614" customWidth="1"/>
    <col min="15121" max="15122" width="10.26953125" style="614" customWidth="1"/>
    <col min="15123" max="15123" width="7.81640625" style="614" bestFit="1" customWidth="1"/>
    <col min="15124" max="15124" width="13.453125" style="614" customWidth="1"/>
    <col min="15125" max="15125" width="3.26953125" style="614" customWidth="1"/>
    <col min="15126" max="15126" width="17.1796875" style="614" customWidth="1"/>
    <col min="15127" max="15127" width="14.453125" style="614" bestFit="1" customWidth="1"/>
    <col min="15128" max="15128" width="10.26953125" style="614" customWidth="1"/>
    <col min="15129" max="15129" width="6" style="614" bestFit="1" customWidth="1"/>
    <col min="15130" max="15130" width="10.90625" style="614"/>
    <col min="15131" max="15132" width="14.453125" style="614" bestFit="1" customWidth="1"/>
    <col min="15133" max="15133" width="12.81640625" style="614" bestFit="1" customWidth="1"/>
    <col min="15134" max="15134" width="14.453125" style="614" bestFit="1" customWidth="1"/>
    <col min="15135" max="15355" width="10.90625" style="614"/>
    <col min="15356" max="15356" width="5.7265625" style="614" customWidth="1"/>
    <col min="15357" max="15357" width="35.1796875" style="614" customWidth="1"/>
    <col min="15358" max="15359" width="10.26953125" style="614" customWidth="1"/>
    <col min="15360" max="15360" width="7.453125" style="614" customWidth="1"/>
    <col min="15361" max="15362" width="10.26953125" style="614" customWidth="1"/>
    <col min="15363" max="15363" width="7" style="614" customWidth="1"/>
    <col min="15364" max="15364" width="1" style="614" customWidth="1"/>
    <col min="15365" max="15366" width="8.7265625" style="614" customWidth="1"/>
    <col min="15367" max="15367" width="7.453125" style="614" customWidth="1"/>
    <col min="15368" max="15369" width="8.7265625" style="614" customWidth="1"/>
    <col min="15370" max="15370" width="8.453125" style="614" bestFit="1" customWidth="1"/>
    <col min="15371" max="15371" width="10.26953125" style="614" customWidth="1"/>
    <col min="15372" max="15372" width="10" style="614" customWidth="1"/>
    <col min="15373" max="15373" width="5.26953125" style="614" bestFit="1" customWidth="1"/>
    <col min="15374" max="15375" width="8.7265625" style="614" customWidth="1"/>
    <col min="15376" max="15376" width="9.7265625" style="614" customWidth="1"/>
    <col min="15377" max="15378" width="10.26953125" style="614" customWidth="1"/>
    <col min="15379" max="15379" width="7.81640625" style="614" bestFit="1" customWidth="1"/>
    <col min="15380" max="15380" width="13.453125" style="614" customWidth="1"/>
    <col min="15381" max="15381" width="3.26953125" style="614" customWidth="1"/>
    <col min="15382" max="15382" width="17.1796875" style="614" customWidth="1"/>
    <col min="15383" max="15383" width="14.453125" style="614" bestFit="1" customWidth="1"/>
    <col min="15384" max="15384" width="10.26953125" style="614" customWidth="1"/>
    <col min="15385" max="15385" width="6" style="614" bestFit="1" customWidth="1"/>
    <col min="15386" max="15386" width="10.90625" style="614"/>
    <col min="15387" max="15388" width="14.453125" style="614" bestFit="1" customWidth="1"/>
    <col min="15389" max="15389" width="12.81640625" style="614" bestFit="1" customWidth="1"/>
    <col min="15390" max="15390" width="14.453125" style="614" bestFit="1" customWidth="1"/>
    <col min="15391" max="15611" width="10.90625" style="614"/>
    <col min="15612" max="15612" width="5.7265625" style="614" customWidth="1"/>
    <col min="15613" max="15613" width="35.1796875" style="614" customWidth="1"/>
    <col min="15614" max="15615" width="10.26953125" style="614" customWidth="1"/>
    <col min="15616" max="15616" width="7.453125" style="614" customWidth="1"/>
    <col min="15617" max="15618" width="10.26953125" style="614" customWidth="1"/>
    <col min="15619" max="15619" width="7" style="614" customWidth="1"/>
    <col min="15620" max="15620" width="1" style="614" customWidth="1"/>
    <col min="15621" max="15622" width="8.7265625" style="614" customWidth="1"/>
    <col min="15623" max="15623" width="7.453125" style="614" customWidth="1"/>
    <col min="15624" max="15625" width="8.7265625" style="614" customWidth="1"/>
    <col min="15626" max="15626" width="8.453125" style="614" bestFit="1" customWidth="1"/>
    <col min="15627" max="15627" width="10.26953125" style="614" customWidth="1"/>
    <col min="15628" max="15628" width="10" style="614" customWidth="1"/>
    <col min="15629" max="15629" width="5.26953125" style="614" bestFit="1" customWidth="1"/>
    <col min="15630" max="15631" width="8.7265625" style="614" customWidth="1"/>
    <col min="15632" max="15632" width="9.7265625" style="614" customWidth="1"/>
    <col min="15633" max="15634" width="10.26953125" style="614" customWidth="1"/>
    <col min="15635" max="15635" width="7.81640625" style="614" bestFit="1" customWidth="1"/>
    <col min="15636" max="15636" width="13.453125" style="614" customWidth="1"/>
    <col min="15637" max="15637" width="3.26953125" style="614" customWidth="1"/>
    <col min="15638" max="15638" width="17.1796875" style="614" customWidth="1"/>
    <col min="15639" max="15639" width="14.453125" style="614" bestFit="1" customWidth="1"/>
    <col min="15640" max="15640" width="10.26953125" style="614" customWidth="1"/>
    <col min="15641" max="15641" width="6" style="614" bestFit="1" customWidth="1"/>
    <col min="15642" max="15642" width="10.90625" style="614"/>
    <col min="15643" max="15644" width="14.453125" style="614" bestFit="1" customWidth="1"/>
    <col min="15645" max="15645" width="12.81640625" style="614" bestFit="1" customWidth="1"/>
    <col min="15646" max="15646" width="14.453125" style="614" bestFit="1" customWidth="1"/>
    <col min="15647" max="15867" width="10.90625" style="614"/>
    <col min="15868" max="15868" width="5.7265625" style="614" customWidth="1"/>
    <col min="15869" max="15869" width="35.1796875" style="614" customWidth="1"/>
    <col min="15870" max="15871" width="10.26953125" style="614" customWidth="1"/>
    <col min="15872" max="15872" width="7.453125" style="614" customWidth="1"/>
    <col min="15873" max="15874" width="10.26953125" style="614" customWidth="1"/>
    <col min="15875" max="15875" width="7" style="614" customWidth="1"/>
    <col min="15876" max="15876" width="1" style="614" customWidth="1"/>
    <col min="15877" max="15878" width="8.7265625" style="614" customWidth="1"/>
    <col min="15879" max="15879" width="7.453125" style="614" customWidth="1"/>
    <col min="15880" max="15881" width="8.7265625" style="614" customWidth="1"/>
    <col min="15882" max="15882" width="8.453125" style="614" bestFit="1" customWidth="1"/>
    <col min="15883" max="15883" width="10.26953125" style="614" customWidth="1"/>
    <col min="15884" max="15884" width="10" style="614" customWidth="1"/>
    <col min="15885" max="15885" width="5.26953125" style="614" bestFit="1" customWidth="1"/>
    <col min="15886" max="15887" width="8.7265625" style="614" customWidth="1"/>
    <col min="15888" max="15888" width="9.7265625" style="614" customWidth="1"/>
    <col min="15889" max="15890" width="10.26953125" style="614" customWidth="1"/>
    <col min="15891" max="15891" width="7.81640625" style="614" bestFit="1" customWidth="1"/>
    <col min="15892" max="15892" width="13.453125" style="614" customWidth="1"/>
    <col min="15893" max="15893" width="3.26953125" style="614" customWidth="1"/>
    <col min="15894" max="15894" width="17.1796875" style="614" customWidth="1"/>
    <col min="15895" max="15895" width="14.453125" style="614" bestFit="1" customWidth="1"/>
    <col min="15896" max="15896" width="10.26953125" style="614" customWidth="1"/>
    <col min="15897" max="15897" width="6" style="614" bestFit="1" customWidth="1"/>
    <col min="15898" max="15898" width="10.90625" style="614"/>
    <col min="15899" max="15900" width="14.453125" style="614" bestFit="1" customWidth="1"/>
    <col min="15901" max="15901" width="12.81640625" style="614" bestFit="1" customWidth="1"/>
    <col min="15902" max="15902" width="14.453125" style="614" bestFit="1" customWidth="1"/>
    <col min="15903" max="16123" width="10.90625" style="614"/>
    <col min="16124" max="16124" width="5.7265625" style="614" customWidth="1"/>
    <col min="16125" max="16125" width="35.1796875" style="614" customWidth="1"/>
    <col min="16126" max="16127" width="10.26953125" style="614" customWidth="1"/>
    <col min="16128" max="16128" width="7.453125" style="614" customWidth="1"/>
    <col min="16129" max="16130" width="10.26953125" style="614" customWidth="1"/>
    <col min="16131" max="16131" width="7" style="614" customWidth="1"/>
    <col min="16132" max="16132" width="1" style="614" customWidth="1"/>
    <col min="16133" max="16134" width="8.7265625" style="614" customWidth="1"/>
    <col min="16135" max="16135" width="7.453125" style="614" customWidth="1"/>
    <col min="16136" max="16137" width="8.7265625" style="614" customWidth="1"/>
    <col min="16138" max="16138" width="8.453125" style="614" bestFit="1" customWidth="1"/>
    <col min="16139" max="16139" width="10.26953125" style="614" customWidth="1"/>
    <col min="16140" max="16140" width="10" style="614" customWidth="1"/>
    <col min="16141" max="16141" width="5.26953125" style="614" bestFit="1" customWidth="1"/>
    <col min="16142" max="16143" width="8.7265625" style="614" customWidth="1"/>
    <col min="16144" max="16144" width="9.7265625" style="614" customWidth="1"/>
    <col min="16145" max="16146" width="10.26953125" style="614" customWidth="1"/>
    <col min="16147" max="16147" width="7.81640625" style="614" bestFit="1" customWidth="1"/>
    <col min="16148" max="16148" width="13.453125" style="614" customWidth="1"/>
    <col min="16149" max="16149" width="3.26953125" style="614" customWidth="1"/>
    <col min="16150" max="16150" width="17.1796875" style="614" customWidth="1"/>
    <col min="16151" max="16151" width="14.453125" style="614" bestFit="1" customWidth="1"/>
    <col min="16152" max="16152" width="10.26953125" style="614" customWidth="1"/>
    <col min="16153" max="16153" width="6" style="614" bestFit="1" customWidth="1"/>
    <col min="16154" max="16154" width="10.90625" style="614"/>
    <col min="16155" max="16156" width="14.453125" style="614" bestFit="1" customWidth="1"/>
    <col min="16157" max="16157" width="12.81640625" style="614" bestFit="1" customWidth="1"/>
    <col min="16158" max="16158" width="14.453125" style="614" bestFit="1" customWidth="1"/>
    <col min="16159" max="16383" width="10.90625" style="614"/>
    <col min="16384" max="16384" width="11.453125" style="614" customWidth="1"/>
  </cols>
  <sheetData>
    <row r="1" spans="2:36">
      <c r="AA1" s="614"/>
      <c r="AB1" s="615"/>
    </row>
    <row r="2" spans="2:36">
      <c r="AA2" s="614"/>
      <c r="AB2" s="615"/>
    </row>
    <row r="3" spans="2:36" ht="28">
      <c r="B3" s="617" t="s">
        <v>301</v>
      </c>
      <c r="M3" s="618"/>
      <c r="AA3" s="614"/>
      <c r="AB3" s="615"/>
    </row>
    <row r="4" spans="2:36" ht="20">
      <c r="B4" s="619" t="s">
        <v>302</v>
      </c>
      <c r="F4" s="620"/>
      <c r="G4" s="620">
        <v>1000000</v>
      </c>
      <c r="R4" s="621"/>
      <c r="AA4" s="1148"/>
      <c r="AB4" s="615"/>
    </row>
    <row r="5" spans="2:36" ht="23">
      <c r="B5" s="623"/>
      <c r="AA5" s="614"/>
      <c r="AB5" s="614"/>
    </row>
    <row r="6" spans="2:36">
      <c r="B6" s="624"/>
      <c r="C6" s="624"/>
      <c r="F6" s="624"/>
      <c r="G6" s="625"/>
      <c r="AA6" s="614"/>
      <c r="AB6" s="615"/>
    </row>
    <row r="7" spans="2:36">
      <c r="B7" s="624"/>
      <c r="C7" s="1149"/>
      <c r="F7" s="1149"/>
      <c r="G7" s="627"/>
      <c r="AA7" s="615"/>
      <c r="AB7" s="628"/>
    </row>
    <row r="8" spans="2:36">
      <c r="B8" s="656"/>
      <c r="C8" s="1149"/>
      <c r="F8" s="1149"/>
      <c r="AA8" s="629"/>
      <c r="AB8" s="629"/>
      <c r="AC8" s="630"/>
    </row>
    <row r="9" spans="2:36" ht="22">
      <c r="B9" s="631"/>
      <c r="C9" s="1227"/>
      <c r="D9" s="1227"/>
      <c r="E9" s="632" t="s">
        <v>303</v>
      </c>
      <c r="F9" s="1227"/>
      <c r="G9" s="1227"/>
      <c r="H9" s="632" t="s">
        <v>303</v>
      </c>
      <c r="I9" s="632"/>
      <c r="J9" s="1227"/>
      <c r="K9" s="1227"/>
      <c r="L9" s="632" t="s">
        <v>303</v>
      </c>
      <c r="M9" s="1227"/>
      <c r="N9" s="1227"/>
      <c r="O9" s="632" t="s">
        <v>303</v>
      </c>
      <c r="P9" s="632" t="s">
        <v>304</v>
      </c>
      <c r="Q9" s="633" t="s">
        <v>305</v>
      </c>
      <c r="R9" s="634"/>
      <c r="S9" s="634"/>
      <c r="T9" s="632" t="s">
        <v>303</v>
      </c>
      <c r="U9" s="634"/>
      <c r="V9" s="634"/>
      <c r="W9" s="632" t="s">
        <v>303</v>
      </c>
      <c r="X9" s="635" t="s">
        <v>306</v>
      </c>
      <c r="Y9" s="636"/>
      <c r="Z9" s="635" t="s">
        <v>306</v>
      </c>
      <c r="AA9" s="1228" t="s">
        <v>307</v>
      </c>
      <c r="AB9" s="1229" t="s">
        <v>307</v>
      </c>
      <c r="AC9" s="637" t="s">
        <v>303</v>
      </c>
    </row>
    <row r="10" spans="2:36" ht="9" customHeight="1">
      <c r="C10" s="638"/>
      <c r="D10" s="639"/>
      <c r="F10" s="638"/>
      <c r="G10" s="639"/>
      <c r="J10" s="638"/>
      <c r="K10" s="639"/>
      <c r="M10" s="638"/>
      <c r="N10" s="639"/>
      <c r="R10" s="638"/>
      <c r="S10" s="638"/>
      <c r="T10" s="638"/>
      <c r="U10" s="640"/>
      <c r="V10" s="639"/>
      <c r="W10" s="638"/>
      <c r="X10" s="641"/>
      <c r="Y10" s="641"/>
      <c r="Z10" s="641"/>
      <c r="AA10" s="642"/>
      <c r="AB10" s="643"/>
      <c r="AC10" s="644"/>
    </row>
    <row r="11" spans="2:36" ht="13">
      <c r="C11" s="645" t="s">
        <v>632</v>
      </c>
      <c r="D11" s="645" t="s">
        <v>507</v>
      </c>
      <c r="E11" s="646"/>
      <c r="F11" s="647" t="str">
        <f>+C11</f>
        <v>Jun. 25</v>
      </c>
      <c r="G11" s="645" t="str">
        <f>+D11</f>
        <v>Jun. 24</v>
      </c>
      <c r="H11" s="646"/>
      <c r="I11" s="646"/>
      <c r="J11" s="647" t="str">
        <f>+C11</f>
        <v>Jun. 25</v>
      </c>
      <c r="K11" s="645" t="str">
        <f>+D11</f>
        <v>Jun. 24</v>
      </c>
      <c r="L11" s="646"/>
      <c r="M11" s="647" t="str">
        <f>+C11</f>
        <v>Jun. 25</v>
      </c>
      <c r="N11" s="647" t="str">
        <f>+D11</f>
        <v>Jun. 24</v>
      </c>
      <c r="O11" s="646"/>
      <c r="P11" s="646"/>
      <c r="Q11" s="646"/>
      <c r="R11" s="647" t="str">
        <f>+C11</f>
        <v>Jun. 25</v>
      </c>
      <c r="S11" s="645" t="str">
        <f>+D11</f>
        <v>Jun. 24</v>
      </c>
      <c r="T11" s="638"/>
      <c r="U11" s="645" t="str">
        <f>+C11</f>
        <v>Jun. 25</v>
      </c>
      <c r="V11" s="645" t="str">
        <f>+D11</f>
        <v>Jun. 24</v>
      </c>
      <c r="W11" s="638"/>
      <c r="X11" s="647" t="str">
        <f>+C11</f>
        <v>Jun. 25</v>
      </c>
      <c r="Y11" s="641"/>
      <c r="Z11" s="645" t="str">
        <f>+D11</f>
        <v>Jun. 24</v>
      </c>
      <c r="AA11" s="648" t="str">
        <f>+C11</f>
        <v>Jun. 25</v>
      </c>
      <c r="AB11" s="1150" t="str">
        <f>+D11</f>
        <v>Jun. 24</v>
      </c>
      <c r="AC11" s="649"/>
      <c r="AD11" s="646"/>
    </row>
    <row r="12" spans="2:36" ht="9" customHeight="1">
      <c r="C12" s="638"/>
      <c r="D12" s="639"/>
      <c r="E12" s="646"/>
      <c r="F12" s="638"/>
      <c r="G12" s="639"/>
      <c r="H12" s="646"/>
      <c r="I12" s="646"/>
      <c r="J12" s="638"/>
      <c r="K12" s="639"/>
      <c r="L12" s="646"/>
      <c r="M12" s="638"/>
      <c r="N12" s="639"/>
      <c r="O12" s="646"/>
      <c r="P12" s="646"/>
      <c r="Q12" s="646"/>
      <c r="R12" s="638"/>
      <c r="S12" s="638"/>
      <c r="T12" s="638"/>
      <c r="U12" s="620"/>
      <c r="V12" s="639"/>
      <c r="W12" s="638"/>
      <c r="X12" s="641"/>
      <c r="Y12" s="641"/>
      <c r="Z12" s="641"/>
      <c r="AA12" s="650"/>
      <c r="AB12" s="651"/>
      <c r="AC12" s="649"/>
      <c r="AD12" s="646"/>
    </row>
    <row r="13" spans="2:36">
      <c r="B13" s="614" t="s">
        <v>264</v>
      </c>
      <c r="C13" s="652">
        <v>2508093</v>
      </c>
      <c r="D13" s="652">
        <v>2643453</v>
      </c>
      <c r="E13" s="931">
        <f>IF(D13&lt;0,-((C13/D13)-1),(C13/D13)-1)</f>
        <v>-5.1205752476022881E-2</v>
      </c>
      <c r="F13" s="652">
        <v>2762855</v>
      </c>
      <c r="G13" s="652">
        <v>3296934</v>
      </c>
      <c r="H13" s="931">
        <f>IF(G13&lt;0,-((F13/G13)-1),(F13/G13)-1)</f>
        <v>-0.16199262708928963</v>
      </c>
      <c r="I13" s="620">
        <v>0</v>
      </c>
      <c r="J13" s="652">
        <v>109472</v>
      </c>
      <c r="K13" s="652">
        <v>19437</v>
      </c>
      <c r="L13" s="931">
        <f>IF(K13&lt;0,-((J13/K13)-1),(J13/K13)-1)</f>
        <v>4.6321448783248442</v>
      </c>
      <c r="M13" s="652">
        <v>27419</v>
      </c>
      <c r="N13" s="652">
        <v>18706</v>
      </c>
      <c r="O13" s="931">
        <f>IF(N13&lt;0,-((M13/N13)-1),(M13/N13)-1)</f>
        <v>0.46578637870202066</v>
      </c>
      <c r="P13" s="652">
        <f>+M13-N13</f>
        <v>8713</v>
      </c>
      <c r="Q13" s="932" t="s">
        <v>633</v>
      </c>
      <c r="R13" s="652">
        <v>32697</v>
      </c>
      <c r="S13" s="652">
        <v>60575</v>
      </c>
      <c r="T13" s="931">
        <f>IF(S13&lt;0,-((R13/S13)-1),(R13/S13)-1)</f>
        <v>-0.4602228642179117</v>
      </c>
      <c r="U13" s="652">
        <v>161187</v>
      </c>
      <c r="V13" s="652">
        <v>95371</v>
      </c>
      <c r="W13" s="931">
        <f>IF(V13&lt;0,-((U13/V13)-1),(U13/V13)-1)</f>
        <v>0.6901049585303709</v>
      </c>
      <c r="X13" s="653">
        <f>-10095+44-1</f>
        <v>-10052</v>
      </c>
      <c r="Y13" s="636" t="s">
        <v>308</v>
      </c>
      <c r="Z13" s="652">
        <f>20456+33</f>
        <v>20489</v>
      </c>
      <c r="AA13" s="1001">
        <f>+C13+F13+J13+M13+R13+U13+X13</f>
        <v>5591671</v>
      </c>
      <c r="AB13" s="654">
        <f>+D13+G13+K13+N13+V13+S13++Z13</f>
        <v>6154965</v>
      </c>
      <c r="AC13" s="1151">
        <f>IF(AB13&lt;0,-((AA13/AB13)-1),(AA13/AB13)-1)</f>
        <v>-9.1518635768034429E-2</v>
      </c>
      <c r="AD13" s="656"/>
      <c r="AE13" s="656"/>
      <c r="AF13" s="657"/>
      <c r="AG13" s="657"/>
      <c r="AH13" s="658"/>
      <c r="AI13" s="658"/>
      <c r="AJ13" s="657"/>
    </row>
    <row r="14" spans="2:36" ht="12.5">
      <c r="B14" s="659"/>
      <c r="C14" s="659"/>
      <c r="D14" s="659"/>
      <c r="E14" s="660"/>
      <c r="F14" s="659"/>
      <c r="G14" s="659"/>
      <c r="H14" s="660"/>
      <c r="I14" s="659"/>
      <c r="J14" s="659"/>
      <c r="K14" s="659"/>
      <c r="L14" s="660"/>
      <c r="M14" s="659"/>
      <c r="N14" s="659"/>
      <c r="O14" s="660"/>
      <c r="P14" s="659"/>
      <c r="Q14" s="660"/>
      <c r="R14" s="659"/>
      <c r="S14" s="659"/>
      <c r="T14" s="660"/>
      <c r="U14" s="659"/>
      <c r="V14" s="659"/>
      <c r="W14" s="660"/>
      <c r="X14" s="659"/>
      <c r="Y14" s="659"/>
      <c r="Z14" s="659"/>
      <c r="AA14" s="1002"/>
      <c r="AB14" s="661"/>
      <c r="AC14" s="662"/>
      <c r="AD14" s="656"/>
    </row>
    <row r="15" spans="2:36">
      <c r="B15" s="614" t="s">
        <v>132</v>
      </c>
      <c r="C15" s="620">
        <v>659570</v>
      </c>
      <c r="D15" s="620">
        <v>661393</v>
      </c>
      <c r="E15" s="933">
        <f>IF(D15&lt;0,-((C15/D15)-1),(C15/D15)-1)</f>
        <v>-2.7563037407410951E-3</v>
      </c>
      <c r="F15" s="620">
        <v>886641</v>
      </c>
      <c r="G15" s="620">
        <v>784384</v>
      </c>
      <c r="H15" s="933">
        <f>IF(G15&lt;0,-((F15/G15)-1),(F15/G15)-1)</f>
        <v>0.13036599420691908</v>
      </c>
      <c r="J15" s="620">
        <v>81935</v>
      </c>
      <c r="K15" s="620">
        <v>-21188</v>
      </c>
      <c r="L15" s="933">
        <f>IF(K15&lt;0,-((J15/K15)-1),(J15/K15)-1)</f>
        <v>4.867047385312441</v>
      </c>
      <c r="M15" s="620">
        <v>-4072</v>
      </c>
      <c r="N15" s="620">
        <v>-292</v>
      </c>
      <c r="O15" s="933">
        <f>IF(N15&lt;0,-((M15/N15)-1),(M15/N15)-1)</f>
        <v>-12.945205479452055</v>
      </c>
      <c r="P15" s="620">
        <f>+M15-N15</f>
        <v>-3780</v>
      </c>
      <c r="Q15" s="932" t="s">
        <v>634</v>
      </c>
      <c r="R15" s="620">
        <v>12106</v>
      </c>
      <c r="S15" s="620">
        <v>26720</v>
      </c>
      <c r="T15" s="933">
        <f>IF(S15&lt;0,-((R15/S15)-1),(R15/S15)-1)</f>
        <v>-0.54693113772455093</v>
      </c>
      <c r="U15" s="620">
        <v>149958</v>
      </c>
      <c r="V15" s="620">
        <v>93930</v>
      </c>
      <c r="W15" s="933">
        <f>IF(V15&lt;0,-((U15/V15)-1),(U15/V15)-1)</f>
        <v>0.59648674544873836</v>
      </c>
      <c r="X15" s="1152">
        <v>-10051</v>
      </c>
      <c r="Y15" s="663" t="s">
        <v>308</v>
      </c>
      <c r="Z15" s="620">
        <v>20489</v>
      </c>
      <c r="AA15" s="1003">
        <f>+C15+F15+J15+M15+R15+U15+X15</f>
        <v>1776087</v>
      </c>
      <c r="AB15" s="664">
        <f>+D15+G15+K15+N15+V15+S15++Z15</f>
        <v>1565436</v>
      </c>
      <c r="AC15" s="1153">
        <f>IF(AB15&lt;0,-((AA15/AB15)-1),(AA15/AB15)-1)</f>
        <v>0.13456378925743362</v>
      </c>
      <c r="AD15" s="656"/>
      <c r="AE15" s="656"/>
      <c r="AF15" s="657"/>
      <c r="AG15" s="657"/>
      <c r="AH15" s="658"/>
      <c r="AI15" s="658"/>
      <c r="AJ15" s="657"/>
    </row>
    <row r="16" spans="2:36" ht="13">
      <c r="B16" s="666" t="s">
        <v>133</v>
      </c>
      <c r="C16" s="934">
        <f>+C15/C13</f>
        <v>0.26297669185313305</v>
      </c>
      <c r="D16" s="934">
        <f>+D15/D13</f>
        <v>0.25020040076369809</v>
      </c>
      <c r="E16" s="667"/>
      <c r="F16" s="934">
        <f>+F15/F13</f>
        <v>0.32091477837237203</v>
      </c>
      <c r="G16" s="934">
        <f>+G15/G13</f>
        <v>0.23791316417010472</v>
      </c>
      <c r="H16" s="667"/>
      <c r="I16" s="459"/>
      <c r="J16" s="934">
        <f>+J15/J13</f>
        <v>0.74845622624963459</v>
      </c>
      <c r="K16" s="934">
        <f>+K15/K13</f>
        <v>-1.0900859186088387</v>
      </c>
      <c r="L16" s="667"/>
      <c r="M16" s="934">
        <f>+M15/M13</f>
        <v>-0.14851015719026953</v>
      </c>
      <c r="N16" s="934">
        <f>+N15/N13</f>
        <v>-1.5609964717203037E-2</v>
      </c>
      <c r="O16" s="667"/>
      <c r="P16" s="934"/>
      <c r="Q16" s="667"/>
      <c r="R16" s="934">
        <f>+R15/R13</f>
        <v>0.37024803498791936</v>
      </c>
      <c r="S16" s="934">
        <f>+S15/S13</f>
        <v>0.4411060668592654</v>
      </c>
      <c r="T16" s="667"/>
      <c r="U16" s="934">
        <f>(+U15/U13)</f>
        <v>0.93033557296804337</v>
      </c>
      <c r="V16" s="934">
        <f>(+V15/V13)</f>
        <v>0.98489058518836958</v>
      </c>
      <c r="W16" s="667"/>
      <c r="X16" s="934"/>
      <c r="Y16" s="460"/>
      <c r="Z16" s="934"/>
      <c r="AA16" s="1154">
        <f>+AA15/AA13</f>
        <v>0.31763081197016063</v>
      </c>
      <c r="AB16" s="1155">
        <f>+AB15/AB13</f>
        <v>0.25433710833449091</v>
      </c>
      <c r="AC16" s="669"/>
      <c r="AD16" s="656"/>
    </row>
    <row r="17" spans="2:36" ht="12.5">
      <c r="B17" s="659"/>
      <c r="C17" s="670"/>
      <c r="D17" s="670"/>
      <c r="E17" s="660"/>
      <c r="F17" s="670"/>
      <c r="G17" s="670"/>
      <c r="H17" s="660"/>
      <c r="I17" s="659"/>
      <c r="J17" s="670"/>
      <c r="K17" s="670"/>
      <c r="L17" s="660"/>
      <c r="M17" s="670"/>
      <c r="N17" s="670"/>
      <c r="O17" s="660"/>
      <c r="P17" s="670"/>
      <c r="Q17" s="660"/>
      <c r="R17" s="670"/>
      <c r="S17" s="670"/>
      <c r="T17" s="660"/>
      <c r="U17" s="670"/>
      <c r="V17" s="670"/>
      <c r="W17" s="660"/>
      <c r="X17" s="670"/>
      <c r="Y17" s="671"/>
      <c r="Z17" s="670"/>
      <c r="AA17" s="1004"/>
      <c r="AB17" s="672"/>
      <c r="AC17" s="662"/>
      <c r="AD17" s="656"/>
    </row>
    <row r="18" spans="2:36">
      <c r="B18" s="614" t="s">
        <v>143</v>
      </c>
      <c r="C18" s="620">
        <v>280461</v>
      </c>
      <c r="D18" s="620">
        <v>339081</v>
      </c>
      <c r="E18" s="933">
        <f>IF(D18&lt;0,-((C18/D18)-1),(C18/D18)-1)</f>
        <v>-0.17287904659948505</v>
      </c>
      <c r="F18" s="620">
        <v>676834</v>
      </c>
      <c r="G18" s="620">
        <v>531810</v>
      </c>
      <c r="H18" s="933">
        <f>IF(G18&lt;0,-((F18/G18)-1),(F18/G18)-1)</f>
        <v>0.27269889622233512</v>
      </c>
      <c r="J18" s="620">
        <v>23153</v>
      </c>
      <c r="K18" s="620">
        <v>-63734</v>
      </c>
      <c r="L18" s="933">
        <f>IF(K18&lt;0,-((J18/K18)-1),(J18/K18)-1)</f>
        <v>1.3632754887501177</v>
      </c>
      <c r="M18" s="620">
        <v>-62433</v>
      </c>
      <c r="N18" s="1024">
        <v>-11591</v>
      </c>
      <c r="O18" s="933">
        <f>IF(N18&lt;0,-((M18/N18)-1),(M18/N18)-1)</f>
        <v>-4.3863342248296089</v>
      </c>
      <c r="P18" s="620">
        <f>+M18-N18</f>
        <v>-50842</v>
      </c>
      <c r="Q18" s="932" t="s">
        <v>635</v>
      </c>
      <c r="R18" s="620">
        <v>7492</v>
      </c>
      <c r="S18" s="620">
        <v>22809</v>
      </c>
      <c r="T18" s="933">
        <f>IF(S18&lt;0,-((R18/S18)-1),(R18/S18)-1)</f>
        <v>-0.67153316673243024</v>
      </c>
      <c r="U18" s="620">
        <v>102719</v>
      </c>
      <c r="V18" s="620">
        <v>57579</v>
      </c>
      <c r="W18" s="933">
        <f>IF(V18&lt;0,-((U18/V18)-1),(U18/V18)-1)</f>
        <v>0.78396637663036861</v>
      </c>
      <c r="X18" s="624">
        <f>-10051+139</f>
        <v>-9912</v>
      </c>
      <c r="Y18" s="663" t="s">
        <v>308</v>
      </c>
      <c r="Z18" s="620">
        <f>20489-183-1</f>
        <v>20305</v>
      </c>
      <c r="AA18" s="1003">
        <f>+C18+F18+J18+M18+R18+U18+X18</f>
        <v>1018314</v>
      </c>
      <c r="AB18" s="664">
        <f>+D18+G18+K18+N18+V18+S18++Z18</f>
        <v>896259</v>
      </c>
      <c r="AC18" s="1153">
        <f>IF(AB18&lt;0,-((AA18/AB18)-1),(AA18/AB18)-1)</f>
        <v>0.13618273289305871</v>
      </c>
      <c r="AD18" s="656"/>
      <c r="AF18" s="657"/>
      <c r="AG18" s="657"/>
      <c r="AH18" s="658"/>
      <c r="AI18" s="658"/>
      <c r="AJ18" s="657"/>
    </row>
    <row r="19" spans="2:36" ht="13">
      <c r="B19" s="666" t="s">
        <v>309</v>
      </c>
      <c r="C19" s="934">
        <f>+C18/C13</f>
        <v>0.11182240849920637</v>
      </c>
      <c r="D19" s="934">
        <f>+D18/D13</f>
        <v>0.12827199878340942</v>
      </c>
      <c r="E19" s="667"/>
      <c r="F19" s="934">
        <f>+F18/F13</f>
        <v>0.24497630168792789</v>
      </c>
      <c r="G19" s="934">
        <f>+G18/G13</f>
        <v>0.16130441191725403</v>
      </c>
      <c r="H19" s="667"/>
      <c r="I19" s="935"/>
      <c r="J19" s="934">
        <f>+J18/J13</f>
        <v>0.21149700380005845</v>
      </c>
      <c r="K19" s="934">
        <f>+K18/K13</f>
        <v>-3.279003961516695</v>
      </c>
      <c r="L19" s="667"/>
      <c r="M19" s="934">
        <f>+M18/M13</f>
        <v>-2.2769977023232064</v>
      </c>
      <c r="N19" s="934">
        <f>+N18/N13</f>
        <v>-0.61964075697637122</v>
      </c>
      <c r="O19" s="667"/>
      <c r="P19" s="934"/>
      <c r="Q19" s="667"/>
      <c r="R19" s="934">
        <f>+R18/R13</f>
        <v>0.22913417133070313</v>
      </c>
      <c r="S19" s="934">
        <f>+S18/S13</f>
        <v>0.37654147750722244</v>
      </c>
      <c r="T19" s="667"/>
      <c r="U19" s="934">
        <f>+U18/U13</f>
        <v>0.63726603262049664</v>
      </c>
      <c r="V19" s="934">
        <f>+V18/V13</f>
        <v>0.60373698503738038</v>
      </c>
      <c r="W19" s="667"/>
      <c r="X19" s="934"/>
      <c r="Y19" s="459"/>
      <c r="Z19" s="934"/>
      <c r="AA19" s="1154">
        <f>+AA18/AA13</f>
        <v>0.18211264575473057</v>
      </c>
      <c r="AB19" s="1155">
        <f>+AB18/AB13</f>
        <v>0.14561561276140481</v>
      </c>
      <c r="AC19" s="669"/>
      <c r="AD19" s="656"/>
    </row>
    <row r="20" spans="2:36" ht="12.5">
      <c r="B20" s="659"/>
      <c r="C20" s="670"/>
      <c r="D20" s="670"/>
      <c r="E20" s="660"/>
      <c r="F20" s="670"/>
      <c r="G20" s="670"/>
      <c r="H20" s="660"/>
      <c r="I20" s="659"/>
      <c r="J20" s="670">
        <v>0</v>
      </c>
      <c r="K20" s="670">
        <v>0</v>
      </c>
      <c r="L20" s="660"/>
      <c r="M20" s="670"/>
      <c r="N20" s="670"/>
      <c r="O20" s="660"/>
      <c r="P20" s="670"/>
      <c r="Q20" s="660"/>
      <c r="R20" s="670"/>
      <c r="S20" s="670"/>
      <c r="T20" s="660"/>
      <c r="U20" s="670"/>
      <c r="V20" s="670"/>
      <c r="W20" s="660"/>
      <c r="X20" s="670"/>
      <c r="Y20" s="659"/>
      <c r="Z20" s="670"/>
      <c r="AA20" s="1004"/>
      <c r="AB20" s="672"/>
      <c r="AC20" s="662"/>
      <c r="AD20" s="656"/>
    </row>
    <row r="21" spans="2:36">
      <c r="B21" s="673" t="s">
        <v>145</v>
      </c>
      <c r="C21" s="652">
        <v>499908</v>
      </c>
      <c r="D21" s="652">
        <v>557903</v>
      </c>
      <c r="E21" s="931">
        <f>IF(D21&lt;0,-((C21/D21)-1),(C21/D21)-1)</f>
        <v>-0.10395176222389912</v>
      </c>
      <c r="F21" s="652">
        <v>892881</v>
      </c>
      <c r="G21" s="652">
        <v>725426</v>
      </c>
      <c r="H21" s="931">
        <f>IF(G21&lt;0,-((F21/G21)-1),(F21/G21)-1)</f>
        <v>0.23083677728672525</v>
      </c>
      <c r="I21" s="673"/>
      <c r="J21" s="652">
        <v>23549</v>
      </c>
      <c r="K21" s="652">
        <v>-63323</v>
      </c>
      <c r="L21" s="931">
        <f>IF(K21&lt;0,-((J21/K21)-1),(J21/K21)-1)</f>
        <v>1.3718869920881829</v>
      </c>
      <c r="M21" s="652">
        <v>-60321</v>
      </c>
      <c r="N21" s="652">
        <v>-10110</v>
      </c>
      <c r="O21" s="931">
        <f>IF(N21&lt;0,-((M21/N21)-1),(M21/N21)-1)</f>
        <v>-4.9664688427299701</v>
      </c>
      <c r="P21" s="652">
        <f>+M21-N21</f>
        <v>-50211</v>
      </c>
      <c r="Q21" s="936"/>
      <c r="R21" s="652">
        <v>9731</v>
      </c>
      <c r="S21" s="652">
        <v>25196</v>
      </c>
      <c r="T21" s="931">
        <f>IF(S21&lt;0,-((R21/S21)-1),(R21/S21)-1)</f>
        <v>-0.61378790284172091</v>
      </c>
      <c r="U21" s="652">
        <v>103751</v>
      </c>
      <c r="V21" s="652">
        <v>59193</v>
      </c>
      <c r="W21" s="931">
        <f>IF(V21&lt;0,-((U21/V21)-1),(U21/V21)-1)</f>
        <v>0.75275792745763859</v>
      </c>
      <c r="X21" s="640">
        <v>-9912</v>
      </c>
      <c r="Y21" s="636" t="s">
        <v>308</v>
      </c>
      <c r="Z21" s="652">
        <f>20306-2</f>
        <v>20304</v>
      </c>
      <c r="AA21" s="1001">
        <f>+C21+F21+J21+M21+R21+U21+X21</f>
        <v>1459587</v>
      </c>
      <c r="AB21" s="654">
        <f>+D21+G21+K21+N21+V21+S21++Z21</f>
        <v>1314589</v>
      </c>
      <c r="AC21" s="1151">
        <f>IF(AB21&lt;0,-((AA21/AB21)-1),(AA21/AB21)-1)</f>
        <v>0.11029911249827884</v>
      </c>
      <c r="AD21" s="656"/>
      <c r="AE21" s="656"/>
      <c r="AF21" s="657"/>
      <c r="AG21" s="657"/>
      <c r="AH21" s="658"/>
      <c r="AI21" s="658"/>
      <c r="AJ21" s="657"/>
    </row>
    <row r="22" spans="2:36" ht="13">
      <c r="B22" s="674" t="s">
        <v>146</v>
      </c>
      <c r="C22" s="937">
        <f>+C21/C13</f>
        <v>0.19931796787439701</v>
      </c>
      <c r="D22" s="937">
        <f>+D21/D13</f>
        <v>0.21105084902209345</v>
      </c>
      <c r="E22" s="675"/>
      <c r="F22" s="937">
        <f>+F21/F13</f>
        <v>0.3231733116649263</v>
      </c>
      <c r="G22" s="937">
        <f>+G21/G13</f>
        <v>0.22003048893305113</v>
      </c>
      <c r="H22" s="675"/>
      <c r="I22" s="676"/>
      <c r="J22" s="937">
        <f>+J21/J13</f>
        <v>0.21511436714410992</v>
      </c>
      <c r="K22" s="937">
        <f>+K21/K13</f>
        <v>-3.2578587230539693</v>
      </c>
      <c r="L22" s="675"/>
      <c r="M22" s="937">
        <f>+M21/M13</f>
        <v>-2.1999708231518289</v>
      </c>
      <c r="N22" s="937">
        <f>+N21/N13</f>
        <v>-0.54046829894151605</v>
      </c>
      <c r="O22" s="675"/>
      <c r="P22" s="937"/>
      <c r="Q22" s="675"/>
      <c r="R22" s="937">
        <f>+R21/R13</f>
        <v>0.29761140165764444</v>
      </c>
      <c r="S22" s="937">
        <f>+S21/S13</f>
        <v>0.41594717292612465</v>
      </c>
      <c r="T22" s="675"/>
      <c r="U22" s="937">
        <f>+U21/U13</f>
        <v>0.64366853406292068</v>
      </c>
      <c r="V22" s="937">
        <f>+V21/V13</f>
        <v>0.62066036845581996</v>
      </c>
      <c r="W22" s="675"/>
      <c r="X22" s="934"/>
      <c r="Y22" s="459"/>
      <c r="Z22" s="934"/>
      <c r="AA22" s="1156">
        <f>+AA21/AA13</f>
        <v>0.26102876939648273</v>
      </c>
      <c r="AB22" s="1157">
        <f>+AB21/AB13</f>
        <v>0.21358188064432534</v>
      </c>
      <c r="AC22" s="678"/>
      <c r="AD22" s="656"/>
    </row>
    <row r="23" spans="2:36" ht="12.5">
      <c r="B23" s="659"/>
      <c r="C23" s="670"/>
      <c r="D23" s="670"/>
      <c r="E23" s="660"/>
      <c r="F23" s="670"/>
      <c r="G23" s="670"/>
      <c r="H23" s="660"/>
      <c r="I23" s="659"/>
      <c r="J23" s="670"/>
      <c r="K23" s="670"/>
      <c r="L23" s="660"/>
      <c r="M23" s="670"/>
      <c r="N23" s="670"/>
      <c r="O23" s="660"/>
      <c r="P23" s="670"/>
      <c r="Q23" s="660"/>
      <c r="R23" s="670"/>
      <c r="S23" s="670"/>
      <c r="T23" s="660"/>
      <c r="U23" s="670"/>
      <c r="V23" s="670"/>
      <c r="W23" s="660"/>
      <c r="X23" s="670"/>
      <c r="Y23" s="659"/>
      <c r="Z23" s="670"/>
      <c r="AA23" s="1004"/>
      <c r="AB23" s="672"/>
      <c r="AC23" s="662"/>
      <c r="AD23" s="656"/>
    </row>
    <row r="24" spans="2:36">
      <c r="B24" s="673" t="s">
        <v>152</v>
      </c>
      <c r="C24" s="652">
        <v>2278894</v>
      </c>
      <c r="D24" s="652">
        <v>5396217</v>
      </c>
      <c r="E24" s="931">
        <f>IF(D24&lt;0,-((C24/D24)-1),(C24/D24)-1)</f>
        <v>-0.57768673869119791</v>
      </c>
      <c r="F24" s="652">
        <v>221411</v>
      </c>
      <c r="G24" s="652">
        <v>169670</v>
      </c>
      <c r="H24" s="931">
        <f>IF(G24&lt;0,-((F24/G24)-1),(F24/G24)-1)</f>
        <v>0.30495078682147692</v>
      </c>
      <c r="I24" s="673"/>
      <c r="J24" s="652">
        <v>1466</v>
      </c>
      <c r="K24" s="652">
        <v>-188961</v>
      </c>
      <c r="L24" s="931">
        <f>IF(K24&lt;0,-((J24/K24)-1),(J24/K24)-1)</f>
        <v>1.007758214658051</v>
      </c>
      <c r="M24" s="652">
        <v>-164278</v>
      </c>
      <c r="N24" s="652">
        <v>1407870</v>
      </c>
      <c r="O24" s="931">
        <f>IF(N24&lt;0,-((M24/N24)-1),(M24/N24)-1)</f>
        <v>-1.1166854894272908</v>
      </c>
      <c r="P24" s="652">
        <f>+M24-N24</f>
        <v>-1572148</v>
      </c>
      <c r="Q24" s="932" t="s">
        <v>636</v>
      </c>
      <c r="R24" s="652">
        <v>6112</v>
      </c>
      <c r="S24" s="652">
        <v>15399</v>
      </c>
      <c r="T24" s="931">
        <f>IF(S24&lt;0,-((R24/S24)-1),(R24/S24)-1)</f>
        <v>-0.6030911098123255</v>
      </c>
      <c r="U24" s="652">
        <v>89928</v>
      </c>
      <c r="V24" s="652">
        <v>46030</v>
      </c>
      <c r="W24" s="931">
        <f>IF(V24&lt;0,-((U24/V24)-1),(U24/V24)-1)</f>
        <v>0.95368238105583325</v>
      </c>
      <c r="X24" s="653">
        <f>139+1</f>
        <v>140</v>
      </c>
      <c r="Y24" s="636"/>
      <c r="Z24" s="652">
        <f>-163-1</f>
        <v>-164</v>
      </c>
      <c r="AA24" s="1001">
        <f>+C24+F24+J24+M24+R24+U24+X24</f>
        <v>2433673</v>
      </c>
      <c r="AB24" s="654">
        <f>+D24+G24+K24+N24+V24+S24++Z24</f>
        <v>6846061</v>
      </c>
      <c r="AC24" s="1151">
        <f>IF(AB24&lt;0,-((AA24/AB24)-1),(AA24/AB24)-1)</f>
        <v>-0.64451485313963752</v>
      </c>
      <c r="AD24" s="656"/>
      <c r="AE24" s="656"/>
      <c r="AF24" s="657"/>
      <c r="AG24" s="657"/>
      <c r="AH24" s="658"/>
      <c r="AI24" s="658"/>
      <c r="AJ24" s="657"/>
    </row>
    <row r="25" spans="2:36" ht="13">
      <c r="B25" s="674" t="s">
        <v>153</v>
      </c>
      <c r="C25" s="937">
        <f>+C24/C13</f>
        <v>0.90861622754818105</v>
      </c>
      <c r="D25" s="937">
        <f>+D24/D13</f>
        <v>2.0413515958104798</v>
      </c>
      <c r="E25" s="675"/>
      <c r="F25" s="937">
        <f>+F24/F13</f>
        <v>8.0138479941944119E-2</v>
      </c>
      <c r="G25" s="937">
        <f>+G24/G13</f>
        <v>5.146296528835579E-2</v>
      </c>
      <c r="H25" s="675"/>
      <c r="I25" s="676"/>
      <c r="J25" s="937">
        <f>+J24/J13</f>
        <v>1.3391552177725811E-2</v>
      </c>
      <c r="K25" s="937">
        <f>+K24/K13</f>
        <v>-9.7217163142460254</v>
      </c>
      <c r="L25" s="675"/>
      <c r="M25" s="937">
        <f>+M24/M13</f>
        <v>-5.9913928297895618</v>
      </c>
      <c r="N25" s="937">
        <f>+N24/N13</f>
        <v>75.263017213728219</v>
      </c>
      <c r="O25" s="675"/>
      <c r="P25" s="937"/>
      <c r="Q25" s="675"/>
      <c r="R25" s="937">
        <f>+R24/R13</f>
        <v>0.18692846438511179</v>
      </c>
      <c r="S25" s="937">
        <f>+S24/S13</f>
        <v>0.25421378456458937</v>
      </c>
      <c r="T25" s="675"/>
      <c r="U25" s="937">
        <f>+U24/U13</f>
        <v>0.55791099778518116</v>
      </c>
      <c r="V25" s="937">
        <f>+V24/V13</f>
        <v>0.4826414738232796</v>
      </c>
      <c r="W25" s="675"/>
      <c r="X25" s="934"/>
      <c r="Y25" s="459"/>
      <c r="Z25" s="934"/>
      <c r="AA25" s="1156">
        <f>+AA24/AA13</f>
        <v>0.43523179385911653</v>
      </c>
      <c r="AB25" s="1157">
        <f>+AB24/AB13</f>
        <v>1.1122826856042236</v>
      </c>
      <c r="AC25" s="678"/>
    </row>
    <row r="26" spans="2:36" ht="12.5">
      <c r="B26" s="659"/>
      <c r="C26" s="670"/>
      <c r="D26" s="670"/>
      <c r="E26" s="660"/>
      <c r="F26" s="670"/>
      <c r="G26" s="670"/>
      <c r="H26" s="660"/>
      <c r="I26" s="659"/>
      <c r="J26" s="670"/>
      <c r="K26" s="670"/>
      <c r="L26" s="660"/>
      <c r="M26" s="670"/>
      <c r="N26" s="670"/>
      <c r="O26" s="660"/>
      <c r="P26" s="670"/>
      <c r="Q26" s="660"/>
      <c r="R26" s="670"/>
      <c r="S26" s="670"/>
      <c r="T26" s="660"/>
      <c r="U26" s="670"/>
      <c r="V26" s="670"/>
      <c r="W26" s="660"/>
      <c r="X26" s="670"/>
      <c r="Y26" s="659"/>
      <c r="Z26" s="670"/>
      <c r="AA26" s="1004"/>
      <c r="AB26" s="672"/>
      <c r="AC26" s="662"/>
    </row>
    <row r="27" spans="2:36">
      <c r="B27" s="673" t="s">
        <v>155</v>
      </c>
      <c r="C27" s="835">
        <v>1220241</v>
      </c>
      <c r="D27" s="835">
        <v>2772472</v>
      </c>
      <c r="E27" s="931">
        <f>IF(D27&lt;0,-((C27/D27)-1),(C27/D27)-1)</f>
        <v>-0.55987256138204455</v>
      </c>
      <c r="F27" s="835">
        <v>68098</v>
      </c>
      <c r="G27" s="835">
        <v>64172</v>
      </c>
      <c r="H27" s="931">
        <f>IF(G27&lt;0,-((F27/G27)-1),(F27/G27)-1)</f>
        <v>6.1179330549149258E-2</v>
      </c>
      <c r="I27" s="620">
        <v>0</v>
      </c>
      <c r="J27" s="835">
        <v>1466</v>
      </c>
      <c r="K27" s="652">
        <v>-188961</v>
      </c>
      <c r="L27" s="938">
        <f>IF(K27&lt;0,-((J27/K27)-1),(J27/K27)-1)</f>
        <v>1.007758214658051</v>
      </c>
      <c r="M27" s="835">
        <v>-161143</v>
      </c>
      <c r="N27" s="652">
        <v>1270891</v>
      </c>
      <c r="O27" s="931">
        <f>IF(N27&lt;0,-((M27/N27)-1),(M27/N27)-1)</f>
        <v>-1.1267952955839644</v>
      </c>
      <c r="P27" s="652">
        <f>+M27-N27</f>
        <v>-1432034</v>
      </c>
      <c r="Q27" s="939"/>
      <c r="R27" s="835">
        <v>6064</v>
      </c>
      <c r="S27" s="835">
        <v>15306</v>
      </c>
      <c r="T27" s="931">
        <f>IF(S27&lt;0,-((R27/S27)-1),(R27/S27)-1)</f>
        <v>-0.6038154971906442</v>
      </c>
      <c r="U27" s="835">
        <v>89818</v>
      </c>
      <c r="V27" s="835">
        <v>45962</v>
      </c>
      <c r="W27" s="931">
        <f>IF(V27&lt;0,-((U27/V27)-1),(U27/V27)-1)</f>
        <v>0.95417953961968593</v>
      </c>
      <c r="X27" s="653">
        <v>139</v>
      </c>
      <c r="Y27" s="636"/>
      <c r="Z27" s="652">
        <f>-163+1</f>
        <v>-162</v>
      </c>
      <c r="AA27" s="1001">
        <f>+C27+F27+J27+M27+R27+U27+X27</f>
        <v>1224683</v>
      </c>
      <c r="AB27" s="654">
        <f>+D27+G27+K27+N27+V27+S27++Z27</f>
        <v>3979680</v>
      </c>
      <c r="AC27" s="1151">
        <f>IF(AB27&lt;0,-((AA27/AB27)-1),(AA27/AB27)-1)</f>
        <v>-0.6922659610822981</v>
      </c>
      <c r="AE27" s="656"/>
      <c r="AF27" s="657"/>
      <c r="AG27" s="657"/>
      <c r="AH27" s="658"/>
      <c r="AI27" s="658"/>
      <c r="AJ27" s="657"/>
    </row>
    <row r="28" spans="2:36" ht="13">
      <c r="B28" s="679" t="s">
        <v>156</v>
      </c>
      <c r="C28" s="940">
        <f>+C27/C13</f>
        <v>0.48652143281768262</v>
      </c>
      <c r="D28" s="940">
        <f>+D27/D13</f>
        <v>1.0488069960010638</v>
      </c>
      <c r="E28" s="681"/>
      <c r="F28" s="940">
        <f>+F27/F13</f>
        <v>2.464769233275E-2</v>
      </c>
      <c r="G28" s="940">
        <f>+G27/G13</f>
        <v>1.9464144565829952E-2</v>
      </c>
      <c r="H28" s="681"/>
      <c r="I28" s="682"/>
      <c r="J28" s="940">
        <f>+J27/J13</f>
        <v>1.3391552177725811E-2</v>
      </c>
      <c r="K28" s="940">
        <f>+K27/K13</f>
        <v>-9.7217163142460254</v>
      </c>
      <c r="L28" s="681"/>
      <c r="M28" s="940">
        <f>+M27/M13</f>
        <v>-5.8770560560195486</v>
      </c>
      <c r="N28" s="940">
        <f>+N27/N13</f>
        <v>67.940286539078372</v>
      </c>
      <c r="O28" s="681"/>
      <c r="P28" s="940"/>
      <c r="Q28" s="681"/>
      <c r="R28" s="940">
        <f>+R27/R13</f>
        <v>0.1854604397956999</v>
      </c>
      <c r="S28" s="940">
        <f>+S27/S13</f>
        <v>0.25267849773008666</v>
      </c>
      <c r="T28" s="681"/>
      <c r="U28" s="940">
        <f>+U27/U13</f>
        <v>0.55722856061593051</v>
      </c>
      <c r="V28" s="940">
        <f>+V27/V13</f>
        <v>0.48192846882175921</v>
      </c>
      <c r="W28" s="681"/>
      <c r="X28" s="940"/>
      <c r="Y28" s="682"/>
      <c r="Z28" s="940"/>
      <c r="AA28" s="1158">
        <f>+AA27/AA13</f>
        <v>0.21901914472435879</v>
      </c>
      <c r="AB28" s="1159">
        <f>+AB27/AB13</f>
        <v>0.64658044359309919</v>
      </c>
      <c r="AC28" s="684"/>
    </row>
    <row r="29" spans="2:36">
      <c r="E29" s="624"/>
      <c r="G29" s="624"/>
      <c r="H29" s="624"/>
      <c r="I29" s="624"/>
      <c r="AA29" s="685"/>
      <c r="AB29" s="686"/>
      <c r="AC29" s="685"/>
    </row>
    <row r="30" spans="2:36">
      <c r="C30" s="1160">
        <f>+C27/C24</f>
        <v>0.53545316280616828</v>
      </c>
      <c r="D30" s="1160">
        <f>+D27/D24</f>
        <v>0.51378067264529947</v>
      </c>
      <c r="E30" s="624"/>
      <c r="F30" s="1160">
        <f>+F27/F24</f>
        <v>0.30756376151139736</v>
      </c>
      <c r="G30" s="1160">
        <f>+G27/G24</f>
        <v>0.37821653798550126</v>
      </c>
      <c r="H30" s="624"/>
      <c r="I30" s="624"/>
      <c r="J30" s="1160">
        <f>+J27/J24</f>
        <v>1</v>
      </c>
      <c r="K30" s="1160">
        <f>+K27/K24</f>
        <v>1</v>
      </c>
      <c r="M30" s="1160">
        <f>+M27/M24</f>
        <v>0.98091649520934021</v>
      </c>
      <c r="N30" s="1161">
        <f>+N27/N24</f>
        <v>0.9027047951870556</v>
      </c>
      <c r="R30" s="1160">
        <f>+R27/R24</f>
        <v>0.99214659685863871</v>
      </c>
      <c r="S30" s="1160">
        <f>+S27/S24</f>
        <v>0.99396064679524643</v>
      </c>
      <c r="U30" s="1160">
        <f>+U27/U24</f>
        <v>0.99877679921715146</v>
      </c>
      <c r="V30" s="1160">
        <f>+V27/V24</f>
        <v>0.99852270258527043</v>
      </c>
      <c r="Z30" s="689"/>
      <c r="AA30" s="1160">
        <f>+AA27/AA24</f>
        <v>0.50322413898662643</v>
      </c>
      <c r="AB30" s="1160">
        <f>+AB27/AB24</f>
        <v>0.58130945663499056</v>
      </c>
    </row>
    <row r="31" spans="2:36">
      <c r="C31" s="627"/>
      <c r="E31" s="624"/>
      <c r="F31" s="624"/>
      <c r="G31" s="624"/>
      <c r="H31" s="624"/>
      <c r="I31" s="624"/>
      <c r="Q31" s="689"/>
      <c r="X31" s="689"/>
      <c r="Z31" s="689"/>
      <c r="AA31" s="690"/>
      <c r="AB31" s="690"/>
    </row>
    <row r="32" spans="2:36">
      <c r="E32" s="624"/>
      <c r="F32" s="624"/>
      <c r="G32" s="624"/>
      <c r="H32" s="624"/>
      <c r="I32" s="624"/>
      <c r="P32" s="689"/>
      <c r="AA32" s="690"/>
      <c r="AB32" s="615"/>
    </row>
    <row r="33" spans="1:28">
      <c r="A33" s="691" t="s">
        <v>310</v>
      </c>
      <c r="B33" s="692" t="s">
        <v>311</v>
      </c>
      <c r="C33" s="693"/>
      <c r="D33" s="693"/>
      <c r="E33" s="693"/>
      <c r="F33" s="693"/>
      <c r="G33" s="693"/>
      <c r="N33" s="673"/>
      <c r="O33" s="673"/>
      <c r="P33" s="673"/>
      <c r="Q33" s="673"/>
      <c r="AA33" s="690"/>
      <c r="AB33" s="615"/>
    </row>
    <row r="34" spans="1:28">
      <c r="A34" s="691" t="s">
        <v>312</v>
      </c>
      <c r="B34" s="692" t="s">
        <v>651</v>
      </c>
      <c r="C34" s="693"/>
      <c r="D34" s="693"/>
      <c r="E34" s="693"/>
      <c r="F34" s="693"/>
      <c r="G34" s="693"/>
      <c r="N34" s="1162"/>
      <c r="Q34" s="694"/>
      <c r="AA34" s="690"/>
      <c r="AB34" s="615"/>
    </row>
    <row r="35" spans="1:28">
      <c r="A35" s="691" t="s">
        <v>308</v>
      </c>
      <c r="B35" s="692" t="s">
        <v>313</v>
      </c>
      <c r="C35" s="693"/>
      <c r="D35" s="693"/>
      <c r="E35" s="693"/>
      <c r="F35" s="693"/>
      <c r="G35" s="693"/>
      <c r="N35" s="1162"/>
      <c r="Q35" s="694"/>
      <c r="AA35" s="690"/>
      <c r="AB35" s="615"/>
    </row>
    <row r="36" spans="1:28">
      <c r="A36" s="691"/>
      <c r="B36" s="692" t="s">
        <v>314</v>
      </c>
      <c r="C36" s="693"/>
      <c r="D36" s="693"/>
      <c r="E36" s="624"/>
      <c r="F36" s="624"/>
      <c r="G36" s="624"/>
      <c r="H36" s="624"/>
      <c r="I36" s="624"/>
      <c r="M36" s="673"/>
      <c r="N36" s="1163"/>
      <c r="Q36" s="696"/>
      <c r="AA36" s="690"/>
      <c r="AB36" s="615"/>
    </row>
    <row r="37" spans="1:28">
      <c r="A37" s="691"/>
      <c r="B37" s="692"/>
      <c r="C37" s="693"/>
      <c r="D37" s="693"/>
      <c r="E37" s="624"/>
      <c r="F37" s="624"/>
      <c r="G37" s="624"/>
      <c r="H37" s="624"/>
      <c r="I37" s="624"/>
      <c r="M37" s="673"/>
      <c r="N37" s="658"/>
      <c r="AA37" s="690"/>
      <c r="AB37" s="615"/>
    </row>
    <row r="38" spans="1:28">
      <c r="E38" s="624"/>
      <c r="F38" s="624"/>
      <c r="G38" s="624"/>
      <c r="H38" s="624"/>
      <c r="I38" s="624"/>
      <c r="M38" s="673"/>
      <c r="AA38" s="690"/>
      <c r="AB38" s="615"/>
    </row>
    <row r="39" spans="1:28">
      <c r="A39" s="697"/>
      <c r="B39" s="692"/>
      <c r="E39" s="624"/>
      <c r="F39" s="624"/>
      <c r="G39" s="624"/>
      <c r="H39" s="624"/>
      <c r="I39" s="624"/>
      <c r="M39" s="673"/>
      <c r="AA39" s="690"/>
      <c r="AB39" s="615"/>
    </row>
    <row r="40" spans="1:28">
      <c r="E40" s="624"/>
      <c r="F40" s="624"/>
      <c r="G40" s="624"/>
      <c r="H40" s="624"/>
      <c r="I40" s="624"/>
      <c r="M40" s="673"/>
      <c r="N40" s="658"/>
      <c r="AA40" s="690"/>
      <c r="AB40" s="615"/>
    </row>
    <row r="41" spans="1:28" hidden="1">
      <c r="A41" s="697" t="s">
        <v>310</v>
      </c>
      <c r="B41" s="692" t="s">
        <v>315</v>
      </c>
      <c r="C41" s="1149"/>
      <c r="F41" s="1149"/>
      <c r="J41" s="1149"/>
      <c r="M41" s="940">
        <v>-2.5543487267779836</v>
      </c>
      <c r="AA41" s="1164"/>
      <c r="AB41" s="615"/>
    </row>
    <row r="42" spans="1:28" hidden="1">
      <c r="A42" s="697" t="s">
        <v>312</v>
      </c>
      <c r="B42" s="692" t="s">
        <v>316</v>
      </c>
      <c r="C42" s="1149"/>
      <c r="F42" s="1149"/>
      <c r="J42" s="1149"/>
      <c r="M42" s="1149"/>
      <c r="AA42" s="1164"/>
      <c r="AB42" s="615"/>
    </row>
    <row r="43" spans="1:28" hidden="1">
      <c r="A43" s="697" t="s">
        <v>308</v>
      </c>
      <c r="B43" s="692" t="s">
        <v>317</v>
      </c>
      <c r="F43" s="624"/>
      <c r="AA43" s="699"/>
      <c r="AB43" s="615"/>
    </row>
    <row r="44" spans="1:28" ht="12.5" hidden="1">
      <c r="A44" s="697" t="s">
        <v>318</v>
      </c>
      <c r="B44" s="692" t="s">
        <v>319</v>
      </c>
      <c r="AA44" s="699"/>
      <c r="AB44" s="700"/>
    </row>
    <row r="45" spans="1:28" hidden="1">
      <c r="A45" s="697" t="s">
        <v>320</v>
      </c>
      <c r="B45" s="692" t="s">
        <v>321</v>
      </c>
      <c r="H45" s="663" t="s">
        <v>308</v>
      </c>
      <c r="I45" s="701"/>
      <c r="AA45" s="614"/>
      <c r="AB45" s="615"/>
    </row>
    <row r="46" spans="1:28" hidden="1">
      <c r="B46" s="692" t="s">
        <v>322</v>
      </c>
      <c r="H46" s="697"/>
      <c r="I46" s="701" t="s">
        <v>323</v>
      </c>
      <c r="AA46" s="614"/>
      <c r="AB46" s="615"/>
    </row>
    <row r="47" spans="1:28" hidden="1">
      <c r="H47" s="663" t="s">
        <v>318</v>
      </c>
      <c r="I47" s="701"/>
      <c r="AA47" s="699"/>
      <c r="AB47" s="615"/>
    </row>
    <row r="48" spans="1:28" hidden="1">
      <c r="E48" s="702"/>
      <c r="F48" s="702"/>
      <c r="G48" s="702"/>
      <c r="H48" s="702"/>
      <c r="I48" s="703"/>
      <c r="AA48" s="699"/>
      <c r="AB48" s="615"/>
    </row>
    <row r="49" spans="1:28" hidden="1">
      <c r="A49" s="697" t="s">
        <v>310</v>
      </c>
      <c r="B49" s="692" t="s">
        <v>324</v>
      </c>
      <c r="E49" s="702"/>
      <c r="F49" s="702"/>
      <c r="G49" s="702"/>
      <c r="H49" s="702"/>
      <c r="I49" s="703"/>
      <c r="AA49" s="699"/>
      <c r="AB49" s="615"/>
    </row>
    <row r="50" spans="1:28" hidden="1">
      <c r="A50" s="697" t="s">
        <v>312</v>
      </c>
      <c r="B50" s="692" t="s">
        <v>325</v>
      </c>
      <c r="AA50" s="699"/>
      <c r="AB50" s="615"/>
    </row>
    <row r="51" spans="1:28" hidden="1">
      <c r="A51" s="697" t="s">
        <v>308</v>
      </c>
      <c r="B51" s="692" t="s">
        <v>326</v>
      </c>
      <c r="E51" s="702"/>
      <c r="F51" s="702"/>
      <c r="G51" s="702"/>
      <c r="H51" s="702"/>
      <c r="I51" s="703"/>
      <c r="AA51" s="699"/>
      <c r="AB51" s="615"/>
    </row>
    <row r="52" spans="1:28" hidden="1">
      <c r="A52" s="697" t="s">
        <v>318</v>
      </c>
      <c r="B52" s="692" t="s">
        <v>327</v>
      </c>
      <c r="E52" s="624"/>
      <c r="F52" s="624"/>
      <c r="G52" s="624"/>
      <c r="H52" s="624"/>
      <c r="I52" s="624"/>
      <c r="AA52" s="690"/>
      <c r="AB52" s="615"/>
    </row>
    <row r="53" spans="1:28" hidden="1">
      <c r="A53" s="697" t="s">
        <v>320</v>
      </c>
      <c r="B53" s="692" t="s">
        <v>328</v>
      </c>
      <c r="E53" s="624"/>
      <c r="F53" s="624"/>
      <c r="G53" s="624"/>
      <c r="H53" s="624"/>
      <c r="I53" s="624"/>
      <c r="AA53" s="615"/>
      <c r="AB53" s="615"/>
    </row>
    <row r="54" spans="1:28" hidden="1">
      <c r="A54" s="697" t="s">
        <v>329</v>
      </c>
      <c r="B54" s="692" t="s">
        <v>330</v>
      </c>
      <c r="E54" s="624"/>
      <c r="F54" s="624"/>
      <c r="G54" s="624"/>
      <c r="H54" s="624"/>
      <c r="I54" s="624"/>
      <c r="AA54" s="615"/>
      <c r="AB54" s="615"/>
    </row>
    <row r="55" spans="1:28" hidden="1">
      <c r="B55" s="692" t="s">
        <v>331</v>
      </c>
      <c r="E55" s="624"/>
      <c r="F55" s="624"/>
      <c r="G55" s="624"/>
      <c r="H55" s="624"/>
      <c r="I55" s="624"/>
      <c r="AA55" s="615"/>
      <c r="AB55" s="615"/>
    </row>
    <row r="56" spans="1:28">
      <c r="E56" s="624"/>
      <c r="F56" s="624"/>
      <c r="G56" s="624"/>
      <c r="H56" s="624"/>
      <c r="I56" s="624"/>
      <c r="M56" s="673"/>
      <c r="AA56" s="615"/>
      <c r="AB56" s="615"/>
    </row>
    <row r="57" spans="1:28">
      <c r="D57" s="95"/>
      <c r="AA57" s="615"/>
      <c r="AB57" s="615"/>
    </row>
    <row r="58" spans="1:28">
      <c r="AA58" s="615"/>
      <c r="AB58" s="615"/>
    </row>
    <row r="59" spans="1:28">
      <c r="AA59" s="614"/>
      <c r="AB59" s="615"/>
    </row>
    <row r="60" spans="1:28">
      <c r="A60" s="697"/>
      <c r="B60" s="692"/>
      <c r="AA60" s="614"/>
      <c r="AB60" s="615"/>
    </row>
    <row r="61" spans="1:28">
      <c r="A61" s="697"/>
      <c r="B61" s="692"/>
      <c r="AA61" s="614"/>
      <c r="AB61" s="615"/>
    </row>
    <row r="62" spans="1:28">
      <c r="B62" s="692"/>
      <c r="E62" s="624"/>
      <c r="F62" s="624"/>
      <c r="G62" s="624"/>
      <c r="H62" s="624"/>
      <c r="I62" s="624"/>
      <c r="AA62" s="614"/>
      <c r="AB62" s="615"/>
    </row>
    <row r="63" spans="1:28">
      <c r="E63" s="624"/>
      <c r="F63" s="624"/>
      <c r="G63" s="624"/>
      <c r="H63" s="624"/>
      <c r="I63" s="624"/>
      <c r="AA63" s="614"/>
      <c r="AB63" s="615"/>
    </row>
    <row r="64" spans="1:28">
      <c r="A64" s="697"/>
      <c r="B64" s="701"/>
      <c r="E64" s="663"/>
      <c r="G64" s="702"/>
      <c r="H64" s="702"/>
      <c r="I64" s="703"/>
      <c r="AA64" s="614"/>
      <c r="AB64" s="615"/>
    </row>
    <row r="65" spans="1:28">
      <c r="A65" s="697"/>
      <c r="B65" s="701"/>
      <c r="E65" s="697"/>
      <c r="G65" s="702"/>
      <c r="H65" s="702"/>
      <c r="I65" s="703"/>
      <c r="AA65" s="614"/>
      <c r="AB65" s="615"/>
    </row>
    <row r="66" spans="1:28">
      <c r="A66" s="697"/>
      <c r="B66" s="701"/>
      <c r="E66" s="697"/>
      <c r="G66" s="702"/>
      <c r="H66" s="702"/>
      <c r="I66" s="703"/>
      <c r="AA66" s="614"/>
      <c r="AB66" s="615"/>
    </row>
    <row r="67" spans="1:28">
      <c r="E67" s="663"/>
      <c r="G67" s="702"/>
      <c r="H67" s="702"/>
      <c r="I67" s="703"/>
      <c r="AA67" s="614"/>
      <c r="AB67" s="615"/>
    </row>
    <row r="68" spans="1:28">
      <c r="A68" s="697"/>
      <c r="B68" s="701"/>
      <c r="E68" s="697"/>
      <c r="F68" s="704"/>
      <c r="G68" s="702"/>
      <c r="H68" s="702"/>
      <c r="I68" s="703"/>
      <c r="AA68" s="614"/>
      <c r="AB68" s="615"/>
    </row>
    <row r="69" spans="1:28">
      <c r="A69" s="697"/>
      <c r="B69" s="701"/>
      <c r="E69" s="697"/>
      <c r="F69" s="705"/>
      <c r="G69" s="702"/>
      <c r="H69" s="702"/>
      <c r="I69" s="703"/>
      <c r="AA69" s="614"/>
      <c r="AB69" s="615"/>
    </row>
    <row r="70" spans="1:28">
      <c r="E70" s="624"/>
      <c r="F70" s="624"/>
      <c r="G70" s="624"/>
      <c r="H70" s="624"/>
      <c r="I70" s="624"/>
      <c r="AA70" s="614"/>
      <c r="AB70" s="615"/>
    </row>
    <row r="71" spans="1:28">
      <c r="AA71" s="614"/>
      <c r="AB71" s="615"/>
    </row>
    <row r="72" spans="1:28">
      <c r="AA72" s="614"/>
      <c r="AB72" s="615"/>
    </row>
    <row r="73" spans="1:28">
      <c r="AA73" s="614"/>
      <c r="AB73" s="615"/>
    </row>
    <row r="74" spans="1:28">
      <c r="AA74" s="614"/>
      <c r="AB74" s="615"/>
    </row>
    <row r="75" spans="1:28">
      <c r="AA75" s="614"/>
      <c r="AB75" s="615"/>
    </row>
    <row r="76" spans="1:28">
      <c r="AA76" s="614"/>
      <c r="AB76" s="615"/>
    </row>
    <row r="77" spans="1:28">
      <c r="AA77" s="614"/>
      <c r="AB77" s="615"/>
    </row>
    <row r="78" spans="1:28">
      <c r="AA78" s="614"/>
      <c r="AB78" s="615"/>
    </row>
    <row r="79" spans="1:28">
      <c r="AA79" s="614"/>
      <c r="AB79" s="615"/>
    </row>
    <row r="80" spans="1:28">
      <c r="AA80" s="614"/>
      <c r="AB80" s="615"/>
    </row>
    <row r="81" spans="27:28">
      <c r="AA81" s="614"/>
      <c r="AB81" s="615"/>
    </row>
    <row r="82" spans="27:28">
      <c r="AA82" s="614"/>
      <c r="AB82" s="615"/>
    </row>
    <row r="83" spans="27:28">
      <c r="AA83" s="614"/>
      <c r="AB83" s="615"/>
    </row>
    <row r="84" spans="27:28">
      <c r="AA84" s="614"/>
      <c r="AB84" s="615"/>
    </row>
    <row r="85" spans="27:28">
      <c r="AA85" s="614"/>
      <c r="AB85" s="615"/>
    </row>
  </sheetData>
  <mergeCells count="5">
    <mergeCell ref="C9:D9"/>
    <mergeCell ref="F9:G9"/>
    <mergeCell ref="J9:K9"/>
    <mergeCell ref="M9:N9"/>
    <mergeCell ref="AA9:AB9"/>
  </mergeCells>
  <pageMargins left="0.75" right="0.75" top="1" bottom="1" header="0" footer="0"/>
  <pageSetup orientation="portrait" r:id="rId1"/>
  <headerFooter alignWithMargins="0"/>
  <customProperties>
    <customPr name="EpmWorksheetKeyString_GUID" r:id="rId2"/>
  </customProperties>
  <drawing r:id="rId3"/>
  <legacyDrawing r:id="rId4"/>
  <controls>
    <mc:AlternateContent xmlns:mc="http://schemas.openxmlformats.org/markup-compatibility/2006">
      <mc:Choice Requires="x14">
        <control shapeId="38913" r:id="rId5" name="FPMExcelClientSheetOptionstb1">
          <controlPr defaultSize="0" autoLine="0" autoPict="0" r:id="rId6">
            <anchor moveWithCells="1" sizeWithCells="1">
              <from>
                <xdr:col>0</xdr:col>
                <xdr:colOff>0</xdr:colOff>
                <xdr:row>0</xdr:row>
                <xdr:rowOff>0</xdr:rowOff>
              </from>
              <to>
                <xdr:col>1</xdr:col>
                <xdr:colOff>476250</xdr:colOff>
                <xdr:row>0</xdr:row>
                <xdr:rowOff>0</xdr:rowOff>
              </to>
            </anchor>
          </controlPr>
        </control>
      </mc:Choice>
      <mc:Fallback>
        <control shapeId="38913" r:id="rId5"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E322A-FAC8-471F-A09A-C95AF2CB3EE3}">
  <dimension ref="A1:AM89"/>
  <sheetViews>
    <sheetView showGridLines="0" topLeftCell="A20" zoomScale="90" zoomScaleNormal="90" workbookViewId="0">
      <selection activeCell="B33" sqref="B33"/>
    </sheetView>
  </sheetViews>
  <sheetFormatPr baseColWidth="10" defaultRowHeight="14.5"/>
  <cols>
    <col min="1" max="1" width="5.7265625" style="614" customWidth="1"/>
    <col min="2" max="2" width="32.1796875" style="614" customWidth="1"/>
    <col min="3" max="3" width="13.81640625" style="614" bestFit="1" customWidth="1"/>
    <col min="4" max="4" width="13.54296875" style="614" bestFit="1" customWidth="1"/>
    <col min="5" max="5" width="6.7265625" style="614" customWidth="1"/>
    <col min="6" max="6" width="10.81640625" style="614" bestFit="1" customWidth="1"/>
    <col min="7" max="7" width="12.81640625" style="614" bestFit="1" customWidth="1"/>
    <col min="8" max="8" width="6.7265625" style="614" customWidth="1"/>
    <col min="9" max="9" width="1" style="614" customWidth="1"/>
    <col min="10" max="10" width="9.26953125" style="614" customWidth="1"/>
    <col min="11" max="11" width="9.26953125" style="614" bestFit="1" customWidth="1"/>
    <col min="12" max="12" width="8.26953125" style="614" bestFit="1" customWidth="1"/>
    <col min="13" max="13" width="11.7265625" style="614" bestFit="1" customWidth="1"/>
    <col min="14" max="14" width="11.1796875" style="614" customWidth="1"/>
    <col min="15" max="15" width="6.7265625" style="614" bestFit="1" customWidth="1"/>
    <col min="16" max="16" width="10.81640625" style="614" bestFit="1" customWidth="1"/>
    <col min="17" max="17" width="15.1796875" style="614" customWidth="1"/>
    <col min="18" max="18" width="11.26953125" style="614" bestFit="1" customWidth="1"/>
    <col min="19" max="19" width="9.26953125" style="614" bestFit="1" customWidth="1"/>
    <col min="20" max="20" width="6.7265625" style="614" bestFit="1" customWidth="1"/>
    <col min="21" max="22" width="10.81640625" style="614" bestFit="1" customWidth="1"/>
    <col min="23" max="23" width="6.7265625" style="614" bestFit="1" customWidth="1"/>
    <col min="24" max="24" width="17.1796875" style="614" customWidth="1"/>
    <col min="25" max="25" width="4.81640625" style="614" bestFit="1" customWidth="1"/>
    <col min="26" max="26" width="16" style="614" customWidth="1"/>
    <col min="27" max="27" width="13" style="706" bestFit="1" customWidth="1"/>
    <col min="28" max="28" width="12" style="624" bestFit="1" customWidth="1"/>
    <col min="29" max="29" width="6.7265625" style="614" bestFit="1" customWidth="1"/>
    <col min="30" max="30" width="11.453125" style="614"/>
    <col min="31" max="31" width="15.453125" style="614" bestFit="1" customWidth="1"/>
    <col min="32" max="32" width="16.54296875" style="614" bestFit="1" customWidth="1"/>
    <col min="33" max="33" width="14.453125" style="614" bestFit="1" customWidth="1"/>
    <col min="34" max="34" width="15.453125" style="614" bestFit="1" customWidth="1"/>
    <col min="35" max="254" width="11.453125" style="614"/>
    <col min="255" max="255" width="5.7265625" style="614" customWidth="1"/>
    <col min="256" max="256" width="35.1796875" style="614" customWidth="1"/>
    <col min="257" max="258" width="10.26953125" style="614" customWidth="1"/>
    <col min="259" max="259" width="7.453125" style="614" customWidth="1"/>
    <col min="260" max="261" width="10.26953125" style="614" customWidth="1"/>
    <col min="262" max="262" width="7" style="614" customWidth="1"/>
    <col min="263" max="263" width="1" style="614" customWidth="1"/>
    <col min="264" max="265" width="8.7265625" style="614" customWidth="1"/>
    <col min="266" max="266" width="7.453125" style="614" customWidth="1"/>
    <col min="267" max="268" width="8.7265625" style="614" customWidth="1"/>
    <col min="269" max="269" width="8.453125" style="614" bestFit="1" customWidth="1"/>
    <col min="270" max="270" width="10.26953125" style="614" customWidth="1"/>
    <col min="271" max="271" width="10" style="614" customWidth="1"/>
    <col min="272" max="272" width="5.26953125" style="614" bestFit="1" customWidth="1"/>
    <col min="273" max="274" width="8.7265625" style="614" customWidth="1"/>
    <col min="275" max="275" width="9.7265625" style="614" customWidth="1"/>
    <col min="276" max="277" width="10.26953125" style="614" customWidth="1"/>
    <col min="278" max="278" width="7.81640625" style="614" bestFit="1" customWidth="1"/>
    <col min="279" max="279" width="13.453125" style="614" customWidth="1"/>
    <col min="280" max="280" width="3.26953125" style="614" customWidth="1"/>
    <col min="281" max="281" width="17.1796875" style="614" customWidth="1"/>
    <col min="282" max="282" width="14.453125" style="614" bestFit="1" customWidth="1"/>
    <col min="283" max="283" width="10.26953125" style="614" customWidth="1"/>
    <col min="284" max="284" width="6" style="614" bestFit="1" customWidth="1"/>
    <col min="285" max="285" width="11.453125" style="614"/>
    <col min="286" max="287" width="14.453125" style="614" bestFit="1" customWidth="1"/>
    <col min="288" max="288" width="12.81640625" style="614" bestFit="1" customWidth="1"/>
    <col min="289" max="289" width="14.453125" style="614" bestFit="1" customWidth="1"/>
    <col min="290" max="510" width="11.453125" style="614"/>
    <col min="511" max="511" width="5.7265625" style="614" customWidth="1"/>
    <col min="512" max="512" width="35.1796875" style="614" customWidth="1"/>
    <col min="513" max="514" width="10.26953125" style="614" customWidth="1"/>
    <col min="515" max="515" width="7.453125" style="614" customWidth="1"/>
    <col min="516" max="517" width="10.26953125" style="614" customWidth="1"/>
    <col min="518" max="518" width="7" style="614" customWidth="1"/>
    <col min="519" max="519" width="1" style="614" customWidth="1"/>
    <col min="520" max="521" width="8.7265625" style="614" customWidth="1"/>
    <col min="522" max="522" width="7.453125" style="614" customWidth="1"/>
    <col min="523" max="524" width="8.7265625" style="614" customWidth="1"/>
    <col min="525" max="525" width="8.453125" style="614" bestFit="1" customWidth="1"/>
    <col min="526" max="526" width="10.26953125" style="614" customWidth="1"/>
    <col min="527" max="527" width="10" style="614" customWidth="1"/>
    <col min="528" max="528" width="5.26953125" style="614" bestFit="1" customWidth="1"/>
    <col min="529" max="530" width="8.7265625" style="614" customWidth="1"/>
    <col min="531" max="531" width="9.7265625" style="614" customWidth="1"/>
    <col min="532" max="533" width="10.26953125" style="614" customWidth="1"/>
    <col min="534" max="534" width="7.81640625" style="614" bestFit="1" customWidth="1"/>
    <col min="535" max="535" width="13.453125" style="614" customWidth="1"/>
    <col min="536" max="536" width="3.26953125" style="614" customWidth="1"/>
    <col min="537" max="537" width="17.1796875" style="614" customWidth="1"/>
    <col min="538" max="538" width="14.453125" style="614" bestFit="1" customWidth="1"/>
    <col min="539" max="539" width="10.26953125" style="614" customWidth="1"/>
    <col min="540" max="540" width="6" style="614" bestFit="1" customWidth="1"/>
    <col min="541" max="541" width="11.453125" style="614"/>
    <col min="542" max="543" width="14.453125" style="614" bestFit="1" customWidth="1"/>
    <col min="544" max="544" width="12.81640625" style="614" bestFit="1" customWidth="1"/>
    <col min="545" max="545" width="14.453125" style="614" bestFit="1" customWidth="1"/>
    <col min="546" max="766" width="11.453125" style="614"/>
    <col min="767" max="767" width="5.7265625" style="614" customWidth="1"/>
    <col min="768" max="768" width="35.1796875" style="614" customWidth="1"/>
    <col min="769" max="770" width="10.26953125" style="614" customWidth="1"/>
    <col min="771" max="771" width="7.453125" style="614" customWidth="1"/>
    <col min="772" max="773" width="10.26953125" style="614" customWidth="1"/>
    <col min="774" max="774" width="7" style="614" customWidth="1"/>
    <col min="775" max="775" width="1" style="614" customWidth="1"/>
    <col min="776" max="777" width="8.7265625" style="614" customWidth="1"/>
    <col min="778" max="778" width="7.453125" style="614" customWidth="1"/>
    <col min="779" max="780" width="8.7265625" style="614" customWidth="1"/>
    <col min="781" max="781" width="8.453125" style="614" bestFit="1" customWidth="1"/>
    <col min="782" max="782" width="10.26953125" style="614" customWidth="1"/>
    <col min="783" max="783" width="10" style="614" customWidth="1"/>
    <col min="784" max="784" width="5.26953125" style="614" bestFit="1" customWidth="1"/>
    <col min="785" max="786" width="8.7265625" style="614" customWidth="1"/>
    <col min="787" max="787" width="9.7265625" style="614" customWidth="1"/>
    <col min="788" max="789" width="10.26953125" style="614" customWidth="1"/>
    <col min="790" max="790" width="7.81640625" style="614" bestFit="1" customWidth="1"/>
    <col min="791" max="791" width="13.453125" style="614" customWidth="1"/>
    <col min="792" max="792" width="3.26953125" style="614" customWidth="1"/>
    <col min="793" max="793" width="17.1796875" style="614" customWidth="1"/>
    <col min="794" max="794" width="14.453125" style="614" bestFit="1" customWidth="1"/>
    <col min="795" max="795" width="10.26953125" style="614" customWidth="1"/>
    <col min="796" max="796" width="6" style="614" bestFit="1" customWidth="1"/>
    <col min="797" max="797" width="11.453125" style="614"/>
    <col min="798" max="799" width="14.453125" style="614" bestFit="1" customWidth="1"/>
    <col min="800" max="800" width="12.81640625" style="614" bestFit="1" customWidth="1"/>
    <col min="801" max="801" width="14.453125" style="614" bestFit="1" customWidth="1"/>
    <col min="802" max="1022" width="11.453125" style="614"/>
    <col min="1023" max="1023" width="5.7265625" style="614" customWidth="1"/>
    <col min="1024" max="1024" width="35.1796875" style="614" customWidth="1"/>
    <col min="1025" max="1026" width="10.26953125" style="614" customWidth="1"/>
    <col min="1027" max="1027" width="7.453125" style="614" customWidth="1"/>
    <col min="1028" max="1029" width="10.26953125" style="614" customWidth="1"/>
    <col min="1030" max="1030" width="7" style="614" customWidth="1"/>
    <col min="1031" max="1031" width="1" style="614" customWidth="1"/>
    <col min="1032" max="1033" width="8.7265625" style="614" customWidth="1"/>
    <col min="1034" max="1034" width="7.453125" style="614" customWidth="1"/>
    <col min="1035" max="1036" width="8.7265625" style="614" customWidth="1"/>
    <col min="1037" max="1037" width="8.453125" style="614" bestFit="1" customWidth="1"/>
    <col min="1038" max="1038" width="10.26953125" style="614" customWidth="1"/>
    <col min="1039" max="1039" width="10" style="614" customWidth="1"/>
    <col min="1040" max="1040" width="5.26953125" style="614" bestFit="1" customWidth="1"/>
    <col min="1041" max="1042" width="8.7265625" style="614" customWidth="1"/>
    <col min="1043" max="1043" width="9.7265625" style="614" customWidth="1"/>
    <col min="1044" max="1045" width="10.26953125" style="614" customWidth="1"/>
    <col min="1046" max="1046" width="7.81640625" style="614" bestFit="1" customWidth="1"/>
    <col min="1047" max="1047" width="13.453125" style="614" customWidth="1"/>
    <col min="1048" max="1048" width="3.26953125" style="614" customWidth="1"/>
    <col min="1049" max="1049" width="17.1796875" style="614" customWidth="1"/>
    <col min="1050" max="1050" width="14.453125" style="614" bestFit="1" customWidth="1"/>
    <col min="1051" max="1051" width="10.26953125" style="614" customWidth="1"/>
    <col min="1052" max="1052" width="6" style="614" bestFit="1" customWidth="1"/>
    <col min="1053" max="1053" width="11.453125" style="614"/>
    <col min="1054" max="1055" width="14.453125" style="614" bestFit="1" customWidth="1"/>
    <col min="1056" max="1056" width="12.81640625" style="614" bestFit="1" customWidth="1"/>
    <col min="1057" max="1057" width="14.453125" style="614" bestFit="1" customWidth="1"/>
    <col min="1058" max="1278" width="11.453125" style="614"/>
    <col min="1279" max="1279" width="5.7265625" style="614" customWidth="1"/>
    <col min="1280" max="1280" width="35.1796875" style="614" customWidth="1"/>
    <col min="1281" max="1282" width="10.26953125" style="614" customWidth="1"/>
    <col min="1283" max="1283" width="7.453125" style="614" customWidth="1"/>
    <col min="1284" max="1285" width="10.26953125" style="614" customWidth="1"/>
    <col min="1286" max="1286" width="7" style="614" customWidth="1"/>
    <col min="1287" max="1287" width="1" style="614" customWidth="1"/>
    <col min="1288" max="1289" width="8.7265625" style="614" customWidth="1"/>
    <col min="1290" max="1290" width="7.453125" style="614" customWidth="1"/>
    <col min="1291" max="1292" width="8.7265625" style="614" customWidth="1"/>
    <col min="1293" max="1293" width="8.453125" style="614" bestFit="1" customWidth="1"/>
    <col min="1294" max="1294" width="10.26953125" style="614" customWidth="1"/>
    <col min="1295" max="1295" width="10" style="614" customWidth="1"/>
    <col min="1296" max="1296" width="5.26953125" style="614" bestFit="1" customWidth="1"/>
    <col min="1297" max="1298" width="8.7265625" style="614" customWidth="1"/>
    <col min="1299" max="1299" width="9.7265625" style="614" customWidth="1"/>
    <col min="1300" max="1301" width="10.26953125" style="614" customWidth="1"/>
    <col min="1302" max="1302" width="7.81640625" style="614" bestFit="1" customWidth="1"/>
    <col min="1303" max="1303" width="13.453125" style="614" customWidth="1"/>
    <col min="1304" max="1304" width="3.26953125" style="614" customWidth="1"/>
    <col min="1305" max="1305" width="17.1796875" style="614" customWidth="1"/>
    <col min="1306" max="1306" width="14.453125" style="614" bestFit="1" customWidth="1"/>
    <col min="1307" max="1307" width="10.26953125" style="614" customWidth="1"/>
    <col min="1308" max="1308" width="6" style="614" bestFit="1" customWidth="1"/>
    <col min="1309" max="1309" width="11.453125" style="614"/>
    <col min="1310" max="1311" width="14.453125" style="614" bestFit="1" customWidth="1"/>
    <col min="1312" max="1312" width="12.81640625" style="614" bestFit="1" customWidth="1"/>
    <col min="1313" max="1313" width="14.453125" style="614" bestFit="1" customWidth="1"/>
    <col min="1314" max="1534" width="11.453125" style="614"/>
    <col min="1535" max="1535" width="5.7265625" style="614" customWidth="1"/>
    <col min="1536" max="1536" width="35.1796875" style="614" customWidth="1"/>
    <col min="1537" max="1538" width="10.26953125" style="614" customWidth="1"/>
    <col min="1539" max="1539" width="7.453125" style="614" customWidth="1"/>
    <col min="1540" max="1541" width="10.26953125" style="614" customWidth="1"/>
    <col min="1542" max="1542" width="7" style="614" customWidth="1"/>
    <col min="1543" max="1543" width="1" style="614" customWidth="1"/>
    <col min="1544" max="1545" width="8.7265625" style="614" customWidth="1"/>
    <col min="1546" max="1546" width="7.453125" style="614" customWidth="1"/>
    <col min="1547" max="1548" width="8.7265625" style="614" customWidth="1"/>
    <col min="1549" max="1549" width="8.453125" style="614" bestFit="1" customWidth="1"/>
    <col min="1550" max="1550" width="10.26953125" style="614" customWidth="1"/>
    <col min="1551" max="1551" width="10" style="614" customWidth="1"/>
    <col min="1552" max="1552" width="5.26953125" style="614" bestFit="1" customWidth="1"/>
    <col min="1553" max="1554" width="8.7265625" style="614" customWidth="1"/>
    <col min="1555" max="1555" width="9.7265625" style="614" customWidth="1"/>
    <col min="1556" max="1557" width="10.26953125" style="614" customWidth="1"/>
    <col min="1558" max="1558" width="7.81640625" style="614" bestFit="1" customWidth="1"/>
    <col min="1559" max="1559" width="13.453125" style="614" customWidth="1"/>
    <col min="1560" max="1560" width="3.26953125" style="614" customWidth="1"/>
    <col min="1561" max="1561" width="17.1796875" style="614" customWidth="1"/>
    <col min="1562" max="1562" width="14.453125" style="614" bestFit="1" customWidth="1"/>
    <col min="1563" max="1563" width="10.26953125" style="614" customWidth="1"/>
    <col min="1564" max="1564" width="6" style="614" bestFit="1" customWidth="1"/>
    <col min="1565" max="1565" width="11.453125" style="614"/>
    <col min="1566" max="1567" width="14.453125" style="614" bestFit="1" customWidth="1"/>
    <col min="1568" max="1568" width="12.81640625" style="614" bestFit="1" customWidth="1"/>
    <col min="1569" max="1569" width="14.453125" style="614" bestFit="1" customWidth="1"/>
    <col min="1570" max="1790" width="11.453125" style="614"/>
    <col min="1791" max="1791" width="5.7265625" style="614" customWidth="1"/>
    <col min="1792" max="1792" width="35.1796875" style="614" customWidth="1"/>
    <col min="1793" max="1794" width="10.26953125" style="614" customWidth="1"/>
    <col min="1795" max="1795" width="7.453125" style="614" customWidth="1"/>
    <col min="1796" max="1797" width="10.26953125" style="614" customWidth="1"/>
    <col min="1798" max="1798" width="7" style="614" customWidth="1"/>
    <col min="1799" max="1799" width="1" style="614" customWidth="1"/>
    <col min="1800" max="1801" width="8.7265625" style="614" customWidth="1"/>
    <col min="1802" max="1802" width="7.453125" style="614" customWidth="1"/>
    <col min="1803" max="1804" width="8.7265625" style="614" customWidth="1"/>
    <col min="1805" max="1805" width="8.453125" style="614" bestFit="1" customWidth="1"/>
    <col min="1806" max="1806" width="10.26953125" style="614" customWidth="1"/>
    <col min="1807" max="1807" width="10" style="614" customWidth="1"/>
    <col min="1808" max="1808" width="5.26953125" style="614" bestFit="1" customWidth="1"/>
    <col min="1809" max="1810" width="8.7265625" style="614" customWidth="1"/>
    <col min="1811" max="1811" width="9.7265625" style="614" customWidth="1"/>
    <col min="1812" max="1813" width="10.26953125" style="614" customWidth="1"/>
    <col min="1814" max="1814" width="7.81640625" style="614" bestFit="1" customWidth="1"/>
    <col min="1815" max="1815" width="13.453125" style="614" customWidth="1"/>
    <col min="1816" max="1816" width="3.26953125" style="614" customWidth="1"/>
    <col min="1817" max="1817" width="17.1796875" style="614" customWidth="1"/>
    <col min="1818" max="1818" width="14.453125" style="614" bestFit="1" customWidth="1"/>
    <col min="1819" max="1819" width="10.26953125" style="614" customWidth="1"/>
    <col min="1820" max="1820" width="6" style="614" bestFit="1" customWidth="1"/>
    <col min="1821" max="1821" width="11.453125" style="614"/>
    <col min="1822" max="1823" width="14.453125" style="614" bestFit="1" customWidth="1"/>
    <col min="1824" max="1824" width="12.81640625" style="614" bestFit="1" customWidth="1"/>
    <col min="1825" max="1825" width="14.453125" style="614" bestFit="1" customWidth="1"/>
    <col min="1826" max="2046" width="11.453125" style="614"/>
    <col min="2047" max="2047" width="5.7265625" style="614" customWidth="1"/>
    <col min="2048" max="2048" width="35.1796875" style="614" customWidth="1"/>
    <col min="2049" max="2050" width="10.26953125" style="614" customWidth="1"/>
    <col min="2051" max="2051" width="7.453125" style="614" customWidth="1"/>
    <col min="2052" max="2053" width="10.26953125" style="614" customWidth="1"/>
    <col min="2054" max="2054" width="7" style="614" customWidth="1"/>
    <col min="2055" max="2055" width="1" style="614" customWidth="1"/>
    <col min="2056" max="2057" width="8.7265625" style="614" customWidth="1"/>
    <col min="2058" max="2058" width="7.453125" style="614" customWidth="1"/>
    <col min="2059" max="2060" width="8.7265625" style="614" customWidth="1"/>
    <col min="2061" max="2061" width="8.453125" style="614" bestFit="1" customWidth="1"/>
    <col min="2062" max="2062" width="10.26953125" style="614" customWidth="1"/>
    <col min="2063" max="2063" width="10" style="614" customWidth="1"/>
    <col min="2064" max="2064" width="5.26953125" style="614" bestFit="1" customWidth="1"/>
    <col min="2065" max="2066" width="8.7265625" style="614" customWidth="1"/>
    <col min="2067" max="2067" width="9.7265625" style="614" customWidth="1"/>
    <col min="2068" max="2069" width="10.26953125" style="614" customWidth="1"/>
    <col min="2070" max="2070" width="7.81640625" style="614" bestFit="1" customWidth="1"/>
    <col min="2071" max="2071" width="13.453125" style="614" customWidth="1"/>
    <col min="2072" max="2072" width="3.26953125" style="614" customWidth="1"/>
    <col min="2073" max="2073" width="17.1796875" style="614" customWidth="1"/>
    <col min="2074" max="2074" width="14.453125" style="614" bestFit="1" customWidth="1"/>
    <col min="2075" max="2075" width="10.26953125" style="614" customWidth="1"/>
    <col min="2076" max="2076" width="6" style="614" bestFit="1" customWidth="1"/>
    <col min="2077" max="2077" width="11.453125" style="614"/>
    <col min="2078" max="2079" width="14.453125" style="614" bestFit="1" customWidth="1"/>
    <col min="2080" max="2080" width="12.81640625" style="614" bestFit="1" customWidth="1"/>
    <col min="2081" max="2081" width="14.453125" style="614" bestFit="1" customWidth="1"/>
    <col min="2082" max="2302" width="11.453125" style="614"/>
    <col min="2303" max="2303" width="5.7265625" style="614" customWidth="1"/>
    <col min="2304" max="2304" width="35.1796875" style="614" customWidth="1"/>
    <col min="2305" max="2306" width="10.26953125" style="614" customWidth="1"/>
    <col min="2307" max="2307" width="7.453125" style="614" customWidth="1"/>
    <col min="2308" max="2309" width="10.26953125" style="614" customWidth="1"/>
    <col min="2310" max="2310" width="7" style="614" customWidth="1"/>
    <col min="2311" max="2311" width="1" style="614" customWidth="1"/>
    <col min="2312" max="2313" width="8.7265625" style="614" customWidth="1"/>
    <col min="2314" max="2314" width="7.453125" style="614" customWidth="1"/>
    <col min="2315" max="2316" width="8.7265625" style="614" customWidth="1"/>
    <col min="2317" max="2317" width="8.453125" style="614" bestFit="1" customWidth="1"/>
    <col min="2318" max="2318" width="10.26953125" style="614" customWidth="1"/>
    <col min="2319" max="2319" width="10" style="614" customWidth="1"/>
    <col min="2320" max="2320" width="5.26953125" style="614" bestFit="1" customWidth="1"/>
    <col min="2321" max="2322" width="8.7265625" style="614" customWidth="1"/>
    <col min="2323" max="2323" width="9.7265625" style="614" customWidth="1"/>
    <col min="2324" max="2325" width="10.26953125" style="614" customWidth="1"/>
    <col min="2326" max="2326" width="7.81640625" style="614" bestFit="1" customWidth="1"/>
    <col min="2327" max="2327" width="13.453125" style="614" customWidth="1"/>
    <col min="2328" max="2328" width="3.26953125" style="614" customWidth="1"/>
    <col min="2329" max="2329" width="17.1796875" style="614" customWidth="1"/>
    <col min="2330" max="2330" width="14.453125" style="614" bestFit="1" customWidth="1"/>
    <col min="2331" max="2331" width="10.26953125" style="614" customWidth="1"/>
    <col min="2332" max="2332" width="6" style="614" bestFit="1" customWidth="1"/>
    <col min="2333" max="2333" width="11.453125" style="614"/>
    <col min="2334" max="2335" width="14.453125" style="614" bestFit="1" customWidth="1"/>
    <col min="2336" max="2336" width="12.81640625" style="614" bestFit="1" customWidth="1"/>
    <col min="2337" max="2337" width="14.453125" style="614" bestFit="1" customWidth="1"/>
    <col min="2338" max="2558" width="11.453125" style="614"/>
    <col min="2559" max="2559" width="5.7265625" style="614" customWidth="1"/>
    <col min="2560" max="2560" width="35.1796875" style="614" customWidth="1"/>
    <col min="2561" max="2562" width="10.26953125" style="614" customWidth="1"/>
    <col min="2563" max="2563" width="7.453125" style="614" customWidth="1"/>
    <col min="2564" max="2565" width="10.26953125" style="614" customWidth="1"/>
    <col min="2566" max="2566" width="7" style="614" customWidth="1"/>
    <col min="2567" max="2567" width="1" style="614" customWidth="1"/>
    <col min="2568" max="2569" width="8.7265625" style="614" customWidth="1"/>
    <col min="2570" max="2570" width="7.453125" style="614" customWidth="1"/>
    <col min="2571" max="2572" width="8.7265625" style="614" customWidth="1"/>
    <col min="2573" max="2573" width="8.453125" style="614" bestFit="1" customWidth="1"/>
    <col min="2574" max="2574" width="10.26953125" style="614" customWidth="1"/>
    <col min="2575" max="2575" width="10" style="614" customWidth="1"/>
    <col min="2576" max="2576" width="5.26953125" style="614" bestFit="1" customWidth="1"/>
    <col min="2577" max="2578" width="8.7265625" style="614" customWidth="1"/>
    <col min="2579" max="2579" width="9.7265625" style="614" customWidth="1"/>
    <col min="2580" max="2581" width="10.26953125" style="614" customWidth="1"/>
    <col min="2582" max="2582" width="7.81640625" style="614" bestFit="1" customWidth="1"/>
    <col min="2583" max="2583" width="13.453125" style="614" customWidth="1"/>
    <col min="2584" max="2584" width="3.26953125" style="614" customWidth="1"/>
    <col min="2585" max="2585" width="17.1796875" style="614" customWidth="1"/>
    <col min="2586" max="2586" width="14.453125" style="614" bestFit="1" customWidth="1"/>
    <col min="2587" max="2587" width="10.26953125" style="614" customWidth="1"/>
    <col min="2588" max="2588" width="6" style="614" bestFit="1" customWidth="1"/>
    <col min="2589" max="2589" width="11.453125" style="614"/>
    <col min="2590" max="2591" width="14.453125" style="614" bestFit="1" customWidth="1"/>
    <col min="2592" max="2592" width="12.81640625" style="614" bestFit="1" customWidth="1"/>
    <col min="2593" max="2593" width="14.453125" style="614" bestFit="1" customWidth="1"/>
    <col min="2594" max="2814" width="11.453125" style="614"/>
    <col min="2815" max="2815" width="5.7265625" style="614" customWidth="1"/>
    <col min="2816" max="2816" width="35.1796875" style="614" customWidth="1"/>
    <col min="2817" max="2818" width="10.26953125" style="614" customWidth="1"/>
    <col min="2819" max="2819" width="7.453125" style="614" customWidth="1"/>
    <col min="2820" max="2821" width="10.26953125" style="614" customWidth="1"/>
    <col min="2822" max="2822" width="7" style="614" customWidth="1"/>
    <col min="2823" max="2823" width="1" style="614" customWidth="1"/>
    <col min="2824" max="2825" width="8.7265625" style="614" customWidth="1"/>
    <col min="2826" max="2826" width="7.453125" style="614" customWidth="1"/>
    <col min="2827" max="2828" width="8.7265625" style="614" customWidth="1"/>
    <col min="2829" max="2829" width="8.453125" style="614" bestFit="1" customWidth="1"/>
    <col min="2830" max="2830" width="10.26953125" style="614" customWidth="1"/>
    <col min="2831" max="2831" width="10" style="614" customWidth="1"/>
    <col min="2832" max="2832" width="5.26953125" style="614" bestFit="1" customWidth="1"/>
    <col min="2833" max="2834" width="8.7265625" style="614" customWidth="1"/>
    <col min="2835" max="2835" width="9.7265625" style="614" customWidth="1"/>
    <col min="2836" max="2837" width="10.26953125" style="614" customWidth="1"/>
    <col min="2838" max="2838" width="7.81640625" style="614" bestFit="1" customWidth="1"/>
    <col min="2839" max="2839" width="13.453125" style="614" customWidth="1"/>
    <col min="2840" max="2840" width="3.26953125" style="614" customWidth="1"/>
    <col min="2841" max="2841" width="17.1796875" style="614" customWidth="1"/>
    <col min="2842" max="2842" width="14.453125" style="614" bestFit="1" customWidth="1"/>
    <col min="2843" max="2843" width="10.26953125" style="614" customWidth="1"/>
    <col min="2844" max="2844" width="6" style="614" bestFit="1" customWidth="1"/>
    <col min="2845" max="2845" width="11.453125" style="614"/>
    <col min="2846" max="2847" width="14.453125" style="614" bestFit="1" customWidth="1"/>
    <col min="2848" max="2848" width="12.81640625" style="614" bestFit="1" customWidth="1"/>
    <col min="2849" max="2849" width="14.453125" style="614" bestFit="1" customWidth="1"/>
    <col min="2850" max="3070" width="11.453125" style="614"/>
    <col min="3071" max="3071" width="5.7265625" style="614" customWidth="1"/>
    <col min="3072" max="3072" width="35.1796875" style="614" customWidth="1"/>
    <col min="3073" max="3074" width="10.26953125" style="614" customWidth="1"/>
    <col min="3075" max="3075" width="7.453125" style="614" customWidth="1"/>
    <col min="3076" max="3077" width="10.26953125" style="614" customWidth="1"/>
    <col min="3078" max="3078" width="7" style="614" customWidth="1"/>
    <col min="3079" max="3079" width="1" style="614" customWidth="1"/>
    <col min="3080" max="3081" width="8.7265625" style="614" customWidth="1"/>
    <col min="3082" max="3082" width="7.453125" style="614" customWidth="1"/>
    <col min="3083" max="3084" width="8.7265625" style="614" customWidth="1"/>
    <col min="3085" max="3085" width="8.453125" style="614" bestFit="1" customWidth="1"/>
    <col min="3086" max="3086" width="10.26953125" style="614" customWidth="1"/>
    <col min="3087" max="3087" width="10" style="614" customWidth="1"/>
    <col min="3088" max="3088" width="5.26953125" style="614" bestFit="1" customWidth="1"/>
    <col min="3089" max="3090" width="8.7265625" style="614" customWidth="1"/>
    <col min="3091" max="3091" width="9.7265625" style="614" customWidth="1"/>
    <col min="3092" max="3093" width="10.26953125" style="614" customWidth="1"/>
    <col min="3094" max="3094" width="7.81640625" style="614" bestFit="1" customWidth="1"/>
    <col min="3095" max="3095" width="13.453125" style="614" customWidth="1"/>
    <col min="3096" max="3096" width="3.26953125" style="614" customWidth="1"/>
    <col min="3097" max="3097" width="17.1796875" style="614" customWidth="1"/>
    <col min="3098" max="3098" width="14.453125" style="614" bestFit="1" customWidth="1"/>
    <col min="3099" max="3099" width="10.26953125" style="614" customWidth="1"/>
    <col min="3100" max="3100" width="6" style="614" bestFit="1" customWidth="1"/>
    <col min="3101" max="3101" width="11.453125" style="614"/>
    <col min="3102" max="3103" width="14.453125" style="614" bestFit="1" customWidth="1"/>
    <col min="3104" max="3104" width="12.81640625" style="614" bestFit="1" customWidth="1"/>
    <col min="3105" max="3105" width="14.453125" style="614" bestFit="1" customWidth="1"/>
    <col min="3106" max="3326" width="11.453125" style="614"/>
    <col min="3327" max="3327" width="5.7265625" style="614" customWidth="1"/>
    <col min="3328" max="3328" width="35.1796875" style="614" customWidth="1"/>
    <col min="3329" max="3330" width="10.26953125" style="614" customWidth="1"/>
    <col min="3331" max="3331" width="7.453125" style="614" customWidth="1"/>
    <col min="3332" max="3333" width="10.26953125" style="614" customWidth="1"/>
    <col min="3334" max="3334" width="7" style="614" customWidth="1"/>
    <col min="3335" max="3335" width="1" style="614" customWidth="1"/>
    <col min="3336" max="3337" width="8.7265625" style="614" customWidth="1"/>
    <col min="3338" max="3338" width="7.453125" style="614" customWidth="1"/>
    <col min="3339" max="3340" width="8.7265625" style="614" customWidth="1"/>
    <col min="3341" max="3341" width="8.453125" style="614" bestFit="1" customWidth="1"/>
    <col min="3342" max="3342" width="10.26953125" style="614" customWidth="1"/>
    <col min="3343" max="3343" width="10" style="614" customWidth="1"/>
    <col min="3344" max="3344" width="5.26953125" style="614" bestFit="1" customWidth="1"/>
    <col min="3345" max="3346" width="8.7265625" style="614" customWidth="1"/>
    <col min="3347" max="3347" width="9.7265625" style="614" customWidth="1"/>
    <col min="3348" max="3349" width="10.26953125" style="614" customWidth="1"/>
    <col min="3350" max="3350" width="7.81640625" style="614" bestFit="1" customWidth="1"/>
    <col min="3351" max="3351" width="13.453125" style="614" customWidth="1"/>
    <col min="3352" max="3352" width="3.26953125" style="614" customWidth="1"/>
    <col min="3353" max="3353" width="17.1796875" style="614" customWidth="1"/>
    <col min="3354" max="3354" width="14.453125" style="614" bestFit="1" customWidth="1"/>
    <col min="3355" max="3355" width="10.26953125" style="614" customWidth="1"/>
    <col min="3356" max="3356" width="6" style="614" bestFit="1" customWidth="1"/>
    <col min="3357" max="3357" width="11.453125" style="614"/>
    <col min="3358" max="3359" width="14.453125" style="614" bestFit="1" customWidth="1"/>
    <col min="3360" max="3360" width="12.81640625" style="614" bestFit="1" customWidth="1"/>
    <col min="3361" max="3361" width="14.453125" style="614" bestFit="1" customWidth="1"/>
    <col min="3362" max="3582" width="11.453125" style="614"/>
    <col min="3583" max="3583" width="5.7265625" style="614" customWidth="1"/>
    <col min="3584" max="3584" width="35.1796875" style="614" customWidth="1"/>
    <col min="3585" max="3586" width="10.26953125" style="614" customWidth="1"/>
    <col min="3587" max="3587" width="7.453125" style="614" customWidth="1"/>
    <col min="3588" max="3589" width="10.26953125" style="614" customWidth="1"/>
    <col min="3590" max="3590" width="7" style="614" customWidth="1"/>
    <col min="3591" max="3591" width="1" style="614" customWidth="1"/>
    <col min="3592" max="3593" width="8.7265625" style="614" customWidth="1"/>
    <col min="3594" max="3594" width="7.453125" style="614" customWidth="1"/>
    <col min="3595" max="3596" width="8.7265625" style="614" customWidth="1"/>
    <col min="3597" max="3597" width="8.453125" style="614" bestFit="1" customWidth="1"/>
    <col min="3598" max="3598" width="10.26953125" style="614" customWidth="1"/>
    <col min="3599" max="3599" width="10" style="614" customWidth="1"/>
    <col min="3600" max="3600" width="5.26953125" style="614" bestFit="1" customWidth="1"/>
    <col min="3601" max="3602" width="8.7265625" style="614" customWidth="1"/>
    <col min="3603" max="3603" width="9.7265625" style="614" customWidth="1"/>
    <col min="3604" max="3605" width="10.26953125" style="614" customWidth="1"/>
    <col min="3606" max="3606" width="7.81640625" style="614" bestFit="1" customWidth="1"/>
    <col min="3607" max="3607" width="13.453125" style="614" customWidth="1"/>
    <col min="3608" max="3608" width="3.26953125" style="614" customWidth="1"/>
    <col min="3609" max="3609" width="17.1796875" style="614" customWidth="1"/>
    <col min="3610" max="3610" width="14.453125" style="614" bestFit="1" customWidth="1"/>
    <col min="3611" max="3611" width="10.26953125" style="614" customWidth="1"/>
    <col min="3612" max="3612" width="6" style="614" bestFit="1" customWidth="1"/>
    <col min="3613" max="3613" width="11.453125" style="614"/>
    <col min="3614" max="3615" width="14.453125" style="614" bestFit="1" customWidth="1"/>
    <col min="3616" max="3616" width="12.81640625" style="614" bestFit="1" customWidth="1"/>
    <col min="3617" max="3617" width="14.453125" style="614" bestFit="1" customWidth="1"/>
    <col min="3618" max="3838" width="11.453125" style="614"/>
    <col min="3839" max="3839" width="5.7265625" style="614" customWidth="1"/>
    <col min="3840" max="3840" width="35.1796875" style="614" customWidth="1"/>
    <col min="3841" max="3842" width="10.26953125" style="614" customWidth="1"/>
    <col min="3843" max="3843" width="7.453125" style="614" customWidth="1"/>
    <col min="3844" max="3845" width="10.26953125" style="614" customWidth="1"/>
    <col min="3846" max="3846" width="7" style="614" customWidth="1"/>
    <col min="3847" max="3847" width="1" style="614" customWidth="1"/>
    <col min="3848" max="3849" width="8.7265625" style="614" customWidth="1"/>
    <col min="3850" max="3850" width="7.453125" style="614" customWidth="1"/>
    <col min="3851" max="3852" width="8.7265625" style="614" customWidth="1"/>
    <col min="3853" max="3853" width="8.453125" style="614" bestFit="1" customWidth="1"/>
    <col min="3854" max="3854" width="10.26953125" style="614" customWidth="1"/>
    <col min="3855" max="3855" width="10" style="614" customWidth="1"/>
    <col min="3856" max="3856" width="5.26953125" style="614" bestFit="1" customWidth="1"/>
    <col min="3857" max="3858" width="8.7265625" style="614" customWidth="1"/>
    <col min="3859" max="3859" width="9.7265625" style="614" customWidth="1"/>
    <col min="3860" max="3861" width="10.26953125" style="614" customWidth="1"/>
    <col min="3862" max="3862" width="7.81640625" style="614" bestFit="1" customWidth="1"/>
    <col min="3863" max="3863" width="13.453125" style="614" customWidth="1"/>
    <col min="3864" max="3864" width="3.26953125" style="614" customWidth="1"/>
    <col min="3865" max="3865" width="17.1796875" style="614" customWidth="1"/>
    <col min="3866" max="3866" width="14.453125" style="614" bestFit="1" customWidth="1"/>
    <col min="3867" max="3867" width="10.26953125" style="614" customWidth="1"/>
    <col min="3868" max="3868" width="6" style="614" bestFit="1" customWidth="1"/>
    <col min="3869" max="3869" width="11.453125" style="614"/>
    <col min="3870" max="3871" width="14.453125" style="614" bestFit="1" customWidth="1"/>
    <col min="3872" max="3872" width="12.81640625" style="614" bestFit="1" customWidth="1"/>
    <col min="3873" max="3873" width="14.453125" style="614" bestFit="1" customWidth="1"/>
    <col min="3874" max="4094" width="11.453125" style="614"/>
    <col min="4095" max="4095" width="5.7265625" style="614" customWidth="1"/>
    <col min="4096" max="4096" width="35.1796875" style="614" customWidth="1"/>
    <col min="4097" max="4098" width="10.26953125" style="614" customWidth="1"/>
    <col min="4099" max="4099" width="7.453125" style="614" customWidth="1"/>
    <col min="4100" max="4101" width="10.26953125" style="614" customWidth="1"/>
    <col min="4102" max="4102" width="7" style="614" customWidth="1"/>
    <col min="4103" max="4103" width="1" style="614" customWidth="1"/>
    <col min="4104" max="4105" width="8.7265625" style="614" customWidth="1"/>
    <col min="4106" max="4106" width="7.453125" style="614" customWidth="1"/>
    <col min="4107" max="4108" width="8.7265625" style="614" customWidth="1"/>
    <col min="4109" max="4109" width="8.453125" style="614" bestFit="1" customWidth="1"/>
    <col min="4110" max="4110" width="10.26953125" style="614" customWidth="1"/>
    <col min="4111" max="4111" width="10" style="614" customWidth="1"/>
    <col min="4112" max="4112" width="5.26953125" style="614" bestFit="1" customWidth="1"/>
    <col min="4113" max="4114" width="8.7265625" style="614" customWidth="1"/>
    <col min="4115" max="4115" width="9.7265625" style="614" customWidth="1"/>
    <col min="4116" max="4117" width="10.26953125" style="614" customWidth="1"/>
    <col min="4118" max="4118" width="7.81640625" style="614" bestFit="1" customWidth="1"/>
    <col min="4119" max="4119" width="13.453125" style="614" customWidth="1"/>
    <col min="4120" max="4120" width="3.26953125" style="614" customWidth="1"/>
    <col min="4121" max="4121" width="17.1796875" style="614" customWidth="1"/>
    <col min="4122" max="4122" width="14.453125" style="614" bestFit="1" customWidth="1"/>
    <col min="4123" max="4123" width="10.26953125" style="614" customWidth="1"/>
    <col min="4124" max="4124" width="6" style="614" bestFit="1" customWidth="1"/>
    <col min="4125" max="4125" width="11.453125" style="614"/>
    <col min="4126" max="4127" width="14.453125" style="614" bestFit="1" customWidth="1"/>
    <col min="4128" max="4128" width="12.81640625" style="614" bestFit="1" customWidth="1"/>
    <col min="4129" max="4129" width="14.453125" style="614" bestFit="1" customWidth="1"/>
    <col min="4130" max="4350" width="11.453125" style="614"/>
    <col min="4351" max="4351" width="5.7265625" style="614" customWidth="1"/>
    <col min="4352" max="4352" width="35.1796875" style="614" customWidth="1"/>
    <col min="4353" max="4354" width="10.26953125" style="614" customWidth="1"/>
    <col min="4355" max="4355" width="7.453125" style="614" customWidth="1"/>
    <col min="4356" max="4357" width="10.26953125" style="614" customWidth="1"/>
    <col min="4358" max="4358" width="7" style="614" customWidth="1"/>
    <col min="4359" max="4359" width="1" style="614" customWidth="1"/>
    <col min="4360" max="4361" width="8.7265625" style="614" customWidth="1"/>
    <col min="4362" max="4362" width="7.453125" style="614" customWidth="1"/>
    <col min="4363" max="4364" width="8.7265625" style="614" customWidth="1"/>
    <col min="4365" max="4365" width="8.453125" style="614" bestFit="1" customWidth="1"/>
    <col min="4366" max="4366" width="10.26953125" style="614" customWidth="1"/>
    <col min="4367" max="4367" width="10" style="614" customWidth="1"/>
    <col min="4368" max="4368" width="5.26953125" style="614" bestFit="1" customWidth="1"/>
    <col min="4369" max="4370" width="8.7265625" style="614" customWidth="1"/>
    <col min="4371" max="4371" width="9.7265625" style="614" customWidth="1"/>
    <col min="4372" max="4373" width="10.26953125" style="614" customWidth="1"/>
    <col min="4374" max="4374" width="7.81640625" style="614" bestFit="1" customWidth="1"/>
    <col min="4375" max="4375" width="13.453125" style="614" customWidth="1"/>
    <col min="4376" max="4376" width="3.26953125" style="614" customWidth="1"/>
    <col min="4377" max="4377" width="17.1796875" style="614" customWidth="1"/>
    <col min="4378" max="4378" width="14.453125" style="614" bestFit="1" customWidth="1"/>
    <col min="4379" max="4379" width="10.26953125" style="614" customWidth="1"/>
    <col min="4380" max="4380" width="6" style="614" bestFit="1" customWidth="1"/>
    <col min="4381" max="4381" width="11.453125" style="614"/>
    <col min="4382" max="4383" width="14.453125" style="614" bestFit="1" customWidth="1"/>
    <col min="4384" max="4384" width="12.81640625" style="614" bestFit="1" customWidth="1"/>
    <col min="4385" max="4385" width="14.453125" style="614" bestFit="1" customWidth="1"/>
    <col min="4386" max="4606" width="11.453125" style="614"/>
    <col min="4607" max="4607" width="5.7265625" style="614" customWidth="1"/>
    <col min="4608" max="4608" width="35.1796875" style="614" customWidth="1"/>
    <col min="4609" max="4610" width="10.26953125" style="614" customWidth="1"/>
    <col min="4611" max="4611" width="7.453125" style="614" customWidth="1"/>
    <col min="4612" max="4613" width="10.26953125" style="614" customWidth="1"/>
    <col min="4614" max="4614" width="7" style="614" customWidth="1"/>
    <col min="4615" max="4615" width="1" style="614" customWidth="1"/>
    <col min="4616" max="4617" width="8.7265625" style="614" customWidth="1"/>
    <col min="4618" max="4618" width="7.453125" style="614" customWidth="1"/>
    <col min="4619" max="4620" width="8.7265625" style="614" customWidth="1"/>
    <col min="4621" max="4621" width="8.453125" style="614" bestFit="1" customWidth="1"/>
    <col min="4622" max="4622" width="10.26953125" style="614" customWidth="1"/>
    <col min="4623" max="4623" width="10" style="614" customWidth="1"/>
    <col min="4624" max="4624" width="5.26953125" style="614" bestFit="1" customWidth="1"/>
    <col min="4625" max="4626" width="8.7265625" style="614" customWidth="1"/>
    <col min="4627" max="4627" width="9.7265625" style="614" customWidth="1"/>
    <col min="4628" max="4629" width="10.26953125" style="614" customWidth="1"/>
    <col min="4630" max="4630" width="7.81640625" style="614" bestFit="1" customWidth="1"/>
    <col min="4631" max="4631" width="13.453125" style="614" customWidth="1"/>
    <col min="4632" max="4632" width="3.26953125" style="614" customWidth="1"/>
    <col min="4633" max="4633" width="17.1796875" style="614" customWidth="1"/>
    <col min="4634" max="4634" width="14.453125" style="614" bestFit="1" customWidth="1"/>
    <col min="4635" max="4635" width="10.26953125" style="614" customWidth="1"/>
    <col min="4636" max="4636" width="6" style="614" bestFit="1" customWidth="1"/>
    <col min="4637" max="4637" width="11.453125" style="614"/>
    <col min="4638" max="4639" width="14.453125" style="614" bestFit="1" customWidth="1"/>
    <col min="4640" max="4640" width="12.81640625" style="614" bestFit="1" customWidth="1"/>
    <col min="4641" max="4641" width="14.453125" style="614" bestFit="1" customWidth="1"/>
    <col min="4642" max="4862" width="11.453125" style="614"/>
    <col min="4863" max="4863" width="5.7265625" style="614" customWidth="1"/>
    <col min="4864" max="4864" width="35.1796875" style="614" customWidth="1"/>
    <col min="4865" max="4866" width="10.26953125" style="614" customWidth="1"/>
    <col min="4867" max="4867" width="7.453125" style="614" customWidth="1"/>
    <col min="4868" max="4869" width="10.26953125" style="614" customWidth="1"/>
    <col min="4870" max="4870" width="7" style="614" customWidth="1"/>
    <col min="4871" max="4871" width="1" style="614" customWidth="1"/>
    <col min="4872" max="4873" width="8.7265625" style="614" customWidth="1"/>
    <col min="4874" max="4874" width="7.453125" style="614" customWidth="1"/>
    <col min="4875" max="4876" width="8.7265625" style="614" customWidth="1"/>
    <col min="4877" max="4877" width="8.453125" style="614" bestFit="1" customWidth="1"/>
    <col min="4878" max="4878" width="10.26953125" style="614" customWidth="1"/>
    <col min="4879" max="4879" width="10" style="614" customWidth="1"/>
    <col min="4880" max="4880" width="5.26953125" style="614" bestFit="1" customWidth="1"/>
    <col min="4881" max="4882" width="8.7265625" style="614" customWidth="1"/>
    <col min="4883" max="4883" width="9.7265625" style="614" customWidth="1"/>
    <col min="4884" max="4885" width="10.26953125" style="614" customWidth="1"/>
    <col min="4886" max="4886" width="7.81640625" style="614" bestFit="1" customWidth="1"/>
    <col min="4887" max="4887" width="13.453125" style="614" customWidth="1"/>
    <col min="4888" max="4888" width="3.26953125" style="614" customWidth="1"/>
    <col min="4889" max="4889" width="17.1796875" style="614" customWidth="1"/>
    <col min="4890" max="4890" width="14.453125" style="614" bestFit="1" customWidth="1"/>
    <col min="4891" max="4891" width="10.26953125" style="614" customWidth="1"/>
    <col min="4892" max="4892" width="6" style="614" bestFit="1" customWidth="1"/>
    <col min="4893" max="4893" width="11.453125" style="614"/>
    <col min="4894" max="4895" width="14.453125" style="614" bestFit="1" customWidth="1"/>
    <col min="4896" max="4896" width="12.81640625" style="614" bestFit="1" customWidth="1"/>
    <col min="4897" max="4897" width="14.453125" style="614" bestFit="1" customWidth="1"/>
    <col min="4898" max="5118" width="11.453125" style="614"/>
    <col min="5119" max="5119" width="5.7265625" style="614" customWidth="1"/>
    <col min="5120" max="5120" width="35.1796875" style="614" customWidth="1"/>
    <col min="5121" max="5122" width="10.26953125" style="614" customWidth="1"/>
    <col min="5123" max="5123" width="7.453125" style="614" customWidth="1"/>
    <col min="5124" max="5125" width="10.26953125" style="614" customWidth="1"/>
    <col min="5126" max="5126" width="7" style="614" customWidth="1"/>
    <col min="5127" max="5127" width="1" style="614" customWidth="1"/>
    <col min="5128" max="5129" width="8.7265625" style="614" customWidth="1"/>
    <col min="5130" max="5130" width="7.453125" style="614" customWidth="1"/>
    <col min="5131" max="5132" width="8.7265625" style="614" customWidth="1"/>
    <col min="5133" max="5133" width="8.453125" style="614" bestFit="1" customWidth="1"/>
    <col min="5134" max="5134" width="10.26953125" style="614" customWidth="1"/>
    <col min="5135" max="5135" width="10" style="614" customWidth="1"/>
    <col min="5136" max="5136" width="5.26953125" style="614" bestFit="1" customWidth="1"/>
    <col min="5137" max="5138" width="8.7265625" style="614" customWidth="1"/>
    <col min="5139" max="5139" width="9.7265625" style="614" customWidth="1"/>
    <col min="5140" max="5141" width="10.26953125" style="614" customWidth="1"/>
    <col min="5142" max="5142" width="7.81640625" style="614" bestFit="1" customWidth="1"/>
    <col min="5143" max="5143" width="13.453125" style="614" customWidth="1"/>
    <col min="5144" max="5144" width="3.26953125" style="614" customWidth="1"/>
    <col min="5145" max="5145" width="17.1796875" style="614" customWidth="1"/>
    <col min="5146" max="5146" width="14.453125" style="614" bestFit="1" customWidth="1"/>
    <col min="5147" max="5147" width="10.26953125" style="614" customWidth="1"/>
    <col min="5148" max="5148" width="6" style="614" bestFit="1" customWidth="1"/>
    <col min="5149" max="5149" width="11.453125" style="614"/>
    <col min="5150" max="5151" width="14.453125" style="614" bestFit="1" customWidth="1"/>
    <col min="5152" max="5152" width="12.81640625" style="614" bestFit="1" customWidth="1"/>
    <col min="5153" max="5153" width="14.453125" style="614" bestFit="1" customWidth="1"/>
    <col min="5154" max="5374" width="11.453125" style="614"/>
    <col min="5375" max="5375" width="5.7265625" style="614" customWidth="1"/>
    <col min="5376" max="5376" width="35.1796875" style="614" customWidth="1"/>
    <col min="5377" max="5378" width="10.26953125" style="614" customWidth="1"/>
    <col min="5379" max="5379" width="7.453125" style="614" customWidth="1"/>
    <col min="5380" max="5381" width="10.26953125" style="614" customWidth="1"/>
    <col min="5382" max="5382" width="7" style="614" customWidth="1"/>
    <col min="5383" max="5383" width="1" style="614" customWidth="1"/>
    <col min="5384" max="5385" width="8.7265625" style="614" customWidth="1"/>
    <col min="5386" max="5386" width="7.453125" style="614" customWidth="1"/>
    <col min="5387" max="5388" width="8.7265625" style="614" customWidth="1"/>
    <col min="5389" max="5389" width="8.453125" style="614" bestFit="1" customWidth="1"/>
    <col min="5390" max="5390" width="10.26953125" style="614" customWidth="1"/>
    <col min="5391" max="5391" width="10" style="614" customWidth="1"/>
    <col min="5392" max="5392" width="5.26953125" style="614" bestFit="1" customWidth="1"/>
    <col min="5393" max="5394" width="8.7265625" style="614" customWidth="1"/>
    <col min="5395" max="5395" width="9.7265625" style="614" customWidth="1"/>
    <col min="5396" max="5397" width="10.26953125" style="614" customWidth="1"/>
    <col min="5398" max="5398" width="7.81640625" style="614" bestFit="1" customWidth="1"/>
    <col min="5399" max="5399" width="13.453125" style="614" customWidth="1"/>
    <col min="5400" max="5400" width="3.26953125" style="614" customWidth="1"/>
    <col min="5401" max="5401" width="17.1796875" style="614" customWidth="1"/>
    <col min="5402" max="5402" width="14.453125" style="614" bestFit="1" customWidth="1"/>
    <col min="5403" max="5403" width="10.26953125" style="614" customWidth="1"/>
    <col min="5404" max="5404" width="6" style="614" bestFit="1" customWidth="1"/>
    <col min="5405" max="5405" width="11.453125" style="614"/>
    <col min="5406" max="5407" width="14.453125" style="614" bestFit="1" customWidth="1"/>
    <col min="5408" max="5408" width="12.81640625" style="614" bestFit="1" customWidth="1"/>
    <col min="5409" max="5409" width="14.453125" style="614" bestFit="1" customWidth="1"/>
    <col min="5410" max="5630" width="11.453125" style="614"/>
    <col min="5631" max="5631" width="5.7265625" style="614" customWidth="1"/>
    <col min="5632" max="5632" width="35.1796875" style="614" customWidth="1"/>
    <col min="5633" max="5634" width="10.26953125" style="614" customWidth="1"/>
    <col min="5635" max="5635" width="7.453125" style="614" customWidth="1"/>
    <col min="5636" max="5637" width="10.26953125" style="614" customWidth="1"/>
    <col min="5638" max="5638" width="7" style="614" customWidth="1"/>
    <col min="5639" max="5639" width="1" style="614" customWidth="1"/>
    <col min="5640" max="5641" width="8.7265625" style="614" customWidth="1"/>
    <col min="5642" max="5642" width="7.453125" style="614" customWidth="1"/>
    <col min="5643" max="5644" width="8.7265625" style="614" customWidth="1"/>
    <col min="5645" max="5645" width="8.453125" style="614" bestFit="1" customWidth="1"/>
    <col min="5646" max="5646" width="10.26953125" style="614" customWidth="1"/>
    <col min="5647" max="5647" width="10" style="614" customWidth="1"/>
    <col min="5648" max="5648" width="5.26953125" style="614" bestFit="1" customWidth="1"/>
    <col min="5649" max="5650" width="8.7265625" style="614" customWidth="1"/>
    <col min="5651" max="5651" width="9.7265625" style="614" customWidth="1"/>
    <col min="5652" max="5653" width="10.26953125" style="614" customWidth="1"/>
    <col min="5654" max="5654" width="7.81640625" style="614" bestFit="1" customWidth="1"/>
    <col min="5655" max="5655" width="13.453125" style="614" customWidth="1"/>
    <col min="5656" max="5656" width="3.26953125" style="614" customWidth="1"/>
    <col min="5657" max="5657" width="17.1796875" style="614" customWidth="1"/>
    <col min="5658" max="5658" width="14.453125" style="614" bestFit="1" customWidth="1"/>
    <col min="5659" max="5659" width="10.26953125" style="614" customWidth="1"/>
    <col min="5660" max="5660" width="6" style="614" bestFit="1" customWidth="1"/>
    <col min="5661" max="5661" width="11.453125" style="614"/>
    <col min="5662" max="5663" width="14.453125" style="614" bestFit="1" customWidth="1"/>
    <col min="5664" max="5664" width="12.81640625" style="614" bestFit="1" customWidth="1"/>
    <col min="5665" max="5665" width="14.453125" style="614" bestFit="1" customWidth="1"/>
    <col min="5666" max="5886" width="11.453125" style="614"/>
    <col min="5887" max="5887" width="5.7265625" style="614" customWidth="1"/>
    <col min="5888" max="5888" width="35.1796875" style="614" customWidth="1"/>
    <col min="5889" max="5890" width="10.26953125" style="614" customWidth="1"/>
    <col min="5891" max="5891" width="7.453125" style="614" customWidth="1"/>
    <col min="5892" max="5893" width="10.26953125" style="614" customWidth="1"/>
    <col min="5894" max="5894" width="7" style="614" customWidth="1"/>
    <col min="5895" max="5895" width="1" style="614" customWidth="1"/>
    <col min="5896" max="5897" width="8.7265625" style="614" customWidth="1"/>
    <col min="5898" max="5898" width="7.453125" style="614" customWidth="1"/>
    <col min="5899" max="5900" width="8.7265625" style="614" customWidth="1"/>
    <col min="5901" max="5901" width="8.453125" style="614" bestFit="1" customWidth="1"/>
    <col min="5902" max="5902" width="10.26953125" style="614" customWidth="1"/>
    <col min="5903" max="5903" width="10" style="614" customWidth="1"/>
    <col min="5904" max="5904" width="5.26953125" style="614" bestFit="1" customWidth="1"/>
    <col min="5905" max="5906" width="8.7265625" style="614" customWidth="1"/>
    <col min="5907" max="5907" width="9.7265625" style="614" customWidth="1"/>
    <col min="5908" max="5909" width="10.26953125" style="614" customWidth="1"/>
    <col min="5910" max="5910" width="7.81640625" style="614" bestFit="1" customWidth="1"/>
    <col min="5911" max="5911" width="13.453125" style="614" customWidth="1"/>
    <col min="5912" max="5912" width="3.26953125" style="614" customWidth="1"/>
    <col min="5913" max="5913" width="17.1796875" style="614" customWidth="1"/>
    <col min="5914" max="5914" width="14.453125" style="614" bestFit="1" customWidth="1"/>
    <col min="5915" max="5915" width="10.26953125" style="614" customWidth="1"/>
    <col min="5916" max="5916" width="6" style="614" bestFit="1" customWidth="1"/>
    <col min="5917" max="5917" width="11.453125" style="614"/>
    <col min="5918" max="5919" width="14.453125" style="614" bestFit="1" customWidth="1"/>
    <col min="5920" max="5920" width="12.81640625" style="614" bestFit="1" customWidth="1"/>
    <col min="5921" max="5921" width="14.453125" style="614" bestFit="1" customWidth="1"/>
    <col min="5922" max="6142" width="11.453125" style="614"/>
    <col min="6143" max="6143" width="5.7265625" style="614" customWidth="1"/>
    <col min="6144" max="6144" width="35.1796875" style="614" customWidth="1"/>
    <col min="6145" max="6146" width="10.26953125" style="614" customWidth="1"/>
    <col min="6147" max="6147" width="7.453125" style="614" customWidth="1"/>
    <col min="6148" max="6149" width="10.26953125" style="614" customWidth="1"/>
    <col min="6150" max="6150" width="7" style="614" customWidth="1"/>
    <col min="6151" max="6151" width="1" style="614" customWidth="1"/>
    <col min="6152" max="6153" width="8.7265625" style="614" customWidth="1"/>
    <col min="6154" max="6154" width="7.453125" style="614" customWidth="1"/>
    <col min="6155" max="6156" width="8.7265625" style="614" customWidth="1"/>
    <col min="6157" max="6157" width="8.453125" style="614" bestFit="1" customWidth="1"/>
    <col min="6158" max="6158" width="10.26953125" style="614" customWidth="1"/>
    <col min="6159" max="6159" width="10" style="614" customWidth="1"/>
    <col min="6160" max="6160" width="5.26953125" style="614" bestFit="1" customWidth="1"/>
    <col min="6161" max="6162" width="8.7265625" style="614" customWidth="1"/>
    <col min="6163" max="6163" width="9.7265625" style="614" customWidth="1"/>
    <col min="6164" max="6165" width="10.26953125" style="614" customWidth="1"/>
    <col min="6166" max="6166" width="7.81640625" style="614" bestFit="1" customWidth="1"/>
    <col min="6167" max="6167" width="13.453125" style="614" customWidth="1"/>
    <col min="6168" max="6168" width="3.26953125" style="614" customWidth="1"/>
    <col min="6169" max="6169" width="17.1796875" style="614" customWidth="1"/>
    <col min="6170" max="6170" width="14.453125" style="614" bestFit="1" customWidth="1"/>
    <col min="6171" max="6171" width="10.26953125" style="614" customWidth="1"/>
    <col min="6172" max="6172" width="6" style="614" bestFit="1" customWidth="1"/>
    <col min="6173" max="6173" width="11.453125" style="614"/>
    <col min="6174" max="6175" width="14.453125" style="614" bestFit="1" customWidth="1"/>
    <col min="6176" max="6176" width="12.81640625" style="614" bestFit="1" customWidth="1"/>
    <col min="6177" max="6177" width="14.453125" style="614" bestFit="1" customWidth="1"/>
    <col min="6178" max="6398" width="11.453125" style="614"/>
    <col min="6399" max="6399" width="5.7265625" style="614" customWidth="1"/>
    <col min="6400" max="6400" width="35.1796875" style="614" customWidth="1"/>
    <col min="6401" max="6402" width="10.26953125" style="614" customWidth="1"/>
    <col min="6403" max="6403" width="7.453125" style="614" customWidth="1"/>
    <col min="6404" max="6405" width="10.26953125" style="614" customWidth="1"/>
    <col min="6406" max="6406" width="7" style="614" customWidth="1"/>
    <col min="6407" max="6407" width="1" style="614" customWidth="1"/>
    <col min="6408" max="6409" width="8.7265625" style="614" customWidth="1"/>
    <col min="6410" max="6410" width="7.453125" style="614" customWidth="1"/>
    <col min="6411" max="6412" width="8.7265625" style="614" customWidth="1"/>
    <col min="6413" max="6413" width="8.453125" style="614" bestFit="1" customWidth="1"/>
    <col min="6414" max="6414" width="10.26953125" style="614" customWidth="1"/>
    <col min="6415" max="6415" width="10" style="614" customWidth="1"/>
    <col min="6416" max="6416" width="5.26953125" style="614" bestFit="1" customWidth="1"/>
    <col min="6417" max="6418" width="8.7265625" style="614" customWidth="1"/>
    <col min="6419" max="6419" width="9.7265625" style="614" customWidth="1"/>
    <col min="6420" max="6421" width="10.26953125" style="614" customWidth="1"/>
    <col min="6422" max="6422" width="7.81640625" style="614" bestFit="1" customWidth="1"/>
    <col min="6423" max="6423" width="13.453125" style="614" customWidth="1"/>
    <col min="6424" max="6424" width="3.26953125" style="614" customWidth="1"/>
    <col min="6425" max="6425" width="17.1796875" style="614" customWidth="1"/>
    <col min="6426" max="6426" width="14.453125" style="614" bestFit="1" customWidth="1"/>
    <col min="6427" max="6427" width="10.26953125" style="614" customWidth="1"/>
    <col min="6428" max="6428" width="6" style="614" bestFit="1" customWidth="1"/>
    <col min="6429" max="6429" width="11.453125" style="614"/>
    <col min="6430" max="6431" width="14.453125" style="614" bestFit="1" customWidth="1"/>
    <col min="6432" max="6432" width="12.81640625" style="614" bestFit="1" customWidth="1"/>
    <col min="6433" max="6433" width="14.453125" style="614" bestFit="1" customWidth="1"/>
    <col min="6434" max="6654" width="11.453125" style="614"/>
    <col min="6655" max="6655" width="5.7265625" style="614" customWidth="1"/>
    <col min="6656" max="6656" width="35.1796875" style="614" customWidth="1"/>
    <col min="6657" max="6658" width="10.26953125" style="614" customWidth="1"/>
    <col min="6659" max="6659" width="7.453125" style="614" customWidth="1"/>
    <col min="6660" max="6661" width="10.26953125" style="614" customWidth="1"/>
    <col min="6662" max="6662" width="7" style="614" customWidth="1"/>
    <col min="6663" max="6663" width="1" style="614" customWidth="1"/>
    <col min="6664" max="6665" width="8.7265625" style="614" customWidth="1"/>
    <col min="6666" max="6666" width="7.453125" style="614" customWidth="1"/>
    <col min="6667" max="6668" width="8.7265625" style="614" customWidth="1"/>
    <col min="6669" max="6669" width="8.453125" style="614" bestFit="1" customWidth="1"/>
    <col min="6670" max="6670" width="10.26953125" style="614" customWidth="1"/>
    <col min="6671" max="6671" width="10" style="614" customWidth="1"/>
    <col min="6672" max="6672" width="5.26953125" style="614" bestFit="1" customWidth="1"/>
    <col min="6673" max="6674" width="8.7265625" style="614" customWidth="1"/>
    <col min="6675" max="6675" width="9.7265625" style="614" customWidth="1"/>
    <col min="6676" max="6677" width="10.26953125" style="614" customWidth="1"/>
    <col min="6678" max="6678" width="7.81640625" style="614" bestFit="1" customWidth="1"/>
    <col min="6679" max="6679" width="13.453125" style="614" customWidth="1"/>
    <col min="6680" max="6680" width="3.26953125" style="614" customWidth="1"/>
    <col min="6681" max="6681" width="17.1796875" style="614" customWidth="1"/>
    <col min="6682" max="6682" width="14.453125" style="614" bestFit="1" customWidth="1"/>
    <col min="6683" max="6683" width="10.26953125" style="614" customWidth="1"/>
    <col min="6684" max="6684" width="6" style="614" bestFit="1" customWidth="1"/>
    <col min="6685" max="6685" width="11.453125" style="614"/>
    <col min="6686" max="6687" width="14.453125" style="614" bestFit="1" customWidth="1"/>
    <col min="6688" max="6688" width="12.81640625" style="614" bestFit="1" customWidth="1"/>
    <col min="6689" max="6689" width="14.453125" style="614" bestFit="1" customWidth="1"/>
    <col min="6690" max="6910" width="11.453125" style="614"/>
    <col min="6911" max="6911" width="5.7265625" style="614" customWidth="1"/>
    <col min="6912" max="6912" width="35.1796875" style="614" customWidth="1"/>
    <col min="6913" max="6914" width="10.26953125" style="614" customWidth="1"/>
    <col min="6915" max="6915" width="7.453125" style="614" customWidth="1"/>
    <col min="6916" max="6917" width="10.26953125" style="614" customWidth="1"/>
    <col min="6918" max="6918" width="7" style="614" customWidth="1"/>
    <col min="6919" max="6919" width="1" style="614" customWidth="1"/>
    <col min="6920" max="6921" width="8.7265625" style="614" customWidth="1"/>
    <col min="6922" max="6922" width="7.453125" style="614" customWidth="1"/>
    <col min="6923" max="6924" width="8.7265625" style="614" customWidth="1"/>
    <col min="6925" max="6925" width="8.453125" style="614" bestFit="1" customWidth="1"/>
    <col min="6926" max="6926" width="10.26953125" style="614" customWidth="1"/>
    <col min="6927" max="6927" width="10" style="614" customWidth="1"/>
    <col min="6928" max="6928" width="5.26953125" style="614" bestFit="1" customWidth="1"/>
    <col min="6929" max="6930" width="8.7265625" style="614" customWidth="1"/>
    <col min="6931" max="6931" width="9.7265625" style="614" customWidth="1"/>
    <col min="6932" max="6933" width="10.26953125" style="614" customWidth="1"/>
    <col min="6934" max="6934" width="7.81640625" style="614" bestFit="1" customWidth="1"/>
    <col min="6935" max="6935" width="13.453125" style="614" customWidth="1"/>
    <col min="6936" max="6936" width="3.26953125" style="614" customWidth="1"/>
    <col min="6937" max="6937" width="17.1796875" style="614" customWidth="1"/>
    <col min="6938" max="6938" width="14.453125" style="614" bestFit="1" customWidth="1"/>
    <col min="6939" max="6939" width="10.26953125" style="614" customWidth="1"/>
    <col min="6940" max="6940" width="6" style="614" bestFit="1" customWidth="1"/>
    <col min="6941" max="6941" width="11.453125" style="614"/>
    <col min="6942" max="6943" width="14.453125" style="614" bestFit="1" customWidth="1"/>
    <col min="6944" max="6944" width="12.81640625" style="614" bestFit="1" customWidth="1"/>
    <col min="6945" max="6945" width="14.453125" style="614" bestFit="1" customWidth="1"/>
    <col min="6946" max="7166" width="11.453125" style="614"/>
    <col min="7167" max="7167" width="5.7265625" style="614" customWidth="1"/>
    <col min="7168" max="7168" width="35.1796875" style="614" customWidth="1"/>
    <col min="7169" max="7170" width="10.26953125" style="614" customWidth="1"/>
    <col min="7171" max="7171" width="7.453125" style="614" customWidth="1"/>
    <col min="7172" max="7173" width="10.26953125" style="614" customWidth="1"/>
    <col min="7174" max="7174" width="7" style="614" customWidth="1"/>
    <col min="7175" max="7175" width="1" style="614" customWidth="1"/>
    <col min="7176" max="7177" width="8.7265625" style="614" customWidth="1"/>
    <col min="7178" max="7178" width="7.453125" style="614" customWidth="1"/>
    <col min="7179" max="7180" width="8.7265625" style="614" customWidth="1"/>
    <col min="7181" max="7181" width="8.453125" style="614" bestFit="1" customWidth="1"/>
    <col min="7182" max="7182" width="10.26953125" style="614" customWidth="1"/>
    <col min="7183" max="7183" width="10" style="614" customWidth="1"/>
    <col min="7184" max="7184" width="5.26953125" style="614" bestFit="1" customWidth="1"/>
    <col min="7185" max="7186" width="8.7265625" style="614" customWidth="1"/>
    <col min="7187" max="7187" width="9.7265625" style="614" customWidth="1"/>
    <col min="7188" max="7189" width="10.26953125" style="614" customWidth="1"/>
    <col min="7190" max="7190" width="7.81640625" style="614" bestFit="1" customWidth="1"/>
    <col min="7191" max="7191" width="13.453125" style="614" customWidth="1"/>
    <col min="7192" max="7192" width="3.26953125" style="614" customWidth="1"/>
    <col min="7193" max="7193" width="17.1796875" style="614" customWidth="1"/>
    <col min="7194" max="7194" width="14.453125" style="614" bestFit="1" customWidth="1"/>
    <col min="7195" max="7195" width="10.26953125" style="614" customWidth="1"/>
    <col min="7196" max="7196" width="6" style="614" bestFit="1" customWidth="1"/>
    <col min="7197" max="7197" width="11.453125" style="614"/>
    <col min="7198" max="7199" width="14.453125" style="614" bestFit="1" customWidth="1"/>
    <col min="7200" max="7200" width="12.81640625" style="614" bestFit="1" customWidth="1"/>
    <col min="7201" max="7201" width="14.453125" style="614" bestFit="1" customWidth="1"/>
    <col min="7202" max="7422" width="11.453125" style="614"/>
    <col min="7423" max="7423" width="5.7265625" style="614" customWidth="1"/>
    <col min="7424" max="7424" width="35.1796875" style="614" customWidth="1"/>
    <col min="7425" max="7426" width="10.26953125" style="614" customWidth="1"/>
    <col min="7427" max="7427" width="7.453125" style="614" customWidth="1"/>
    <col min="7428" max="7429" width="10.26953125" style="614" customWidth="1"/>
    <col min="7430" max="7430" width="7" style="614" customWidth="1"/>
    <col min="7431" max="7431" width="1" style="614" customWidth="1"/>
    <col min="7432" max="7433" width="8.7265625" style="614" customWidth="1"/>
    <col min="7434" max="7434" width="7.453125" style="614" customWidth="1"/>
    <col min="7435" max="7436" width="8.7265625" style="614" customWidth="1"/>
    <col min="7437" max="7437" width="8.453125" style="614" bestFit="1" customWidth="1"/>
    <col min="7438" max="7438" width="10.26953125" style="614" customWidth="1"/>
    <col min="7439" max="7439" width="10" style="614" customWidth="1"/>
    <col min="7440" max="7440" width="5.26953125" style="614" bestFit="1" customWidth="1"/>
    <col min="7441" max="7442" width="8.7265625" style="614" customWidth="1"/>
    <col min="7443" max="7443" width="9.7265625" style="614" customWidth="1"/>
    <col min="7444" max="7445" width="10.26953125" style="614" customWidth="1"/>
    <col min="7446" max="7446" width="7.81640625" style="614" bestFit="1" customWidth="1"/>
    <col min="7447" max="7447" width="13.453125" style="614" customWidth="1"/>
    <col min="7448" max="7448" width="3.26953125" style="614" customWidth="1"/>
    <col min="7449" max="7449" width="17.1796875" style="614" customWidth="1"/>
    <col min="7450" max="7450" width="14.453125" style="614" bestFit="1" customWidth="1"/>
    <col min="7451" max="7451" width="10.26953125" style="614" customWidth="1"/>
    <col min="7452" max="7452" width="6" style="614" bestFit="1" customWidth="1"/>
    <col min="7453" max="7453" width="11.453125" style="614"/>
    <col min="7454" max="7455" width="14.453125" style="614" bestFit="1" customWidth="1"/>
    <col min="7456" max="7456" width="12.81640625" style="614" bestFit="1" customWidth="1"/>
    <col min="7457" max="7457" width="14.453125" style="614" bestFit="1" customWidth="1"/>
    <col min="7458" max="7678" width="11.453125" style="614"/>
    <col min="7679" max="7679" width="5.7265625" style="614" customWidth="1"/>
    <col min="7680" max="7680" width="35.1796875" style="614" customWidth="1"/>
    <col min="7681" max="7682" width="10.26953125" style="614" customWidth="1"/>
    <col min="7683" max="7683" width="7.453125" style="614" customWidth="1"/>
    <col min="7684" max="7685" width="10.26953125" style="614" customWidth="1"/>
    <col min="7686" max="7686" width="7" style="614" customWidth="1"/>
    <col min="7687" max="7687" width="1" style="614" customWidth="1"/>
    <col min="7688" max="7689" width="8.7265625" style="614" customWidth="1"/>
    <col min="7690" max="7690" width="7.453125" style="614" customWidth="1"/>
    <col min="7691" max="7692" width="8.7265625" style="614" customWidth="1"/>
    <col min="7693" max="7693" width="8.453125" style="614" bestFit="1" customWidth="1"/>
    <col min="7694" max="7694" width="10.26953125" style="614" customWidth="1"/>
    <col min="7695" max="7695" width="10" style="614" customWidth="1"/>
    <col min="7696" max="7696" width="5.26953125" style="614" bestFit="1" customWidth="1"/>
    <col min="7697" max="7698" width="8.7265625" style="614" customWidth="1"/>
    <col min="7699" max="7699" width="9.7265625" style="614" customWidth="1"/>
    <col min="7700" max="7701" width="10.26953125" style="614" customWidth="1"/>
    <col min="7702" max="7702" width="7.81640625" style="614" bestFit="1" customWidth="1"/>
    <col min="7703" max="7703" width="13.453125" style="614" customWidth="1"/>
    <col min="7704" max="7704" width="3.26953125" style="614" customWidth="1"/>
    <col min="7705" max="7705" width="17.1796875" style="614" customWidth="1"/>
    <col min="7706" max="7706" width="14.453125" style="614" bestFit="1" customWidth="1"/>
    <col min="7707" max="7707" width="10.26953125" style="614" customWidth="1"/>
    <col min="7708" max="7708" width="6" style="614" bestFit="1" customWidth="1"/>
    <col min="7709" max="7709" width="11.453125" style="614"/>
    <col min="7710" max="7711" width="14.453125" style="614" bestFit="1" customWidth="1"/>
    <col min="7712" max="7712" width="12.81640625" style="614" bestFit="1" customWidth="1"/>
    <col min="7713" max="7713" width="14.453125" style="614" bestFit="1" customWidth="1"/>
    <col min="7714" max="7934" width="11.453125" style="614"/>
    <col min="7935" max="7935" width="5.7265625" style="614" customWidth="1"/>
    <col min="7936" max="7936" width="35.1796875" style="614" customWidth="1"/>
    <col min="7937" max="7938" width="10.26953125" style="614" customWidth="1"/>
    <col min="7939" max="7939" width="7.453125" style="614" customWidth="1"/>
    <col min="7940" max="7941" width="10.26953125" style="614" customWidth="1"/>
    <col min="7942" max="7942" width="7" style="614" customWidth="1"/>
    <col min="7943" max="7943" width="1" style="614" customWidth="1"/>
    <col min="7944" max="7945" width="8.7265625" style="614" customWidth="1"/>
    <col min="7946" max="7946" width="7.453125" style="614" customWidth="1"/>
    <col min="7947" max="7948" width="8.7265625" style="614" customWidth="1"/>
    <col min="7949" max="7949" width="8.453125" style="614" bestFit="1" customWidth="1"/>
    <col min="7950" max="7950" width="10.26953125" style="614" customWidth="1"/>
    <col min="7951" max="7951" width="10" style="614" customWidth="1"/>
    <col min="7952" max="7952" width="5.26953125" style="614" bestFit="1" customWidth="1"/>
    <col min="7953" max="7954" width="8.7265625" style="614" customWidth="1"/>
    <col min="7955" max="7955" width="9.7265625" style="614" customWidth="1"/>
    <col min="7956" max="7957" width="10.26953125" style="614" customWidth="1"/>
    <col min="7958" max="7958" width="7.81640625" style="614" bestFit="1" customWidth="1"/>
    <col min="7959" max="7959" width="13.453125" style="614" customWidth="1"/>
    <col min="7960" max="7960" width="3.26953125" style="614" customWidth="1"/>
    <col min="7961" max="7961" width="17.1796875" style="614" customWidth="1"/>
    <col min="7962" max="7962" width="14.453125" style="614" bestFit="1" customWidth="1"/>
    <col min="7963" max="7963" width="10.26953125" style="614" customWidth="1"/>
    <col min="7964" max="7964" width="6" style="614" bestFit="1" customWidth="1"/>
    <col min="7965" max="7965" width="11.453125" style="614"/>
    <col min="7966" max="7967" width="14.453125" style="614" bestFit="1" customWidth="1"/>
    <col min="7968" max="7968" width="12.81640625" style="614" bestFit="1" customWidth="1"/>
    <col min="7969" max="7969" width="14.453125" style="614" bestFit="1" customWidth="1"/>
    <col min="7970" max="8190" width="11.453125" style="614"/>
    <col min="8191" max="8191" width="5.7265625" style="614" customWidth="1"/>
    <col min="8192" max="8192" width="35.1796875" style="614" customWidth="1"/>
    <col min="8193" max="8194" width="10.26953125" style="614" customWidth="1"/>
    <col min="8195" max="8195" width="7.453125" style="614" customWidth="1"/>
    <col min="8196" max="8197" width="10.26953125" style="614" customWidth="1"/>
    <col min="8198" max="8198" width="7" style="614" customWidth="1"/>
    <col min="8199" max="8199" width="1" style="614" customWidth="1"/>
    <col min="8200" max="8201" width="8.7265625" style="614" customWidth="1"/>
    <col min="8202" max="8202" width="7.453125" style="614" customWidth="1"/>
    <col min="8203" max="8204" width="8.7265625" style="614" customWidth="1"/>
    <col min="8205" max="8205" width="8.453125" style="614" bestFit="1" customWidth="1"/>
    <col min="8206" max="8206" width="10.26953125" style="614" customWidth="1"/>
    <col min="8207" max="8207" width="10" style="614" customWidth="1"/>
    <col min="8208" max="8208" width="5.26953125" style="614" bestFit="1" customWidth="1"/>
    <col min="8209" max="8210" width="8.7265625" style="614" customWidth="1"/>
    <col min="8211" max="8211" width="9.7265625" style="614" customWidth="1"/>
    <col min="8212" max="8213" width="10.26953125" style="614" customWidth="1"/>
    <col min="8214" max="8214" width="7.81640625" style="614" bestFit="1" customWidth="1"/>
    <col min="8215" max="8215" width="13.453125" style="614" customWidth="1"/>
    <col min="8216" max="8216" width="3.26953125" style="614" customWidth="1"/>
    <col min="8217" max="8217" width="17.1796875" style="614" customWidth="1"/>
    <col min="8218" max="8218" width="14.453125" style="614" bestFit="1" customWidth="1"/>
    <col min="8219" max="8219" width="10.26953125" style="614" customWidth="1"/>
    <col min="8220" max="8220" width="6" style="614" bestFit="1" customWidth="1"/>
    <col min="8221" max="8221" width="11.453125" style="614"/>
    <col min="8222" max="8223" width="14.453125" style="614" bestFit="1" customWidth="1"/>
    <col min="8224" max="8224" width="12.81640625" style="614" bestFit="1" customWidth="1"/>
    <col min="8225" max="8225" width="14.453125" style="614" bestFit="1" customWidth="1"/>
    <col min="8226" max="8446" width="11.453125" style="614"/>
    <col min="8447" max="8447" width="5.7265625" style="614" customWidth="1"/>
    <col min="8448" max="8448" width="35.1796875" style="614" customWidth="1"/>
    <col min="8449" max="8450" width="10.26953125" style="614" customWidth="1"/>
    <col min="8451" max="8451" width="7.453125" style="614" customWidth="1"/>
    <col min="8452" max="8453" width="10.26953125" style="614" customWidth="1"/>
    <col min="8454" max="8454" width="7" style="614" customWidth="1"/>
    <col min="8455" max="8455" width="1" style="614" customWidth="1"/>
    <col min="8456" max="8457" width="8.7265625" style="614" customWidth="1"/>
    <col min="8458" max="8458" width="7.453125" style="614" customWidth="1"/>
    <col min="8459" max="8460" width="8.7265625" style="614" customWidth="1"/>
    <col min="8461" max="8461" width="8.453125" style="614" bestFit="1" customWidth="1"/>
    <col min="8462" max="8462" width="10.26953125" style="614" customWidth="1"/>
    <col min="8463" max="8463" width="10" style="614" customWidth="1"/>
    <col min="8464" max="8464" width="5.26953125" style="614" bestFit="1" customWidth="1"/>
    <col min="8465" max="8466" width="8.7265625" style="614" customWidth="1"/>
    <col min="8467" max="8467" width="9.7265625" style="614" customWidth="1"/>
    <col min="8468" max="8469" width="10.26953125" style="614" customWidth="1"/>
    <col min="8470" max="8470" width="7.81640625" style="614" bestFit="1" customWidth="1"/>
    <col min="8471" max="8471" width="13.453125" style="614" customWidth="1"/>
    <col min="8472" max="8472" width="3.26953125" style="614" customWidth="1"/>
    <col min="8473" max="8473" width="17.1796875" style="614" customWidth="1"/>
    <col min="8474" max="8474" width="14.453125" style="614" bestFit="1" customWidth="1"/>
    <col min="8475" max="8475" width="10.26953125" style="614" customWidth="1"/>
    <col min="8476" max="8476" width="6" style="614" bestFit="1" customWidth="1"/>
    <col min="8477" max="8477" width="11.453125" style="614"/>
    <col min="8478" max="8479" width="14.453125" style="614" bestFit="1" customWidth="1"/>
    <col min="8480" max="8480" width="12.81640625" style="614" bestFit="1" customWidth="1"/>
    <col min="8481" max="8481" width="14.453125" style="614" bestFit="1" customWidth="1"/>
    <col min="8482" max="8702" width="11.453125" style="614"/>
    <col min="8703" max="8703" width="5.7265625" style="614" customWidth="1"/>
    <col min="8704" max="8704" width="35.1796875" style="614" customWidth="1"/>
    <col min="8705" max="8706" width="10.26953125" style="614" customWidth="1"/>
    <col min="8707" max="8707" width="7.453125" style="614" customWidth="1"/>
    <col min="8708" max="8709" width="10.26953125" style="614" customWidth="1"/>
    <col min="8710" max="8710" width="7" style="614" customWidth="1"/>
    <col min="8711" max="8711" width="1" style="614" customWidth="1"/>
    <col min="8712" max="8713" width="8.7265625" style="614" customWidth="1"/>
    <col min="8714" max="8714" width="7.453125" style="614" customWidth="1"/>
    <col min="8715" max="8716" width="8.7265625" style="614" customWidth="1"/>
    <col min="8717" max="8717" width="8.453125" style="614" bestFit="1" customWidth="1"/>
    <col min="8718" max="8718" width="10.26953125" style="614" customWidth="1"/>
    <col min="8719" max="8719" width="10" style="614" customWidth="1"/>
    <col min="8720" max="8720" width="5.26953125" style="614" bestFit="1" customWidth="1"/>
    <col min="8721" max="8722" width="8.7265625" style="614" customWidth="1"/>
    <col min="8723" max="8723" width="9.7265625" style="614" customWidth="1"/>
    <col min="8724" max="8725" width="10.26953125" style="614" customWidth="1"/>
    <col min="8726" max="8726" width="7.81640625" style="614" bestFit="1" customWidth="1"/>
    <col min="8727" max="8727" width="13.453125" style="614" customWidth="1"/>
    <col min="8728" max="8728" width="3.26953125" style="614" customWidth="1"/>
    <col min="8729" max="8729" width="17.1796875" style="614" customWidth="1"/>
    <col min="8730" max="8730" width="14.453125" style="614" bestFit="1" customWidth="1"/>
    <col min="8731" max="8731" width="10.26953125" style="614" customWidth="1"/>
    <col min="8732" max="8732" width="6" style="614" bestFit="1" customWidth="1"/>
    <col min="8733" max="8733" width="11.453125" style="614"/>
    <col min="8734" max="8735" width="14.453125" style="614" bestFit="1" customWidth="1"/>
    <col min="8736" max="8736" width="12.81640625" style="614" bestFit="1" customWidth="1"/>
    <col min="8737" max="8737" width="14.453125" style="614" bestFit="1" customWidth="1"/>
    <col min="8738" max="8958" width="11.453125" style="614"/>
    <col min="8959" max="8959" width="5.7265625" style="614" customWidth="1"/>
    <col min="8960" max="8960" width="35.1796875" style="614" customWidth="1"/>
    <col min="8961" max="8962" width="10.26953125" style="614" customWidth="1"/>
    <col min="8963" max="8963" width="7.453125" style="614" customWidth="1"/>
    <col min="8964" max="8965" width="10.26953125" style="614" customWidth="1"/>
    <col min="8966" max="8966" width="7" style="614" customWidth="1"/>
    <col min="8967" max="8967" width="1" style="614" customWidth="1"/>
    <col min="8968" max="8969" width="8.7265625" style="614" customWidth="1"/>
    <col min="8970" max="8970" width="7.453125" style="614" customWidth="1"/>
    <col min="8971" max="8972" width="8.7265625" style="614" customWidth="1"/>
    <col min="8973" max="8973" width="8.453125" style="614" bestFit="1" customWidth="1"/>
    <col min="8974" max="8974" width="10.26953125" style="614" customWidth="1"/>
    <col min="8975" max="8975" width="10" style="614" customWidth="1"/>
    <col min="8976" max="8976" width="5.26953125" style="614" bestFit="1" customWidth="1"/>
    <col min="8977" max="8978" width="8.7265625" style="614" customWidth="1"/>
    <col min="8979" max="8979" width="9.7265625" style="614" customWidth="1"/>
    <col min="8980" max="8981" width="10.26953125" style="614" customWidth="1"/>
    <col min="8982" max="8982" width="7.81640625" style="614" bestFit="1" customWidth="1"/>
    <col min="8983" max="8983" width="13.453125" style="614" customWidth="1"/>
    <col min="8984" max="8984" width="3.26953125" style="614" customWidth="1"/>
    <col min="8985" max="8985" width="17.1796875" style="614" customWidth="1"/>
    <col min="8986" max="8986" width="14.453125" style="614" bestFit="1" customWidth="1"/>
    <col min="8987" max="8987" width="10.26953125" style="614" customWidth="1"/>
    <col min="8988" max="8988" width="6" style="614" bestFit="1" customWidth="1"/>
    <col min="8989" max="8989" width="11.453125" style="614"/>
    <col min="8990" max="8991" width="14.453125" style="614" bestFit="1" customWidth="1"/>
    <col min="8992" max="8992" width="12.81640625" style="614" bestFit="1" customWidth="1"/>
    <col min="8993" max="8993" width="14.453125" style="614" bestFit="1" customWidth="1"/>
    <col min="8994" max="9214" width="11.453125" style="614"/>
    <col min="9215" max="9215" width="5.7265625" style="614" customWidth="1"/>
    <col min="9216" max="9216" width="35.1796875" style="614" customWidth="1"/>
    <col min="9217" max="9218" width="10.26953125" style="614" customWidth="1"/>
    <col min="9219" max="9219" width="7.453125" style="614" customWidth="1"/>
    <col min="9220" max="9221" width="10.26953125" style="614" customWidth="1"/>
    <col min="9222" max="9222" width="7" style="614" customWidth="1"/>
    <col min="9223" max="9223" width="1" style="614" customWidth="1"/>
    <col min="9224" max="9225" width="8.7265625" style="614" customWidth="1"/>
    <col min="9226" max="9226" width="7.453125" style="614" customWidth="1"/>
    <col min="9227" max="9228" width="8.7265625" style="614" customWidth="1"/>
    <col min="9229" max="9229" width="8.453125" style="614" bestFit="1" customWidth="1"/>
    <col min="9230" max="9230" width="10.26953125" style="614" customWidth="1"/>
    <col min="9231" max="9231" width="10" style="614" customWidth="1"/>
    <col min="9232" max="9232" width="5.26953125" style="614" bestFit="1" customWidth="1"/>
    <col min="9233" max="9234" width="8.7265625" style="614" customWidth="1"/>
    <col min="9235" max="9235" width="9.7265625" style="614" customWidth="1"/>
    <col min="9236" max="9237" width="10.26953125" style="614" customWidth="1"/>
    <col min="9238" max="9238" width="7.81640625" style="614" bestFit="1" customWidth="1"/>
    <col min="9239" max="9239" width="13.453125" style="614" customWidth="1"/>
    <col min="9240" max="9240" width="3.26953125" style="614" customWidth="1"/>
    <col min="9241" max="9241" width="17.1796875" style="614" customWidth="1"/>
    <col min="9242" max="9242" width="14.453125" style="614" bestFit="1" customWidth="1"/>
    <col min="9243" max="9243" width="10.26953125" style="614" customWidth="1"/>
    <col min="9244" max="9244" width="6" style="614" bestFit="1" customWidth="1"/>
    <col min="9245" max="9245" width="11.453125" style="614"/>
    <col min="9246" max="9247" width="14.453125" style="614" bestFit="1" customWidth="1"/>
    <col min="9248" max="9248" width="12.81640625" style="614" bestFit="1" customWidth="1"/>
    <col min="9249" max="9249" width="14.453125" style="614" bestFit="1" customWidth="1"/>
    <col min="9250" max="9470" width="11.453125" style="614"/>
    <col min="9471" max="9471" width="5.7265625" style="614" customWidth="1"/>
    <col min="9472" max="9472" width="35.1796875" style="614" customWidth="1"/>
    <col min="9473" max="9474" width="10.26953125" style="614" customWidth="1"/>
    <col min="9475" max="9475" width="7.453125" style="614" customWidth="1"/>
    <col min="9476" max="9477" width="10.26953125" style="614" customWidth="1"/>
    <col min="9478" max="9478" width="7" style="614" customWidth="1"/>
    <col min="9479" max="9479" width="1" style="614" customWidth="1"/>
    <col min="9480" max="9481" width="8.7265625" style="614" customWidth="1"/>
    <col min="9482" max="9482" width="7.453125" style="614" customWidth="1"/>
    <col min="9483" max="9484" width="8.7265625" style="614" customWidth="1"/>
    <col min="9485" max="9485" width="8.453125" style="614" bestFit="1" customWidth="1"/>
    <col min="9486" max="9486" width="10.26953125" style="614" customWidth="1"/>
    <col min="9487" max="9487" width="10" style="614" customWidth="1"/>
    <col min="9488" max="9488" width="5.26953125" style="614" bestFit="1" customWidth="1"/>
    <col min="9489" max="9490" width="8.7265625" style="614" customWidth="1"/>
    <col min="9491" max="9491" width="9.7265625" style="614" customWidth="1"/>
    <col min="9492" max="9493" width="10.26953125" style="614" customWidth="1"/>
    <col min="9494" max="9494" width="7.81640625" style="614" bestFit="1" customWidth="1"/>
    <col min="9495" max="9495" width="13.453125" style="614" customWidth="1"/>
    <col min="9496" max="9496" width="3.26953125" style="614" customWidth="1"/>
    <col min="9497" max="9497" width="17.1796875" style="614" customWidth="1"/>
    <col min="9498" max="9498" width="14.453125" style="614" bestFit="1" customWidth="1"/>
    <col min="9499" max="9499" width="10.26953125" style="614" customWidth="1"/>
    <col min="9500" max="9500" width="6" style="614" bestFit="1" customWidth="1"/>
    <col min="9501" max="9501" width="11.453125" style="614"/>
    <col min="9502" max="9503" width="14.453125" style="614" bestFit="1" customWidth="1"/>
    <col min="9504" max="9504" width="12.81640625" style="614" bestFit="1" customWidth="1"/>
    <col min="9505" max="9505" width="14.453125" style="614" bestFit="1" customWidth="1"/>
    <col min="9506" max="9726" width="11.453125" style="614"/>
    <col min="9727" max="9727" width="5.7265625" style="614" customWidth="1"/>
    <col min="9728" max="9728" width="35.1796875" style="614" customWidth="1"/>
    <col min="9729" max="9730" width="10.26953125" style="614" customWidth="1"/>
    <col min="9731" max="9731" width="7.453125" style="614" customWidth="1"/>
    <col min="9732" max="9733" width="10.26953125" style="614" customWidth="1"/>
    <col min="9734" max="9734" width="7" style="614" customWidth="1"/>
    <col min="9735" max="9735" width="1" style="614" customWidth="1"/>
    <col min="9736" max="9737" width="8.7265625" style="614" customWidth="1"/>
    <col min="9738" max="9738" width="7.453125" style="614" customWidth="1"/>
    <col min="9739" max="9740" width="8.7265625" style="614" customWidth="1"/>
    <col min="9741" max="9741" width="8.453125" style="614" bestFit="1" customWidth="1"/>
    <col min="9742" max="9742" width="10.26953125" style="614" customWidth="1"/>
    <col min="9743" max="9743" width="10" style="614" customWidth="1"/>
    <col min="9744" max="9744" width="5.26953125" style="614" bestFit="1" customWidth="1"/>
    <col min="9745" max="9746" width="8.7265625" style="614" customWidth="1"/>
    <col min="9747" max="9747" width="9.7265625" style="614" customWidth="1"/>
    <col min="9748" max="9749" width="10.26953125" style="614" customWidth="1"/>
    <col min="9750" max="9750" width="7.81640625" style="614" bestFit="1" customWidth="1"/>
    <col min="9751" max="9751" width="13.453125" style="614" customWidth="1"/>
    <col min="9752" max="9752" width="3.26953125" style="614" customWidth="1"/>
    <col min="9753" max="9753" width="17.1796875" style="614" customWidth="1"/>
    <col min="9754" max="9754" width="14.453125" style="614" bestFit="1" customWidth="1"/>
    <col min="9755" max="9755" width="10.26953125" style="614" customWidth="1"/>
    <col min="9756" max="9756" width="6" style="614" bestFit="1" customWidth="1"/>
    <col min="9757" max="9757" width="11.453125" style="614"/>
    <col min="9758" max="9759" width="14.453125" style="614" bestFit="1" customWidth="1"/>
    <col min="9760" max="9760" width="12.81640625" style="614" bestFit="1" customWidth="1"/>
    <col min="9761" max="9761" width="14.453125" style="614" bestFit="1" customWidth="1"/>
    <col min="9762" max="9982" width="11.453125" style="614"/>
    <col min="9983" max="9983" width="5.7265625" style="614" customWidth="1"/>
    <col min="9984" max="9984" width="35.1796875" style="614" customWidth="1"/>
    <col min="9985" max="9986" width="10.26953125" style="614" customWidth="1"/>
    <col min="9987" max="9987" width="7.453125" style="614" customWidth="1"/>
    <col min="9988" max="9989" width="10.26953125" style="614" customWidth="1"/>
    <col min="9990" max="9990" width="7" style="614" customWidth="1"/>
    <col min="9991" max="9991" width="1" style="614" customWidth="1"/>
    <col min="9992" max="9993" width="8.7265625" style="614" customWidth="1"/>
    <col min="9994" max="9994" width="7.453125" style="614" customWidth="1"/>
    <col min="9995" max="9996" width="8.7265625" style="614" customWidth="1"/>
    <col min="9997" max="9997" width="8.453125" style="614" bestFit="1" customWidth="1"/>
    <col min="9998" max="9998" width="10.26953125" style="614" customWidth="1"/>
    <col min="9999" max="9999" width="10" style="614" customWidth="1"/>
    <col min="10000" max="10000" width="5.26953125" style="614" bestFit="1" customWidth="1"/>
    <col min="10001" max="10002" width="8.7265625" style="614" customWidth="1"/>
    <col min="10003" max="10003" width="9.7265625" style="614" customWidth="1"/>
    <col min="10004" max="10005" width="10.26953125" style="614" customWidth="1"/>
    <col min="10006" max="10006" width="7.81640625" style="614" bestFit="1" customWidth="1"/>
    <col min="10007" max="10007" width="13.453125" style="614" customWidth="1"/>
    <col min="10008" max="10008" width="3.26953125" style="614" customWidth="1"/>
    <col min="10009" max="10009" width="17.1796875" style="614" customWidth="1"/>
    <col min="10010" max="10010" width="14.453125" style="614" bestFit="1" customWidth="1"/>
    <col min="10011" max="10011" width="10.26953125" style="614" customWidth="1"/>
    <col min="10012" max="10012" width="6" style="614" bestFit="1" customWidth="1"/>
    <col min="10013" max="10013" width="11.453125" style="614"/>
    <col min="10014" max="10015" width="14.453125" style="614" bestFit="1" customWidth="1"/>
    <col min="10016" max="10016" width="12.81640625" style="614" bestFit="1" customWidth="1"/>
    <col min="10017" max="10017" width="14.453125" style="614" bestFit="1" customWidth="1"/>
    <col min="10018" max="10238" width="11.453125" style="614"/>
    <col min="10239" max="10239" width="5.7265625" style="614" customWidth="1"/>
    <col min="10240" max="10240" width="35.1796875" style="614" customWidth="1"/>
    <col min="10241" max="10242" width="10.26953125" style="614" customWidth="1"/>
    <col min="10243" max="10243" width="7.453125" style="614" customWidth="1"/>
    <col min="10244" max="10245" width="10.26953125" style="614" customWidth="1"/>
    <col min="10246" max="10246" width="7" style="614" customWidth="1"/>
    <col min="10247" max="10247" width="1" style="614" customWidth="1"/>
    <col min="10248" max="10249" width="8.7265625" style="614" customWidth="1"/>
    <col min="10250" max="10250" width="7.453125" style="614" customWidth="1"/>
    <col min="10251" max="10252" width="8.7265625" style="614" customWidth="1"/>
    <col min="10253" max="10253" width="8.453125" style="614" bestFit="1" customWidth="1"/>
    <col min="10254" max="10254" width="10.26953125" style="614" customWidth="1"/>
    <col min="10255" max="10255" width="10" style="614" customWidth="1"/>
    <col min="10256" max="10256" width="5.26953125" style="614" bestFit="1" customWidth="1"/>
    <col min="10257" max="10258" width="8.7265625" style="614" customWidth="1"/>
    <col min="10259" max="10259" width="9.7265625" style="614" customWidth="1"/>
    <col min="10260" max="10261" width="10.26953125" style="614" customWidth="1"/>
    <col min="10262" max="10262" width="7.81640625" style="614" bestFit="1" customWidth="1"/>
    <col min="10263" max="10263" width="13.453125" style="614" customWidth="1"/>
    <col min="10264" max="10264" width="3.26953125" style="614" customWidth="1"/>
    <col min="10265" max="10265" width="17.1796875" style="614" customWidth="1"/>
    <col min="10266" max="10266" width="14.453125" style="614" bestFit="1" customWidth="1"/>
    <col min="10267" max="10267" width="10.26953125" style="614" customWidth="1"/>
    <col min="10268" max="10268" width="6" style="614" bestFit="1" customWidth="1"/>
    <col min="10269" max="10269" width="11.453125" style="614"/>
    <col min="10270" max="10271" width="14.453125" style="614" bestFit="1" customWidth="1"/>
    <col min="10272" max="10272" width="12.81640625" style="614" bestFit="1" customWidth="1"/>
    <col min="10273" max="10273" width="14.453125" style="614" bestFit="1" customWidth="1"/>
    <col min="10274" max="10494" width="11.453125" style="614"/>
    <col min="10495" max="10495" width="5.7265625" style="614" customWidth="1"/>
    <col min="10496" max="10496" width="35.1796875" style="614" customWidth="1"/>
    <col min="10497" max="10498" width="10.26953125" style="614" customWidth="1"/>
    <col min="10499" max="10499" width="7.453125" style="614" customWidth="1"/>
    <col min="10500" max="10501" width="10.26953125" style="614" customWidth="1"/>
    <col min="10502" max="10502" width="7" style="614" customWidth="1"/>
    <col min="10503" max="10503" width="1" style="614" customWidth="1"/>
    <col min="10504" max="10505" width="8.7265625" style="614" customWidth="1"/>
    <col min="10506" max="10506" width="7.453125" style="614" customWidth="1"/>
    <col min="10507" max="10508" width="8.7265625" style="614" customWidth="1"/>
    <col min="10509" max="10509" width="8.453125" style="614" bestFit="1" customWidth="1"/>
    <col min="10510" max="10510" width="10.26953125" style="614" customWidth="1"/>
    <col min="10511" max="10511" width="10" style="614" customWidth="1"/>
    <col min="10512" max="10512" width="5.26953125" style="614" bestFit="1" customWidth="1"/>
    <col min="10513" max="10514" width="8.7265625" style="614" customWidth="1"/>
    <col min="10515" max="10515" width="9.7265625" style="614" customWidth="1"/>
    <col min="10516" max="10517" width="10.26953125" style="614" customWidth="1"/>
    <col min="10518" max="10518" width="7.81640625" style="614" bestFit="1" customWidth="1"/>
    <col min="10519" max="10519" width="13.453125" style="614" customWidth="1"/>
    <col min="10520" max="10520" width="3.26953125" style="614" customWidth="1"/>
    <col min="10521" max="10521" width="17.1796875" style="614" customWidth="1"/>
    <col min="10522" max="10522" width="14.453125" style="614" bestFit="1" customWidth="1"/>
    <col min="10523" max="10523" width="10.26953125" style="614" customWidth="1"/>
    <col min="10524" max="10524" width="6" style="614" bestFit="1" customWidth="1"/>
    <col min="10525" max="10525" width="11.453125" style="614"/>
    <col min="10526" max="10527" width="14.453125" style="614" bestFit="1" customWidth="1"/>
    <col min="10528" max="10528" width="12.81640625" style="614" bestFit="1" customWidth="1"/>
    <col min="10529" max="10529" width="14.453125" style="614" bestFit="1" customWidth="1"/>
    <col min="10530" max="10750" width="11.453125" style="614"/>
    <col min="10751" max="10751" width="5.7265625" style="614" customWidth="1"/>
    <col min="10752" max="10752" width="35.1796875" style="614" customWidth="1"/>
    <col min="10753" max="10754" width="10.26953125" style="614" customWidth="1"/>
    <col min="10755" max="10755" width="7.453125" style="614" customWidth="1"/>
    <col min="10756" max="10757" width="10.26953125" style="614" customWidth="1"/>
    <col min="10758" max="10758" width="7" style="614" customWidth="1"/>
    <col min="10759" max="10759" width="1" style="614" customWidth="1"/>
    <col min="10760" max="10761" width="8.7265625" style="614" customWidth="1"/>
    <col min="10762" max="10762" width="7.453125" style="614" customWidth="1"/>
    <col min="10763" max="10764" width="8.7265625" style="614" customWidth="1"/>
    <col min="10765" max="10765" width="8.453125" style="614" bestFit="1" customWidth="1"/>
    <col min="10766" max="10766" width="10.26953125" style="614" customWidth="1"/>
    <col min="10767" max="10767" width="10" style="614" customWidth="1"/>
    <col min="10768" max="10768" width="5.26953125" style="614" bestFit="1" customWidth="1"/>
    <col min="10769" max="10770" width="8.7265625" style="614" customWidth="1"/>
    <col min="10771" max="10771" width="9.7265625" style="614" customWidth="1"/>
    <col min="10772" max="10773" width="10.26953125" style="614" customWidth="1"/>
    <col min="10774" max="10774" width="7.81640625" style="614" bestFit="1" customWidth="1"/>
    <col min="10775" max="10775" width="13.453125" style="614" customWidth="1"/>
    <col min="10776" max="10776" width="3.26953125" style="614" customWidth="1"/>
    <col min="10777" max="10777" width="17.1796875" style="614" customWidth="1"/>
    <col min="10778" max="10778" width="14.453125" style="614" bestFit="1" customWidth="1"/>
    <col min="10779" max="10779" width="10.26953125" style="614" customWidth="1"/>
    <col min="10780" max="10780" width="6" style="614" bestFit="1" customWidth="1"/>
    <col min="10781" max="10781" width="11.453125" style="614"/>
    <col min="10782" max="10783" width="14.453125" style="614" bestFit="1" customWidth="1"/>
    <col min="10784" max="10784" width="12.81640625" style="614" bestFit="1" customWidth="1"/>
    <col min="10785" max="10785" width="14.453125" style="614" bestFit="1" customWidth="1"/>
    <col min="10786" max="11006" width="11.453125" style="614"/>
    <col min="11007" max="11007" width="5.7265625" style="614" customWidth="1"/>
    <col min="11008" max="11008" width="35.1796875" style="614" customWidth="1"/>
    <col min="11009" max="11010" width="10.26953125" style="614" customWidth="1"/>
    <col min="11011" max="11011" width="7.453125" style="614" customWidth="1"/>
    <col min="11012" max="11013" width="10.26953125" style="614" customWidth="1"/>
    <col min="11014" max="11014" width="7" style="614" customWidth="1"/>
    <col min="11015" max="11015" width="1" style="614" customWidth="1"/>
    <col min="11016" max="11017" width="8.7265625" style="614" customWidth="1"/>
    <col min="11018" max="11018" width="7.453125" style="614" customWidth="1"/>
    <col min="11019" max="11020" width="8.7265625" style="614" customWidth="1"/>
    <col min="11021" max="11021" width="8.453125" style="614" bestFit="1" customWidth="1"/>
    <col min="11022" max="11022" width="10.26953125" style="614" customWidth="1"/>
    <col min="11023" max="11023" width="10" style="614" customWidth="1"/>
    <col min="11024" max="11024" width="5.26953125" style="614" bestFit="1" customWidth="1"/>
    <col min="11025" max="11026" width="8.7265625" style="614" customWidth="1"/>
    <col min="11027" max="11027" width="9.7265625" style="614" customWidth="1"/>
    <col min="11028" max="11029" width="10.26953125" style="614" customWidth="1"/>
    <col min="11030" max="11030" width="7.81640625" style="614" bestFit="1" customWidth="1"/>
    <col min="11031" max="11031" width="13.453125" style="614" customWidth="1"/>
    <col min="11032" max="11032" width="3.26953125" style="614" customWidth="1"/>
    <col min="11033" max="11033" width="17.1796875" style="614" customWidth="1"/>
    <col min="11034" max="11034" width="14.453125" style="614" bestFit="1" customWidth="1"/>
    <col min="11035" max="11035" width="10.26953125" style="614" customWidth="1"/>
    <col min="11036" max="11036" width="6" style="614" bestFit="1" customWidth="1"/>
    <col min="11037" max="11037" width="11.453125" style="614"/>
    <col min="11038" max="11039" width="14.453125" style="614" bestFit="1" customWidth="1"/>
    <col min="11040" max="11040" width="12.81640625" style="614" bestFit="1" customWidth="1"/>
    <col min="11041" max="11041" width="14.453125" style="614" bestFit="1" customWidth="1"/>
    <col min="11042" max="11262" width="11.453125" style="614"/>
    <col min="11263" max="11263" width="5.7265625" style="614" customWidth="1"/>
    <col min="11264" max="11264" width="35.1796875" style="614" customWidth="1"/>
    <col min="11265" max="11266" width="10.26953125" style="614" customWidth="1"/>
    <col min="11267" max="11267" width="7.453125" style="614" customWidth="1"/>
    <col min="11268" max="11269" width="10.26953125" style="614" customWidth="1"/>
    <col min="11270" max="11270" width="7" style="614" customWidth="1"/>
    <col min="11271" max="11271" width="1" style="614" customWidth="1"/>
    <col min="11272" max="11273" width="8.7265625" style="614" customWidth="1"/>
    <col min="11274" max="11274" width="7.453125" style="614" customWidth="1"/>
    <col min="11275" max="11276" width="8.7265625" style="614" customWidth="1"/>
    <col min="11277" max="11277" width="8.453125" style="614" bestFit="1" customWidth="1"/>
    <col min="11278" max="11278" width="10.26953125" style="614" customWidth="1"/>
    <col min="11279" max="11279" width="10" style="614" customWidth="1"/>
    <col min="11280" max="11280" width="5.26953125" style="614" bestFit="1" customWidth="1"/>
    <col min="11281" max="11282" width="8.7265625" style="614" customWidth="1"/>
    <col min="11283" max="11283" width="9.7265625" style="614" customWidth="1"/>
    <col min="11284" max="11285" width="10.26953125" style="614" customWidth="1"/>
    <col min="11286" max="11286" width="7.81640625" style="614" bestFit="1" customWidth="1"/>
    <col min="11287" max="11287" width="13.453125" style="614" customWidth="1"/>
    <col min="11288" max="11288" width="3.26953125" style="614" customWidth="1"/>
    <col min="11289" max="11289" width="17.1796875" style="614" customWidth="1"/>
    <col min="11290" max="11290" width="14.453125" style="614" bestFit="1" customWidth="1"/>
    <col min="11291" max="11291" width="10.26953125" style="614" customWidth="1"/>
    <col min="11292" max="11292" width="6" style="614" bestFit="1" customWidth="1"/>
    <col min="11293" max="11293" width="11.453125" style="614"/>
    <col min="11294" max="11295" width="14.453125" style="614" bestFit="1" customWidth="1"/>
    <col min="11296" max="11296" width="12.81640625" style="614" bestFit="1" customWidth="1"/>
    <col min="11297" max="11297" width="14.453125" style="614" bestFit="1" customWidth="1"/>
    <col min="11298" max="11518" width="11.453125" style="614"/>
    <col min="11519" max="11519" width="5.7265625" style="614" customWidth="1"/>
    <col min="11520" max="11520" width="35.1796875" style="614" customWidth="1"/>
    <col min="11521" max="11522" width="10.26953125" style="614" customWidth="1"/>
    <col min="11523" max="11523" width="7.453125" style="614" customWidth="1"/>
    <col min="11524" max="11525" width="10.26953125" style="614" customWidth="1"/>
    <col min="11526" max="11526" width="7" style="614" customWidth="1"/>
    <col min="11527" max="11527" width="1" style="614" customWidth="1"/>
    <col min="11528" max="11529" width="8.7265625" style="614" customWidth="1"/>
    <col min="11530" max="11530" width="7.453125" style="614" customWidth="1"/>
    <col min="11531" max="11532" width="8.7265625" style="614" customWidth="1"/>
    <col min="11533" max="11533" width="8.453125" style="614" bestFit="1" customWidth="1"/>
    <col min="11534" max="11534" width="10.26953125" style="614" customWidth="1"/>
    <col min="11535" max="11535" width="10" style="614" customWidth="1"/>
    <col min="11536" max="11536" width="5.26953125" style="614" bestFit="1" customWidth="1"/>
    <col min="11537" max="11538" width="8.7265625" style="614" customWidth="1"/>
    <col min="11539" max="11539" width="9.7265625" style="614" customWidth="1"/>
    <col min="11540" max="11541" width="10.26953125" style="614" customWidth="1"/>
    <col min="11542" max="11542" width="7.81640625" style="614" bestFit="1" customWidth="1"/>
    <col min="11543" max="11543" width="13.453125" style="614" customWidth="1"/>
    <col min="11544" max="11544" width="3.26953125" style="614" customWidth="1"/>
    <col min="11545" max="11545" width="17.1796875" style="614" customWidth="1"/>
    <col min="11546" max="11546" width="14.453125" style="614" bestFit="1" customWidth="1"/>
    <col min="11547" max="11547" width="10.26953125" style="614" customWidth="1"/>
    <col min="11548" max="11548" width="6" style="614" bestFit="1" customWidth="1"/>
    <col min="11549" max="11549" width="11.453125" style="614"/>
    <col min="11550" max="11551" width="14.453125" style="614" bestFit="1" customWidth="1"/>
    <col min="11552" max="11552" width="12.81640625" style="614" bestFit="1" customWidth="1"/>
    <col min="11553" max="11553" width="14.453125" style="614" bestFit="1" customWidth="1"/>
    <col min="11554" max="11774" width="11.453125" style="614"/>
    <col min="11775" max="11775" width="5.7265625" style="614" customWidth="1"/>
    <col min="11776" max="11776" width="35.1796875" style="614" customWidth="1"/>
    <col min="11777" max="11778" width="10.26953125" style="614" customWidth="1"/>
    <col min="11779" max="11779" width="7.453125" style="614" customWidth="1"/>
    <col min="11780" max="11781" width="10.26953125" style="614" customWidth="1"/>
    <col min="11782" max="11782" width="7" style="614" customWidth="1"/>
    <col min="11783" max="11783" width="1" style="614" customWidth="1"/>
    <col min="11784" max="11785" width="8.7265625" style="614" customWidth="1"/>
    <col min="11786" max="11786" width="7.453125" style="614" customWidth="1"/>
    <col min="11787" max="11788" width="8.7265625" style="614" customWidth="1"/>
    <col min="11789" max="11789" width="8.453125" style="614" bestFit="1" customWidth="1"/>
    <col min="11790" max="11790" width="10.26953125" style="614" customWidth="1"/>
    <col min="11791" max="11791" width="10" style="614" customWidth="1"/>
    <col min="11792" max="11792" width="5.26953125" style="614" bestFit="1" customWidth="1"/>
    <col min="11793" max="11794" width="8.7265625" style="614" customWidth="1"/>
    <col min="11795" max="11795" width="9.7265625" style="614" customWidth="1"/>
    <col min="11796" max="11797" width="10.26953125" style="614" customWidth="1"/>
    <col min="11798" max="11798" width="7.81640625" style="614" bestFit="1" customWidth="1"/>
    <col min="11799" max="11799" width="13.453125" style="614" customWidth="1"/>
    <col min="11800" max="11800" width="3.26953125" style="614" customWidth="1"/>
    <col min="11801" max="11801" width="17.1796875" style="614" customWidth="1"/>
    <col min="11802" max="11802" width="14.453125" style="614" bestFit="1" customWidth="1"/>
    <col min="11803" max="11803" width="10.26953125" style="614" customWidth="1"/>
    <col min="11804" max="11804" width="6" style="614" bestFit="1" customWidth="1"/>
    <col min="11805" max="11805" width="11.453125" style="614"/>
    <col min="11806" max="11807" width="14.453125" style="614" bestFit="1" customWidth="1"/>
    <col min="11808" max="11808" width="12.81640625" style="614" bestFit="1" customWidth="1"/>
    <col min="11809" max="11809" width="14.453125" style="614" bestFit="1" customWidth="1"/>
    <col min="11810" max="12030" width="11.453125" style="614"/>
    <col min="12031" max="12031" width="5.7265625" style="614" customWidth="1"/>
    <col min="12032" max="12032" width="35.1796875" style="614" customWidth="1"/>
    <col min="12033" max="12034" width="10.26953125" style="614" customWidth="1"/>
    <col min="12035" max="12035" width="7.453125" style="614" customWidth="1"/>
    <col min="12036" max="12037" width="10.26953125" style="614" customWidth="1"/>
    <col min="12038" max="12038" width="7" style="614" customWidth="1"/>
    <col min="12039" max="12039" width="1" style="614" customWidth="1"/>
    <col min="12040" max="12041" width="8.7265625" style="614" customWidth="1"/>
    <col min="12042" max="12042" width="7.453125" style="614" customWidth="1"/>
    <col min="12043" max="12044" width="8.7265625" style="614" customWidth="1"/>
    <col min="12045" max="12045" width="8.453125" style="614" bestFit="1" customWidth="1"/>
    <col min="12046" max="12046" width="10.26953125" style="614" customWidth="1"/>
    <col min="12047" max="12047" width="10" style="614" customWidth="1"/>
    <col min="12048" max="12048" width="5.26953125" style="614" bestFit="1" customWidth="1"/>
    <col min="12049" max="12050" width="8.7265625" style="614" customWidth="1"/>
    <col min="12051" max="12051" width="9.7265625" style="614" customWidth="1"/>
    <col min="12052" max="12053" width="10.26953125" style="614" customWidth="1"/>
    <col min="12054" max="12054" width="7.81640625" style="614" bestFit="1" customWidth="1"/>
    <col min="12055" max="12055" width="13.453125" style="614" customWidth="1"/>
    <col min="12056" max="12056" width="3.26953125" style="614" customWidth="1"/>
    <col min="12057" max="12057" width="17.1796875" style="614" customWidth="1"/>
    <col min="12058" max="12058" width="14.453125" style="614" bestFit="1" customWidth="1"/>
    <col min="12059" max="12059" width="10.26953125" style="614" customWidth="1"/>
    <col min="12060" max="12060" width="6" style="614" bestFit="1" customWidth="1"/>
    <col min="12061" max="12061" width="11.453125" style="614"/>
    <col min="12062" max="12063" width="14.453125" style="614" bestFit="1" customWidth="1"/>
    <col min="12064" max="12064" width="12.81640625" style="614" bestFit="1" customWidth="1"/>
    <col min="12065" max="12065" width="14.453125" style="614" bestFit="1" customWidth="1"/>
    <col min="12066" max="12286" width="11.453125" style="614"/>
    <col min="12287" max="12287" width="5.7265625" style="614" customWidth="1"/>
    <col min="12288" max="12288" width="35.1796875" style="614" customWidth="1"/>
    <col min="12289" max="12290" width="10.26953125" style="614" customWidth="1"/>
    <col min="12291" max="12291" width="7.453125" style="614" customWidth="1"/>
    <col min="12292" max="12293" width="10.26953125" style="614" customWidth="1"/>
    <col min="12294" max="12294" width="7" style="614" customWidth="1"/>
    <col min="12295" max="12295" width="1" style="614" customWidth="1"/>
    <col min="12296" max="12297" width="8.7265625" style="614" customWidth="1"/>
    <col min="12298" max="12298" width="7.453125" style="614" customWidth="1"/>
    <col min="12299" max="12300" width="8.7265625" style="614" customWidth="1"/>
    <col min="12301" max="12301" width="8.453125" style="614" bestFit="1" customWidth="1"/>
    <col min="12302" max="12302" width="10.26953125" style="614" customWidth="1"/>
    <col min="12303" max="12303" width="10" style="614" customWidth="1"/>
    <col min="12304" max="12304" width="5.26953125" style="614" bestFit="1" customWidth="1"/>
    <col min="12305" max="12306" width="8.7265625" style="614" customWidth="1"/>
    <col min="12307" max="12307" width="9.7265625" style="614" customWidth="1"/>
    <col min="12308" max="12309" width="10.26953125" style="614" customWidth="1"/>
    <col min="12310" max="12310" width="7.81640625" style="614" bestFit="1" customWidth="1"/>
    <col min="12311" max="12311" width="13.453125" style="614" customWidth="1"/>
    <col min="12312" max="12312" width="3.26953125" style="614" customWidth="1"/>
    <col min="12313" max="12313" width="17.1796875" style="614" customWidth="1"/>
    <col min="12314" max="12314" width="14.453125" style="614" bestFit="1" customWidth="1"/>
    <col min="12315" max="12315" width="10.26953125" style="614" customWidth="1"/>
    <col min="12316" max="12316" width="6" style="614" bestFit="1" customWidth="1"/>
    <col min="12317" max="12317" width="11.453125" style="614"/>
    <col min="12318" max="12319" width="14.453125" style="614" bestFit="1" customWidth="1"/>
    <col min="12320" max="12320" width="12.81640625" style="614" bestFit="1" customWidth="1"/>
    <col min="12321" max="12321" width="14.453125" style="614" bestFit="1" customWidth="1"/>
    <col min="12322" max="12542" width="11.453125" style="614"/>
    <col min="12543" max="12543" width="5.7265625" style="614" customWidth="1"/>
    <col min="12544" max="12544" width="35.1796875" style="614" customWidth="1"/>
    <col min="12545" max="12546" width="10.26953125" style="614" customWidth="1"/>
    <col min="12547" max="12547" width="7.453125" style="614" customWidth="1"/>
    <col min="12548" max="12549" width="10.26953125" style="614" customWidth="1"/>
    <col min="12550" max="12550" width="7" style="614" customWidth="1"/>
    <col min="12551" max="12551" width="1" style="614" customWidth="1"/>
    <col min="12552" max="12553" width="8.7265625" style="614" customWidth="1"/>
    <col min="12554" max="12554" width="7.453125" style="614" customWidth="1"/>
    <col min="12555" max="12556" width="8.7265625" style="614" customWidth="1"/>
    <col min="12557" max="12557" width="8.453125" style="614" bestFit="1" customWidth="1"/>
    <col min="12558" max="12558" width="10.26953125" style="614" customWidth="1"/>
    <col min="12559" max="12559" width="10" style="614" customWidth="1"/>
    <col min="12560" max="12560" width="5.26953125" style="614" bestFit="1" customWidth="1"/>
    <col min="12561" max="12562" width="8.7265625" style="614" customWidth="1"/>
    <col min="12563" max="12563" width="9.7265625" style="614" customWidth="1"/>
    <col min="12564" max="12565" width="10.26953125" style="614" customWidth="1"/>
    <col min="12566" max="12566" width="7.81640625" style="614" bestFit="1" customWidth="1"/>
    <col min="12567" max="12567" width="13.453125" style="614" customWidth="1"/>
    <col min="12568" max="12568" width="3.26953125" style="614" customWidth="1"/>
    <col min="12569" max="12569" width="17.1796875" style="614" customWidth="1"/>
    <col min="12570" max="12570" width="14.453125" style="614" bestFit="1" customWidth="1"/>
    <col min="12571" max="12571" width="10.26953125" style="614" customWidth="1"/>
    <col min="12572" max="12572" width="6" style="614" bestFit="1" customWidth="1"/>
    <col min="12573" max="12573" width="11.453125" style="614"/>
    <col min="12574" max="12575" width="14.453125" style="614" bestFit="1" customWidth="1"/>
    <col min="12576" max="12576" width="12.81640625" style="614" bestFit="1" customWidth="1"/>
    <col min="12577" max="12577" width="14.453125" style="614" bestFit="1" customWidth="1"/>
    <col min="12578" max="12798" width="11.453125" style="614"/>
    <col min="12799" max="12799" width="5.7265625" style="614" customWidth="1"/>
    <col min="12800" max="12800" width="35.1796875" style="614" customWidth="1"/>
    <col min="12801" max="12802" width="10.26953125" style="614" customWidth="1"/>
    <col min="12803" max="12803" width="7.453125" style="614" customWidth="1"/>
    <col min="12804" max="12805" width="10.26953125" style="614" customWidth="1"/>
    <col min="12806" max="12806" width="7" style="614" customWidth="1"/>
    <col min="12807" max="12807" width="1" style="614" customWidth="1"/>
    <col min="12808" max="12809" width="8.7265625" style="614" customWidth="1"/>
    <col min="12810" max="12810" width="7.453125" style="614" customWidth="1"/>
    <col min="12811" max="12812" width="8.7265625" style="614" customWidth="1"/>
    <col min="12813" max="12813" width="8.453125" style="614" bestFit="1" customWidth="1"/>
    <col min="12814" max="12814" width="10.26953125" style="614" customWidth="1"/>
    <col min="12815" max="12815" width="10" style="614" customWidth="1"/>
    <col min="12816" max="12816" width="5.26953125" style="614" bestFit="1" customWidth="1"/>
    <col min="12817" max="12818" width="8.7265625" style="614" customWidth="1"/>
    <col min="12819" max="12819" width="9.7265625" style="614" customWidth="1"/>
    <col min="12820" max="12821" width="10.26953125" style="614" customWidth="1"/>
    <col min="12822" max="12822" width="7.81640625" style="614" bestFit="1" customWidth="1"/>
    <col min="12823" max="12823" width="13.453125" style="614" customWidth="1"/>
    <col min="12824" max="12824" width="3.26953125" style="614" customWidth="1"/>
    <col min="12825" max="12825" width="17.1796875" style="614" customWidth="1"/>
    <col min="12826" max="12826" width="14.453125" style="614" bestFit="1" customWidth="1"/>
    <col min="12827" max="12827" width="10.26953125" style="614" customWidth="1"/>
    <col min="12828" max="12828" width="6" style="614" bestFit="1" customWidth="1"/>
    <col min="12829" max="12829" width="11.453125" style="614"/>
    <col min="12830" max="12831" width="14.453125" style="614" bestFit="1" customWidth="1"/>
    <col min="12832" max="12832" width="12.81640625" style="614" bestFit="1" customWidth="1"/>
    <col min="12833" max="12833" width="14.453125" style="614" bestFit="1" customWidth="1"/>
    <col min="12834" max="13054" width="11.453125" style="614"/>
    <col min="13055" max="13055" width="5.7265625" style="614" customWidth="1"/>
    <col min="13056" max="13056" width="35.1796875" style="614" customWidth="1"/>
    <col min="13057" max="13058" width="10.26953125" style="614" customWidth="1"/>
    <col min="13059" max="13059" width="7.453125" style="614" customWidth="1"/>
    <col min="13060" max="13061" width="10.26953125" style="614" customWidth="1"/>
    <col min="13062" max="13062" width="7" style="614" customWidth="1"/>
    <col min="13063" max="13063" width="1" style="614" customWidth="1"/>
    <col min="13064" max="13065" width="8.7265625" style="614" customWidth="1"/>
    <col min="13066" max="13066" width="7.453125" style="614" customWidth="1"/>
    <col min="13067" max="13068" width="8.7265625" style="614" customWidth="1"/>
    <col min="13069" max="13069" width="8.453125" style="614" bestFit="1" customWidth="1"/>
    <col min="13070" max="13070" width="10.26953125" style="614" customWidth="1"/>
    <col min="13071" max="13071" width="10" style="614" customWidth="1"/>
    <col min="13072" max="13072" width="5.26953125" style="614" bestFit="1" customWidth="1"/>
    <col min="13073" max="13074" width="8.7265625" style="614" customWidth="1"/>
    <col min="13075" max="13075" width="9.7265625" style="614" customWidth="1"/>
    <col min="13076" max="13077" width="10.26953125" style="614" customWidth="1"/>
    <col min="13078" max="13078" width="7.81640625" style="614" bestFit="1" customWidth="1"/>
    <col min="13079" max="13079" width="13.453125" style="614" customWidth="1"/>
    <col min="13080" max="13080" width="3.26953125" style="614" customWidth="1"/>
    <col min="13081" max="13081" width="17.1796875" style="614" customWidth="1"/>
    <col min="13082" max="13082" width="14.453125" style="614" bestFit="1" customWidth="1"/>
    <col min="13083" max="13083" width="10.26953125" style="614" customWidth="1"/>
    <col min="13084" max="13084" width="6" style="614" bestFit="1" customWidth="1"/>
    <col min="13085" max="13085" width="11.453125" style="614"/>
    <col min="13086" max="13087" width="14.453125" style="614" bestFit="1" customWidth="1"/>
    <col min="13088" max="13088" width="12.81640625" style="614" bestFit="1" customWidth="1"/>
    <col min="13089" max="13089" width="14.453125" style="614" bestFit="1" customWidth="1"/>
    <col min="13090" max="13310" width="11.453125" style="614"/>
    <col min="13311" max="13311" width="5.7265625" style="614" customWidth="1"/>
    <col min="13312" max="13312" width="35.1796875" style="614" customWidth="1"/>
    <col min="13313" max="13314" width="10.26953125" style="614" customWidth="1"/>
    <col min="13315" max="13315" width="7.453125" style="614" customWidth="1"/>
    <col min="13316" max="13317" width="10.26953125" style="614" customWidth="1"/>
    <col min="13318" max="13318" width="7" style="614" customWidth="1"/>
    <col min="13319" max="13319" width="1" style="614" customWidth="1"/>
    <col min="13320" max="13321" width="8.7265625" style="614" customWidth="1"/>
    <col min="13322" max="13322" width="7.453125" style="614" customWidth="1"/>
    <col min="13323" max="13324" width="8.7265625" style="614" customWidth="1"/>
    <col min="13325" max="13325" width="8.453125" style="614" bestFit="1" customWidth="1"/>
    <col min="13326" max="13326" width="10.26953125" style="614" customWidth="1"/>
    <col min="13327" max="13327" width="10" style="614" customWidth="1"/>
    <col min="13328" max="13328" width="5.26953125" style="614" bestFit="1" customWidth="1"/>
    <col min="13329" max="13330" width="8.7265625" style="614" customWidth="1"/>
    <col min="13331" max="13331" width="9.7265625" style="614" customWidth="1"/>
    <col min="13332" max="13333" width="10.26953125" style="614" customWidth="1"/>
    <col min="13334" max="13334" width="7.81640625" style="614" bestFit="1" customWidth="1"/>
    <col min="13335" max="13335" width="13.453125" style="614" customWidth="1"/>
    <col min="13336" max="13336" width="3.26953125" style="614" customWidth="1"/>
    <col min="13337" max="13337" width="17.1796875" style="614" customWidth="1"/>
    <col min="13338" max="13338" width="14.453125" style="614" bestFit="1" customWidth="1"/>
    <col min="13339" max="13339" width="10.26953125" style="614" customWidth="1"/>
    <col min="13340" max="13340" width="6" style="614" bestFit="1" customWidth="1"/>
    <col min="13341" max="13341" width="11.453125" style="614"/>
    <col min="13342" max="13343" width="14.453125" style="614" bestFit="1" customWidth="1"/>
    <col min="13344" max="13344" width="12.81640625" style="614" bestFit="1" customWidth="1"/>
    <col min="13345" max="13345" width="14.453125" style="614" bestFit="1" customWidth="1"/>
    <col min="13346" max="13566" width="11.453125" style="614"/>
    <col min="13567" max="13567" width="5.7265625" style="614" customWidth="1"/>
    <col min="13568" max="13568" width="35.1796875" style="614" customWidth="1"/>
    <col min="13569" max="13570" width="10.26953125" style="614" customWidth="1"/>
    <col min="13571" max="13571" width="7.453125" style="614" customWidth="1"/>
    <col min="13572" max="13573" width="10.26953125" style="614" customWidth="1"/>
    <col min="13574" max="13574" width="7" style="614" customWidth="1"/>
    <col min="13575" max="13575" width="1" style="614" customWidth="1"/>
    <col min="13576" max="13577" width="8.7265625" style="614" customWidth="1"/>
    <col min="13578" max="13578" width="7.453125" style="614" customWidth="1"/>
    <col min="13579" max="13580" width="8.7265625" style="614" customWidth="1"/>
    <col min="13581" max="13581" width="8.453125" style="614" bestFit="1" customWidth="1"/>
    <col min="13582" max="13582" width="10.26953125" style="614" customWidth="1"/>
    <col min="13583" max="13583" width="10" style="614" customWidth="1"/>
    <col min="13584" max="13584" width="5.26953125" style="614" bestFit="1" customWidth="1"/>
    <col min="13585" max="13586" width="8.7265625" style="614" customWidth="1"/>
    <col min="13587" max="13587" width="9.7265625" style="614" customWidth="1"/>
    <col min="13588" max="13589" width="10.26953125" style="614" customWidth="1"/>
    <col min="13590" max="13590" width="7.81640625" style="614" bestFit="1" customWidth="1"/>
    <col min="13591" max="13591" width="13.453125" style="614" customWidth="1"/>
    <col min="13592" max="13592" width="3.26953125" style="614" customWidth="1"/>
    <col min="13593" max="13593" width="17.1796875" style="614" customWidth="1"/>
    <col min="13594" max="13594" width="14.453125" style="614" bestFit="1" customWidth="1"/>
    <col min="13595" max="13595" width="10.26953125" style="614" customWidth="1"/>
    <col min="13596" max="13596" width="6" style="614" bestFit="1" customWidth="1"/>
    <col min="13597" max="13597" width="11.453125" style="614"/>
    <col min="13598" max="13599" width="14.453125" style="614" bestFit="1" customWidth="1"/>
    <col min="13600" max="13600" width="12.81640625" style="614" bestFit="1" customWidth="1"/>
    <col min="13601" max="13601" width="14.453125" style="614" bestFit="1" customWidth="1"/>
    <col min="13602" max="13822" width="11.453125" style="614"/>
    <col min="13823" max="13823" width="5.7265625" style="614" customWidth="1"/>
    <col min="13824" max="13824" width="35.1796875" style="614" customWidth="1"/>
    <col min="13825" max="13826" width="10.26953125" style="614" customWidth="1"/>
    <col min="13827" max="13827" width="7.453125" style="614" customWidth="1"/>
    <col min="13828" max="13829" width="10.26953125" style="614" customWidth="1"/>
    <col min="13830" max="13830" width="7" style="614" customWidth="1"/>
    <col min="13831" max="13831" width="1" style="614" customWidth="1"/>
    <col min="13832" max="13833" width="8.7265625" style="614" customWidth="1"/>
    <col min="13834" max="13834" width="7.453125" style="614" customWidth="1"/>
    <col min="13835" max="13836" width="8.7265625" style="614" customWidth="1"/>
    <col min="13837" max="13837" width="8.453125" style="614" bestFit="1" customWidth="1"/>
    <col min="13838" max="13838" width="10.26953125" style="614" customWidth="1"/>
    <col min="13839" max="13839" width="10" style="614" customWidth="1"/>
    <col min="13840" max="13840" width="5.26953125" style="614" bestFit="1" customWidth="1"/>
    <col min="13841" max="13842" width="8.7265625" style="614" customWidth="1"/>
    <col min="13843" max="13843" width="9.7265625" style="614" customWidth="1"/>
    <col min="13844" max="13845" width="10.26953125" style="614" customWidth="1"/>
    <col min="13846" max="13846" width="7.81640625" style="614" bestFit="1" customWidth="1"/>
    <col min="13847" max="13847" width="13.453125" style="614" customWidth="1"/>
    <col min="13848" max="13848" width="3.26953125" style="614" customWidth="1"/>
    <col min="13849" max="13849" width="17.1796875" style="614" customWidth="1"/>
    <col min="13850" max="13850" width="14.453125" style="614" bestFit="1" customWidth="1"/>
    <col min="13851" max="13851" width="10.26953125" style="614" customWidth="1"/>
    <col min="13852" max="13852" width="6" style="614" bestFit="1" customWidth="1"/>
    <col min="13853" max="13853" width="11.453125" style="614"/>
    <col min="13854" max="13855" width="14.453125" style="614" bestFit="1" customWidth="1"/>
    <col min="13856" max="13856" width="12.81640625" style="614" bestFit="1" customWidth="1"/>
    <col min="13857" max="13857" width="14.453125" style="614" bestFit="1" customWidth="1"/>
    <col min="13858" max="14078" width="11.453125" style="614"/>
    <col min="14079" max="14079" width="5.7265625" style="614" customWidth="1"/>
    <col min="14080" max="14080" width="35.1796875" style="614" customWidth="1"/>
    <col min="14081" max="14082" width="10.26953125" style="614" customWidth="1"/>
    <col min="14083" max="14083" width="7.453125" style="614" customWidth="1"/>
    <col min="14084" max="14085" width="10.26953125" style="614" customWidth="1"/>
    <col min="14086" max="14086" width="7" style="614" customWidth="1"/>
    <col min="14087" max="14087" width="1" style="614" customWidth="1"/>
    <col min="14088" max="14089" width="8.7265625" style="614" customWidth="1"/>
    <col min="14090" max="14090" width="7.453125" style="614" customWidth="1"/>
    <col min="14091" max="14092" width="8.7265625" style="614" customWidth="1"/>
    <col min="14093" max="14093" width="8.453125" style="614" bestFit="1" customWidth="1"/>
    <col min="14094" max="14094" width="10.26953125" style="614" customWidth="1"/>
    <col min="14095" max="14095" width="10" style="614" customWidth="1"/>
    <col min="14096" max="14096" width="5.26953125" style="614" bestFit="1" customWidth="1"/>
    <col min="14097" max="14098" width="8.7265625" style="614" customWidth="1"/>
    <col min="14099" max="14099" width="9.7265625" style="614" customWidth="1"/>
    <col min="14100" max="14101" width="10.26953125" style="614" customWidth="1"/>
    <col min="14102" max="14102" width="7.81640625" style="614" bestFit="1" customWidth="1"/>
    <col min="14103" max="14103" width="13.453125" style="614" customWidth="1"/>
    <col min="14104" max="14104" width="3.26953125" style="614" customWidth="1"/>
    <col min="14105" max="14105" width="17.1796875" style="614" customWidth="1"/>
    <col min="14106" max="14106" width="14.453125" style="614" bestFit="1" customWidth="1"/>
    <col min="14107" max="14107" width="10.26953125" style="614" customWidth="1"/>
    <col min="14108" max="14108" width="6" style="614" bestFit="1" customWidth="1"/>
    <col min="14109" max="14109" width="11.453125" style="614"/>
    <col min="14110" max="14111" width="14.453125" style="614" bestFit="1" customWidth="1"/>
    <col min="14112" max="14112" width="12.81640625" style="614" bestFit="1" customWidth="1"/>
    <col min="14113" max="14113" width="14.453125" style="614" bestFit="1" customWidth="1"/>
    <col min="14114" max="14334" width="11.453125" style="614"/>
    <col min="14335" max="14335" width="5.7265625" style="614" customWidth="1"/>
    <col min="14336" max="14336" width="35.1796875" style="614" customWidth="1"/>
    <col min="14337" max="14338" width="10.26953125" style="614" customWidth="1"/>
    <col min="14339" max="14339" width="7.453125" style="614" customWidth="1"/>
    <col min="14340" max="14341" width="10.26953125" style="614" customWidth="1"/>
    <col min="14342" max="14342" width="7" style="614" customWidth="1"/>
    <col min="14343" max="14343" width="1" style="614" customWidth="1"/>
    <col min="14344" max="14345" width="8.7265625" style="614" customWidth="1"/>
    <col min="14346" max="14346" width="7.453125" style="614" customWidth="1"/>
    <col min="14347" max="14348" width="8.7265625" style="614" customWidth="1"/>
    <col min="14349" max="14349" width="8.453125" style="614" bestFit="1" customWidth="1"/>
    <col min="14350" max="14350" width="10.26953125" style="614" customWidth="1"/>
    <col min="14351" max="14351" width="10" style="614" customWidth="1"/>
    <col min="14352" max="14352" width="5.26953125" style="614" bestFit="1" customWidth="1"/>
    <col min="14353" max="14354" width="8.7265625" style="614" customWidth="1"/>
    <col min="14355" max="14355" width="9.7265625" style="614" customWidth="1"/>
    <col min="14356" max="14357" width="10.26953125" style="614" customWidth="1"/>
    <col min="14358" max="14358" width="7.81640625" style="614" bestFit="1" customWidth="1"/>
    <col min="14359" max="14359" width="13.453125" style="614" customWidth="1"/>
    <col min="14360" max="14360" width="3.26953125" style="614" customWidth="1"/>
    <col min="14361" max="14361" width="17.1796875" style="614" customWidth="1"/>
    <col min="14362" max="14362" width="14.453125" style="614" bestFit="1" customWidth="1"/>
    <col min="14363" max="14363" width="10.26953125" style="614" customWidth="1"/>
    <col min="14364" max="14364" width="6" style="614" bestFit="1" customWidth="1"/>
    <col min="14365" max="14365" width="11.453125" style="614"/>
    <col min="14366" max="14367" width="14.453125" style="614" bestFit="1" customWidth="1"/>
    <col min="14368" max="14368" width="12.81640625" style="614" bestFit="1" customWidth="1"/>
    <col min="14369" max="14369" width="14.453125" style="614" bestFit="1" customWidth="1"/>
    <col min="14370" max="14590" width="11.453125" style="614"/>
    <col min="14591" max="14591" width="5.7265625" style="614" customWidth="1"/>
    <col min="14592" max="14592" width="35.1796875" style="614" customWidth="1"/>
    <col min="14593" max="14594" width="10.26953125" style="614" customWidth="1"/>
    <col min="14595" max="14595" width="7.453125" style="614" customWidth="1"/>
    <col min="14596" max="14597" width="10.26953125" style="614" customWidth="1"/>
    <col min="14598" max="14598" width="7" style="614" customWidth="1"/>
    <col min="14599" max="14599" width="1" style="614" customWidth="1"/>
    <col min="14600" max="14601" width="8.7265625" style="614" customWidth="1"/>
    <col min="14602" max="14602" width="7.453125" style="614" customWidth="1"/>
    <col min="14603" max="14604" width="8.7265625" style="614" customWidth="1"/>
    <col min="14605" max="14605" width="8.453125" style="614" bestFit="1" customWidth="1"/>
    <col min="14606" max="14606" width="10.26953125" style="614" customWidth="1"/>
    <col min="14607" max="14607" width="10" style="614" customWidth="1"/>
    <col min="14608" max="14608" width="5.26953125" style="614" bestFit="1" customWidth="1"/>
    <col min="14609" max="14610" width="8.7265625" style="614" customWidth="1"/>
    <col min="14611" max="14611" width="9.7265625" style="614" customWidth="1"/>
    <col min="14612" max="14613" width="10.26953125" style="614" customWidth="1"/>
    <col min="14614" max="14614" width="7.81640625" style="614" bestFit="1" customWidth="1"/>
    <col min="14615" max="14615" width="13.453125" style="614" customWidth="1"/>
    <col min="14616" max="14616" width="3.26953125" style="614" customWidth="1"/>
    <col min="14617" max="14617" width="17.1796875" style="614" customWidth="1"/>
    <col min="14618" max="14618" width="14.453125" style="614" bestFit="1" customWidth="1"/>
    <col min="14619" max="14619" width="10.26953125" style="614" customWidth="1"/>
    <col min="14620" max="14620" width="6" style="614" bestFit="1" customWidth="1"/>
    <col min="14621" max="14621" width="11.453125" style="614"/>
    <col min="14622" max="14623" width="14.453125" style="614" bestFit="1" customWidth="1"/>
    <col min="14624" max="14624" width="12.81640625" style="614" bestFit="1" customWidth="1"/>
    <col min="14625" max="14625" width="14.453125" style="614" bestFit="1" customWidth="1"/>
    <col min="14626" max="14846" width="11.453125" style="614"/>
    <col min="14847" max="14847" width="5.7265625" style="614" customWidth="1"/>
    <col min="14848" max="14848" width="35.1796875" style="614" customWidth="1"/>
    <col min="14849" max="14850" width="10.26953125" style="614" customWidth="1"/>
    <col min="14851" max="14851" width="7.453125" style="614" customWidth="1"/>
    <col min="14852" max="14853" width="10.26953125" style="614" customWidth="1"/>
    <col min="14854" max="14854" width="7" style="614" customWidth="1"/>
    <col min="14855" max="14855" width="1" style="614" customWidth="1"/>
    <col min="14856" max="14857" width="8.7265625" style="614" customWidth="1"/>
    <col min="14858" max="14858" width="7.453125" style="614" customWidth="1"/>
    <col min="14859" max="14860" width="8.7265625" style="614" customWidth="1"/>
    <col min="14861" max="14861" width="8.453125" style="614" bestFit="1" customWidth="1"/>
    <col min="14862" max="14862" width="10.26953125" style="614" customWidth="1"/>
    <col min="14863" max="14863" width="10" style="614" customWidth="1"/>
    <col min="14864" max="14864" width="5.26953125" style="614" bestFit="1" customWidth="1"/>
    <col min="14865" max="14866" width="8.7265625" style="614" customWidth="1"/>
    <col min="14867" max="14867" width="9.7265625" style="614" customWidth="1"/>
    <col min="14868" max="14869" width="10.26953125" style="614" customWidth="1"/>
    <col min="14870" max="14870" width="7.81640625" style="614" bestFit="1" customWidth="1"/>
    <col min="14871" max="14871" width="13.453125" style="614" customWidth="1"/>
    <col min="14872" max="14872" width="3.26953125" style="614" customWidth="1"/>
    <col min="14873" max="14873" width="17.1796875" style="614" customWidth="1"/>
    <col min="14874" max="14874" width="14.453125" style="614" bestFit="1" customWidth="1"/>
    <col min="14875" max="14875" width="10.26953125" style="614" customWidth="1"/>
    <col min="14876" max="14876" width="6" style="614" bestFit="1" customWidth="1"/>
    <col min="14877" max="14877" width="11.453125" style="614"/>
    <col min="14878" max="14879" width="14.453125" style="614" bestFit="1" customWidth="1"/>
    <col min="14880" max="14880" width="12.81640625" style="614" bestFit="1" customWidth="1"/>
    <col min="14881" max="14881" width="14.453125" style="614" bestFit="1" customWidth="1"/>
    <col min="14882" max="15102" width="11.453125" style="614"/>
    <col min="15103" max="15103" width="5.7265625" style="614" customWidth="1"/>
    <col min="15104" max="15104" width="35.1796875" style="614" customWidth="1"/>
    <col min="15105" max="15106" width="10.26953125" style="614" customWidth="1"/>
    <col min="15107" max="15107" width="7.453125" style="614" customWidth="1"/>
    <col min="15108" max="15109" width="10.26953125" style="614" customWidth="1"/>
    <col min="15110" max="15110" width="7" style="614" customWidth="1"/>
    <col min="15111" max="15111" width="1" style="614" customWidth="1"/>
    <col min="15112" max="15113" width="8.7265625" style="614" customWidth="1"/>
    <col min="15114" max="15114" width="7.453125" style="614" customWidth="1"/>
    <col min="15115" max="15116" width="8.7265625" style="614" customWidth="1"/>
    <col min="15117" max="15117" width="8.453125" style="614" bestFit="1" customWidth="1"/>
    <col min="15118" max="15118" width="10.26953125" style="614" customWidth="1"/>
    <col min="15119" max="15119" width="10" style="614" customWidth="1"/>
    <col min="15120" max="15120" width="5.26953125" style="614" bestFit="1" customWidth="1"/>
    <col min="15121" max="15122" width="8.7265625" style="614" customWidth="1"/>
    <col min="15123" max="15123" width="9.7265625" style="614" customWidth="1"/>
    <col min="15124" max="15125" width="10.26953125" style="614" customWidth="1"/>
    <col min="15126" max="15126" width="7.81640625" style="614" bestFit="1" customWidth="1"/>
    <col min="15127" max="15127" width="13.453125" style="614" customWidth="1"/>
    <col min="15128" max="15128" width="3.26953125" style="614" customWidth="1"/>
    <col min="15129" max="15129" width="17.1796875" style="614" customWidth="1"/>
    <col min="15130" max="15130" width="14.453125" style="614" bestFit="1" customWidth="1"/>
    <col min="15131" max="15131" width="10.26953125" style="614" customWidth="1"/>
    <col min="15132" max="15132" width="6" style="614" bestFit="1" customWidth="1"/>
    <col min="15133" max="15133" width="11.453125" style="614"/>
    <col min="15134" max="15135" width="14.453125" style="614" bestFit="1" customWidth="1"/>
    <col min="15136" max="15136" width="12.81640625" style="614" bestFit="1" customWidth="1"/>
    <col min="15137" max="15137" width="14.453125" style="614" bestFit="1" customWidth="1"/>
    <col min="15138" max="15358" width="11.453125" style="614"/>
    <col min="15359" max="15359" width="5.7265625" style="614" customWidth="1"/>
    <col min="15360" max="15360" width="35.1796875" style="614" customWidth="1"/>
    <col min="15361" max="15362" width="10.26953125" style="614" customWidth="1"/>
    <col min="15363" max="15363" width="7.453125" style="614" customWidth="1"/>
    <col min="15364" max="15365" width="10.26953125" style="614" customWidth="1"/>
    <col min="15366" max="15366" width="7" style="614" customWidth="1"/>
    <col min="15367" max="15367" width="1" style="614" customWidth="1"/>
    <col min="15368" max="15369" width="8.7265625" style="614" customWidth="1"/>
    <col min="15370" max="15370" width="7.453125" style="614" customWidth="1"/>
    <col min="15371" max="15372" width="8.7265625" style="614" customWidth="1"/>
    <col min="15373" max="15373" width="8.453125" style="614" bestFit="1" customWidth="1"/>
    <col min="15374" max="15374" width="10.26953125" style="614" customWidth="1"/>
    <col min="15375" max="15375" width="10" style="614" customWidth="1"/>
    <col min="15376" max="15376" width="5.26953125" style="614" bestFit="1" customWidth="1"/>
    <col min="15377" max="15378" width="8.7265625" style="614" customWidth="1"/>
    <col min="15379" max="15379" width="9.7265625" style="614" customWidth="1"/>
    <col min="15380" max="15381" width="10.26953125" style="614" customWidth="1"/>
    <col min="15382" max="15382" width="7.81640625" style="614" bestFit="1" customWidth="1"/>
    <col min="15383" max="15383" width="13.453125" style="614" customWidth="1"/>
    <col min="15384" max="15384" width="3.26953125" style="614" customWidth="1"/>
    <col min="15385" max="15385" width="17.1796875" style="614" customWidth="1"/>
    <col min="15386" max="15386" width="14.453125" style="614" bestFit="1" customWidth="1"/>
    <col min="15387" max="15387" width="10.26953125" style="614" customWidth="1"/>
    <col min="15388" max="15388" width="6" style="614" bestFit="1" customWidth="1"/>
    <col min="15389" max="15389" width="11.453125" style="614"/>
    <col min="15390" max="15391" width="14.453125" style="614" bestFit="1" customWidth="1"/>
    <col min="15392" max="15392" width="12.81640625" style="614" bestFit="1" customWidth="1"/>
    <col min="15393" max="15393" width="14.453125" style="614" bestFit="1" customWidth="1"/>
    <col min="15394" max="15614" width="11.453125" style="614"/>
    <col min="15615" max="15615" width="5.7265625" style="614" customWidth="1"/>
    <col min="15616" max="15616" width="35.1796875" style="614" customWidth="1"/>
    <col min="15617" max="15618" width="10.26953125" style="614" customWidth="1"/>
    <col min="15619" max="15619" width="7.453125" style="614" customWidth="1"/>
    <col min="15620" max="15621" width="10.26953125" style="614" customWidth="1"/>
    <col min="15622" max="15622" width="7" style="614" customWidth="1"/>
    <col min="15623" max="15623" width="1" style="614" customWidth="1"/>
    <col min="15624" max="15625" width="8.7265625" style="614" customWidth="1"/>
    <col min="15626" max="15626" width="7.453125" style="614" customWidth="1"/>
    <col min="15627" max="15628" width="8.7265625" style="614" customWidth="1"/>
    <col min="15629" max="15629" width="8.453125" style="614" bestFit="1" customWidth="1"/>
    <col min="15630" max="15630" width="10.26953125" style="614" customWidth="1"/>
    <col min="15631" max="15631" width="10" style="614" customWidth="1"/>
    <col min="15632" max="15632" width="5.26953125" style="614" bestFit="1" customWidth="1"/>
    <col min="15633" max="15634" width="8.7265625" style="614" customWidth="1"/>
    <col min="15635" max="15635" width="9.7265625" style="614" customWidth="1"/>
    <col min="15636" max="15637" width="10.26953125" style="614" customWidth="1"/>
    <col min="15638" max="15638" width="7.81640625" style="614" bestFit="1" customWidth="1"/>
    <col min="15639" max="15639" width="13.453125" style="614" customWidth="1"/>
    <col min="15640" max="15640" width="3.26953125" style="614" customWidth="1"/>
    <col min="15641" max="15641" width="17.1796875" style="614" customWidth="1"/>
    <col min="15642" max="15642" width="14.453125" style="614" bestFit="1" customWidth="1"/>
    <col min="15643" max="15643" width="10.26953125" style="614" customWidth="1"/>
    <col min="15644" max="15644" width="6" style="614" bestFit="1" customWidth="1"/>
    <col min="15645" max="15645" width="11.453125" style="614"/>
    <col min="15646" max="15647" width="14.453125" style="614" bestFit="1" customWidth="1"/>
    <col min="15648" max="15648" width="12.81640625" style="614" bestFit="1" customWidth="1"/>
    <col min="15649" max="15649" width="14.453125" style="614" bestFit="1" customWidth="1"/>
    <col min="15650" max="15870" width="11.453125" style="614"/>
    <col min="15871" max="15871" width="5.7265625" style="614" customWidth="1"/>
    <col min="15872" max="15872" width="35.1796875" style="614" customWidth="1"/>
    <col min="15873" max="15874" width="10.26953125" style="614" customWidth="1"/>
    <col min="15875" max="15875" width="7.453125" style="614" customWidth="1"/>
    <col min="15876" max="15877" width="10.26953125" style="614" customWidth="1"/>
    <col min="15878" max="15878" width="7" style="614" customWidth="1"/>
    <col min="15879" max="15879" width="1" style="614" customWidth="1"/>
    <col min="15880" max="15881" width="8.7265625" style="614" customWidth="1"/>
    <col min="15882" max="15882" width="7.453125" style="614" customWidth="1"/>
    <col min="15883" max="15884" width="8.7265625" style="614" customWidth="1"/>
    <col min="15885" max="15885" width="8.453125" style="614" bestFit="1" customWidth="1"/>
    <col min="15886" max="15886" width="10.26953125" style="614" customWidth="1"/>
    <col min="15887" max="15887" width="10" style="614" customWidth="1"/>
    <col min="15888" max="15888" width="5.26953125" style="614" bestFit="1" customWidth="1"/>
    <col min="15889" max="15890" width="8.7265625" style="614" customWidth="1"/>
    <col min="15891" max="15891" width="9.7265625" style="614" customWidth="1"/>
    <col min="15892" max="15893" width="10.26953125" style="614" customWidth="1"/>
    <col min="15894" max="15894" width="7.81640625" style="614" bestFit="1" customWidth="1"/>
    <col min="15895" max="15895" width="13.453125" style="614" customWidth="1"/>
    <col min="15896" max="15896" width="3.26953125" style="614" customWidth="1"/>
    <col min="15897" max="15897" width="17.1796875" style="614" customWidth="1"/>
    <col min="15898" max="15898" width="14.453125" style="614" bestFit="1" customWidth="1"/>
    <col min="15899" max="15899" width="10.26953125" style="614" customWidth="1"/>
    <col min="15900" max="15900" width="6" style="614" bestFit="1" customWidth="1"/>
    <col min="15901" max="15901" width="11.453125" style="614"/>
    <col min="15902" max="15903" width="14.453125" style="614" bestFit="1" customWidth="1"/>
    <col min="15904" max="15904" width="12.81640625" style="614" bestFit="1" customWidth="1"/>
    <col min="15905" max="15905" width="14.453125" style="614" bestFit="1" customWidth="1"/>
    <col min="15906" max="16126" width="11.453125" style="614"/>
    <col min="16127" max="16127" width="5.7265625" style="614" customWidth="1"/>
    <col min="16128" max="16128" width="35.1796875" style="614" customWidth="1"/>
    <col min="16129" max="16130" width="10.26953125" style="614" customWidth="1"/>
    <col min="16131" max="16131" width="7.453125" style="614" customWidth="1"/>
    <col min="16132" max="16133" width="10.26953125" style="614" customWidth="1"/>
    <col min="16134" max="16134" width="7" style="614" customWidth="1"/>
    <col min="16135" max="16135" width="1" style="614" customWidth="1"/>
    <col min="16136" max="16137" width="8.7265625" style="614" customWidth="1"/>
    <col min="16138" max="16138" width="7.453125" style="614" customWidth="1"/>
    <col min="16139" max="16140" width="8.7265625" style="614" customWidth="1"/>
    <col min="16141" max="16141" width="8.453125" style="614" bestFit="1" customWidth="1"/>
    <col min="16142" max="16142" width="10.26953125" style="614" customWidth="1"/>
    <col min="16143" max="16143" width="10" style="614" customWidth="1"/>
    <col min="16144" max="16144" width="5.26953125" style="614" bestFit="1" customWidth="1"/>
    <col min="16145" max="16146" width="8.7265625" style="614" customWidth="1"/>
    <col min="16147" max="16147" width="9.7265625" style="614" customWidth="1"/>
    <col min="16148" max="16149" width="10.26953125" style="614" customWidth="1"/>
    <col min="16150" max="16150" width="7.81640625" style="614" bestFit="1" customWidth="1"/>
    <col min="16151" max="16151" width="13.453125" style="614" customWidth="1"/>
    <col min="16152" max="16152" width="3.26953125" style="614" customWidth="1"/>
    <col min="16153" max="16153" width="17.1796875" style="614" customWidth="1"/>
    <col min="16154" max="16154" width="14.453125" style="614" bestFit="1" customWidth="1"/>
    <col min="16155" max="16155" width="10.26953125" style="614" customWidth="1"/>
    <col min="16156" max="16156" width="6" style="614" bestFit="1" customWidth="1"/>
    <col min="16157" max="16157" width="11.453125" style="614"/>
    <col min="16158" max="16159" width="14.453125" style="614" bestFit="1" customWidth="1"/>
    <col min="16160" max="16160" width="12.81640625" style="614" bestFit="1" customWidth="1"/>
    <col min="16161" max="16161" width="14.453125" style="614" bestFit="1" customWidth="1"/>
    <col min="16162" max="16384" width="11.453125" style="614"/>
  </cols>
  <sheetData>
    <row r="1" spans="2:39">
      <c r="AA1" s="614"/>
      <c r="AB1" s="615"/>
      <c r="AE1" s="616"/>
    </row>
    <row r="2" spans="2:39">
      <c r="AA2" s="614"/>
      <c r="AB2" s="615"/>
      <c r="AE2" s="616"/>
    </row>
    <row r="3" spans="2:39" ht="28">
      <c r="B3" s="617" t="s">
        <v>301</v>
      </c>
      <c r="M3" s="618"/>
      <c r="AA3" s="614"/>
      <c r="AB3" s="615"/>
      <c r="AE3" s="616"/>
    </row>
    <row r="4" spans="2:39" ht="20">
      <c r="B4" s="619" t="s">
        <v>302</v>
      </c>
      <c r="F4" s="620"/>
      <c r="G4" s="620"/>
      <c r="R4" s="621"/>
      <c r="AA4" s="622"/>
      <c r="AB4" s="615"/>
      <c r="AE4" s="616"/>
    </row>
    <row r="5" spans="2:39" ht="23">
      <c r="B5" s="623"/>
      <c r="AA5" s="614"/>
      <c r="AB5" s="614"/>
    </row>
    <row r="6" spans="2:39">
      <c r="B6" s="624"/>
      <c r="C6" s="624"/>
      <c r="F6" s="624"/>
      <c r="G6" s="625"/>
      <c r="AA6" s="614"/>
      <c r="AB6" s="615"/>
    </row>
    <row r="7" spans="2:39">
      <c r="B7" s="624"/>
      <c r="C7" s="626"/>
      <c r="F7" s="626"/>
      <c r="G7" s="627"/>
      <c r="AA7" s="615"/>
      <c r="AB7" s="628"/>
    </row>
    <row r="8" spans="2:39">
      <c r="B8" s="616"/>
      <c r="C8" s="626"/>
      <c r="F8" s="626"/>
      <c r="AA8" s="629"/>
      <c r="AB8" s="629"/>
      <c r="AC8" s="630"/>
    </row>
    <row r="9" spans="2:39" ht="22">
      <c r="B9" s="631"/>
      <c r="C9" s="1227"/>
      <c r="D9" s="1227"/>
      <c r="E9" s="632" t="s">
        <v>303</v>
      </c>
      <c r="F9" s="1227"/>
      <c r="G9" s="1227"/>
      <c r="H9" s="632" t="s">
        <v>303</v>
      </c>
      <c r="I9" s="632"/>
      <c r="J9" s="1227"/>
      <c r="K9" s="1227"/>
      <c r="L9" s="632" t="s">
        <v>303</v>
      </c>
      <c r="M9" s="1227"/>
      <c r="N9" s="1227"/>
      <c r="O9" s="632" t="s">
        <v>303</v>
      </c>
      <c r="P9" s="632" t="s">
        <v>304</v>
      </c>
      <c r="Q9" s="633" t="s">
        <v>305</v>
      </c>
      <c r="R9" s="634"/>
      <c r="S9" s="634"/>
      <c r="T9" s="632" t="s">
        <v>303</v>
      </c>
      <c r="U9" s="634"/>
      <c r="V9" s="634"/>
      <c r="W9" s="632" t="s">
        <v>303</v>
      </c>
      <c r="X9" s="635" t="s">
        <v>306</v>
      </c>
      <c r="Y9" s="636"/>
      <c r="Z9" s="635" t="s">
        <v>306</v>
      </c>
      <c r="AA9" s="1228" t="s">
        <v>307</v>
      </c>
      <c r="AB9" s="1229" t="s">
        <v>307</v>
      </c>
      <c r="AC9" s="637" t="s">
        <v>303</v>
      </c>
    </row>
    <row r="10" spans="2:39" ht="9" customHeight="1">
      <c r="C10" s="638"/>
      <c r="D10" s="639"/>
      <c r="F10" s="638"/>
      <c r="G10" s="639"/>
      <c r="J10" s="638"/>
      <c r="K10" s="639"/>
      <c r="M10" s="638"/>
      <c r="N10" s="639"/>
      <c r="R10" s="638"/>
      <c r="S10" s="638"/>
      <c r="T10" s="638"/>
      <c r="U10" s="640"/>
      <c r="V10" s="639"/>
      <c r="W10" s="638"/>
      <c r="X10" s="641"/>
      <c r="Y10" s="641"/>
      <c r="Z10" s="641"/>
      <c r="AA10" s="642"/>
      <c r="AB10" s="643"/>
      <c r="AC10" s="644"/>
    </row>
    <row r="11" spans="2:39" ht="13">
      <c r="C11" s="645" t="s">
        <v>623</v>
      </c>
      <c r="D11" s="645" t="s">
        <v>508</v>
      </c>
      <c r="E11" s="646"/>
      <c r="F11" s="647" t="str">
        <f>+C11</f>
        <v>Sep. 25</v>
      </c>
      <c r="G11" s="645" t="str">
        <f>+D11</f>
        <v>Sep. 24</v>
      </c>
      <c r="H11" s="646"/>
      <c r="I11" s="646"/>
      <c r="J11" s="647" t="str">
        <f>+C11</f>
        <v>Sep. 25</v>
      </c>
      <c r="K11" s="645" t="str">
        <f>+D11</f>
        <v>Sep. 24</v>
      </c>
      <c r="L11" s="646"/>
      <c r="M11" s="1147" t="str">
        <f>+C11</f>
        <v>Sep. 25</v>
      </c>
      <c r="N11" s="1147" t="str">
        <f>+D11</f>
        <v>Sep. 24</v>
      </c>
      <c r="O11" s="646"/>
      <c r="P11" s="646"/>
      <c r="Q11" s="646"/>
      <c r="R11" s="647" t="str">
        <f>+C11</f>
        <v>Sep. 25</v>
      </c>
      <c r="S11" s="645" t="str">
        <f>+D11</f>
        <v>Sep. 24</v>
      </c>
      <c r="T11" s="638"/>
      <c r="U11" s="645" t="str">
        <f>+C11</f>
        <v>Sep. 25</v>
      </c>
      <c r="V11" s="645" t="str">
        <f>+D11</f>
        <v>Sep. 24</v>
      </c>
      <c r="W11" s="638"/>
      <c r="X11" s="647" t="str">
        <f>+C11</f>
        <v>Sep. 25</v>
      </c>
      <c r="Y11" s="641"/>
      <c r="Z11" s="645" t="str">
        <f>+D11</f>
        <v>Sep. 24</v>
      </c>
      <c r="AA11" s="648" t="str">
        <f>+C11</f>
        <v>Sep. 25</v>
      </c>
      <c r="AB11" s="858" t="s">
        <v>588</v>
      </c>
      <c r="AC11" s="649"/>
      <c r="AD11" s="646"/>
      <c r="AE11" s="646"/>
      <c r="AF11" s="646"/>
    </row>
    <row r="12" spans="2:39" ht="9" customHeight="1">
      <c r="C12" s="638"/>
      <c r="D12" s="639"/>
      <c r="E12" s="646"/>
      <c r="F12" s="620"/>
      <c r="G12" s="639"/>
      <c r="H12" s="646"/>
      <c r="I12" s="646"/>
      <c r="J12" s="638"/>
      <c r="K12" s="639"/>
      <c r="L12" s="646"/>
      <c r="M12" s="638"/>
      <c r="N12" s="639"/>
      <c r="O12" s="646"/>
      <c r="P12" s="646"/>
      <c r="Q12" s="646"/>
      <c r="R12" s="638"/>
      <c r="S12" s="638"/>
      <c r="T12" s="638"/>
      <c r="U12" s="620"/>
      <c r="V12" s="639"/>
      <c r="W12" s="638"/>
      <c r="X12" s="641"/>
      <c r="Y12" s="641"/>
      <c r="Z12" s="641"/>
      <c r="AA12" s="650"/>
      <c r="AB12" s="651"/>
      <c r="AC12" s="649"/>
      <c r="AD12" s="646"/>
      <c r="AE12" s="646"/>
      <c r="AF12" s="646"/>
    </row>
    <row r="13" spans="2:39">
      <c r="B13" s="614" t="s">
        <v>264</v>
      </c>
      <c r="C13" s="652">
        <v>3873645</v>
      </c>
      <c r="D13" s="652">
        <v>3973717</v>
      </c>
      <c r="E13" s="931">
        <f>IF(D13&lt;0,-((C13/D13)-1),(C13/D13)-1)</f>
        <v>-2.5183474313847709E-2</v>
      </c>
      <c r="F13" s="652">
        <v>4058091</v>
      </c>
      <c r="G13" s="652">
        <v>4703016</v>
      </c>
      <c r="H13" s="931">
        <f>IF(G13&lt;0,-((F13/G13)-1),(F13/G13)-1)</f>
        <v>-0.13713008843686691</v>
      </c>
      <c r="I13" s="620">
        <v>0</v>
      </c>
      <c r="J13" s="652">
        <v>173011</v>
      </c>
      <c r="K13" s="652">
        <v>67940</v>
      </c>
      <c r="L13" s="931">
        <f>IF(K13&lt;0,-((J13/K13)-1),(J13/K13)-1)</f>
        <v>1.5465263467765675</v>
      </c>
      <c r="M13" s="652">
        <v>48035</v>
      </c>
      <c r="N13" s="652">
        <v>28700</v>
      </c>
      <c r="O13" s="931">
        <f>IF(N13&lt;0,-((M13/N13)-1),(M13/N13)-1)</f>
        <v>0.67369337979094079</v>
      </c>
      <c r="P13" s="652">
        <f>+M13-N13</f>
        <v>19335</v>
      </c>
      <c r="Q13" s="932" t="s">
        <v>624</v>
      </c>
      <c r="R13" s="652">
        <v>55642</v>
      </c>
      <c r="S13" s="652">
        <v>82814</v>
      </c>
      <c r="T13" s="931">
        <f>IF(S13&lt;0,-((R13/S13)-1),(R13/S13)-1)</f>
        <v>-0.32810877387881277</v>
      </c>
      <c r="U13" s="652">
        <v>279655</v>
      </c>
      <c r="V13" s="652">
        <v>197039</v>
      </c>
      <c r="W13" s="931">
        <f>IF(V13&lt;0,-((U13/V13)-1),(U13/V13)-1)</f>
        <v>0.4192875522104762</v>
      </c>
      <c r="X13" s="653">
        <f>453634-7360+346+1</f>
        <v>446621</v>
      </c>
      <c r="Y13" s="636" t="s">
        <v>308</v>
      </c>
      <c r="Z13" s="652">
        <f>47534+41</f>
        <v>47575</v>
      </c>
      <c r="AA13" s="1001">
        <f>+C13+F13+J13+M13+R13+U13+X13</f>
        <v>8934700</v>
      </c>
      <c r="AB13" s="654">
        <f>+D13+G13+K13+N13+V13+S13++Z13</f>
        <v>9100801</v>
      </c>
      <c r="AC13" s="655">
        <f>IF(AB13&lt;0,-((AA13/AB13)-1),(AA13/AB13)-1)</f>
        <v>-1.8251250631675209E-2</v>
      </c>
      <c r="AD13" s="656"/>
      <c r="AE13" s="656">
        <f>+AA13-'ER GA Cons Acum.'!C10</f>
        <v>0</v>
      </c>
      <c r="AF13" s="656">
        <f>+AB13-'ER GA Cons Acum.'!E10</f>
        <v>0</v>
      </c>
      <c r="AG13" s="616"/>
      <c r="AH13" s="616"/>
      <c r="AI13" s="657"/>
      <c r="AJ13" s="657"/>
      <c r="AK13" s="658"/>
      <c r="AL13" s="658"/>
      <c r="AM13" s="657"/>
    </row>
    <row r="14" spans="2:39" ht="12.5">
      <c r="B14" s="659"/>
      <c r="C14" s="659"/>
      <c r="D14" s="659"/>
      <c r="E14" s="660"/>
      <c r="F14" s="659"/>
      <c r="G14" s="659"/>
      <c r="H14" s="660"/>
      <c r="I14" s="659"/>
      <c r="J14" s="659"/>
      <c r="K14" s="659"/>
      <c r="L14" s="660"/>
      <c r="M14" s="659"/>
      <c r="N14" s="659"/>
      <c r="O14" s="660"/>
      <c r="P14" s="659"/>
      <c r="Q14" s="660"/>
      <c r="R14" s="659"/>
      <c r="S14" s="659"/>
      <c r="T14" s="660"/>
      <c r="U14" s="659"/>
      <c r="V14" s="659"/>
      <c r="W14" s="660"/>
      <c r="X14" s="659"/>
      <c r="Y14" s="659"/>
      <c r="Z14" s="659"/>
      <c r="AA14" s="1002"/>
      <c r="AB14" s="661"/>
      <c r="AC14" s="662"/>
      <c r="AD14" s="656"/>
      <c r="AE14" s="656"/>
      <c r="AF14" s="656"/>
    </row>
    <row r="15" spans="2:39">
      <c r="B15" s="614" t="s">
        <v>132</v>
      </c>
      <c r="C15" s="620">
        <v>1067370</v>
      </c>
      <c r="D15" s="620">
        <v>1021862</v>
      </c>
      <c r="E15" s="933">
        <f>IF(D15&lt;0,-((C15/D15)-1),(C15/D15)-1)</f>
        <v>4.4534389183666701E-2</v>
      </c>
      <c r="F15" s="620">
        <v>1253253</v>
      </c>
      <c r="G15" s="620">
        <v>1116440</v>
      </c>
      <c r="H15" s="933">
        <f>IF(G15&lt;0,-((F15/G15)-1),(F15/G15)-1)</f>
        <v>0.12254397907634984</v>
      </c>
      <c r="J15" s="620">
        <v>128098</v>
      </c>
      <c r="K15" s="620">
        <v>4731</v>
      </c>
      <c r="L15" s="933">
        <f>IF(K15&lt;0,-((J15/K15)-1),(J15/K15)-1)</f>
        <v>26.076305220883533</v>
      </c>
      <c r="M15" s="620">
        <v>-6285</v>
      </c>
      <c r="N15" s="620">
        <v>-2965</v>
      </c>
      <c r="O15" s="933">
        <f>IF(N15&lt;0,-((M15/N15)-1),(M15/N15)-1)</f>
        <v>-1.1197301854974704</v>
      </c>
      <c r="P15" s="620">
        <f>+M15-N15</f>
        <v>-3320</v>
      </c>
      <c r="Q15" s="932" t="s">
        <v>625</v>
      </c>
      <c r="R15" s="620">
        <v>20516</v>
      </c>
      <c r="S15" s="620">
        <v>36983</v>
      </c>
      <c r="T15" s="933">
        <f>IF(S15&lt;0,-((R15/S15)-1),(R15/S15)-1)</f>
        <v>-0.44525863234459073</v>
      </c>
      <c r="U15" s="620">
        <v>263521</v>
      </c>
      <c r="V15" s="620">
        <v>194920</v>
      </c>
      <c r="W15" s="933">
        <f>IF(V15&lt;0,-((U15/V15)-1),(U15/V15)-1)</f>
        <v>0.35194438744100154</v>
      </c>
      <c r="X15" s="620">
        <f>-80034-7360+346</f>
        <v>-87048</v>
      </c>
      <c r="Y15" s="663" t="s">
        <v>308</v>
      </c>
      <c r="Z15" s="620">
        <v>47575</v>
      </c>
      <c r="AA15" s="1003">
        <f>+C15+F15+J15+M15+R15+U15+X15</f>
        <v>2639425</v>
      </c>
      <c r="AB15" s="664">
        <f>+D15+G15+K15+N15+V15+S15++Z15</f>
        <v>2419546</v>
      </c>
      <c r="AC15" s="665">
        <f>IF(AB15&lt;0,-((AA15/AB15)-1),(AA15/AB15)-1)</f>
        <v>9.087613957329177E-2</v>
      </c>
      <c r="AD15" s="656"/>
      <c r="AE15" s="656">
        <f>+AA15-'ER GA Cons Acum.'!C24</f>
        <v>0</v>
      </c>
      <c r="AF15" s="656">
        <f>+AB15-'ER GA Cons Acum.'!E24</f>
        <v>0</v>
      </c>
      <c r="AG15" s="616"/>
      <c r="AH15" s="616"/>
      <c r="AI15" s="657"/>
      <c r="AJ15" s="657"/>
      <c r="AK15" s="658"/>
      <c r="AL15" s="658"/>
      <c r="AM15" s="657"/>
    </row>
    <row r="16" spans="2:39" ht="13">
      <c r="B16" s="666" t="s">
        <v>133</v>
      </c>
      <c r="C16" s="934">
        <f>+C15/C13</f>
        <v>0.27554667503088176</v>
      </c>
      <c r="D16" s="934">
        <f>+D15/D13</f>
        <v>0.25715520254713659</v>
      </c>
      <c r="E16" s="667"/>
      <c r="F16" s="934">
        <f>+F15/F13</f>
        <v>0.30882821504002744</v>
      </c>
      <c r="G16" s="934">
        <f>+G15/G13</f>
        <v>0.23738809308749959</v>
      </c>
      <c r="H16" s="667"/>
      <c r="I16" s="459"/>
      <c r="J16" s="934">
        <f>+J15/J13</f>
        <v>0.74040378935443407</v>
      </c>
      <c r="K16" s="934">
        <f>+K15/K13</f>
        <v>6.9634972034147771E-2</v>
      </c>
      <c r="L16" s="667"/>
      <c r="M16" s="934">
        <f>+M15/M13</f>
        <v>-0.13084209430623503</v>
      </c>
      <c r="N16" s="934">
        <f>+N15/N13</f>
        <v>-0.10331010452961673</v>
      </c>
      <c r="O16" s="667"/>
      <c r="P16" s="934"/>
      <c r="Q16" s="667"/>
      <c r="R16" s="934">
        <f>+R15/R13</f>
        <v>0.36871428057941841</v>
      </c>
      <c r="S16" s="934">
        <f>+S15/S13</f>
        <v>0.44657908083174341</v>
      </c>
      <c r="T16" s="667"/>
      <c r="U16" s="934">
        <f>(+U15/U13)</f>
        <v>0.9423074860095475</v>
      </c>
      <c r="V16" s="934">
        <f>(+V15/V13)</f>
        <v>0.98924578382959716</v>
      </c>
      <c r="W16" s="667"/>
      <c r="X16" s="934"/>
      <c r="Y16" s="460"/>
      <c r="Z16" s="934"/>
      <c r="AA16" s="811">
        <f>+AA15/AA13</f>
        <v>0.29541282863442531</v>
      </c>
      <c r="AB16" s="668">
        <f>+AB15/AB13</f>
        <v>0.2658607742329494</v>
      </c>
      <c r="AC16" s="669"/>
      <c r="AD16" s="656"/>
      <c r="AE16" s="656"/>
      <c r="AF16" s="656"/>
    </row>
    <row r="17" spans="2:39" ht="12.5">
      <c r="B17" s="659"/>
      <c r="C17" s="670"/>
      <c r="D17" s="670"/>
      <c r="E17" s="660"/>
      <c r="F17" s="670"/>
      <c r="G17" s="670"/>
      <c r="H17" s="660"/>
      <c r="I17" s="659"/>
      <c r="J17" s="670"/>
      <c r="K17" s="670"/>
      <c r="L17" s="660"/>
      <c r="M17" s="670"/>
      <c r="N17" s="670"/>
      <c r="O17" s="660"/>
      <c r="P17" s="670"/>
      <c r="Q17" s="660"/>
      <c r="R17" s="670"/>
      <c r="S17" s="670"/>
      <c r="T17" s="660"/>
      <c r="U17" s="670"/>
      <c r="V17" s="670"/>
      <c r="W17" s="660"/>
      <c r="X17" s="670"/>
      <c r="Y17" s="671"/>
      <c r="Z17" s="670"/>
      <c r="AA17" s="1004"/>
      <c r="AB17" s="672"/>
      <c r="AC17" s="662"/>
      <c r="AD17" s="656"/>
      <c r="AE17" s="656"/>
      <c r="AF17" s="656"/>
    </row>
    <row r="18" spans="2:39">
      <c r="B18" s="614" t="s">
        <v>143</v>
      </c>
      <c r="C18" s="620">
        <v>541161</v>
      </c>
      <c r="D18" s="620">
        <v>525397</v>
      </c>
      <c r="E18" s="933">
        <f>IF(D18&lt;0,-((C18/D18)-1),(C18/D18)-1)</f>
        <v>3.0003977944297322E-2</v>
      </c>
      <c r="F18" s="620">
        <v>940148</v>
      </c>
      <c r="G18" s="620">
        <v>790060</v>
      </c>
      <c r="H18" s="933">
        <f>IF(G18&lt;0,-((F18/G18)-1),(F18/G18)-1)</f>
        <v>0.18997038199630412</v>
      </c>
      <c r="J18" s="620">
        <v>61738</v>
      </c>
      <c r="K18" s="620">
        <v>-46993</v>
      </c>
      <c r="L18" s="933">
        <f>IF(K18&lt;0,-((J18/K18)-1),(J18/K18)-1)</f>
        <v>2.3137701359776988</v>
      </c>
      <c r="M18" s="1024">
        <v>-98739</v>
      </c>
      <c r="N18" s="1024">
        <v>-40844</v>
      </c>
      <c r="O18" s="933">
        <f>IF(N18&lt;0,-((M18/N18)-1),(M18/N18)-1)</f>
        <v>-1.4174664577416514</v>
      </c>
      <c r="P18" s="620">
        <f>+M18-N18</f>
        <v>-57895</v>
      </c>
      <c r="Q18" s="932" t="s">
        <v>626</v>
      </c>
      <c r="R18" s="620">
        <v>13387</v>
      </c>
      <c r="S18" s="620">
        <v>30177</v>
      </c>
      <c r="T18" s="933">
        <f>IF(S18&lt;0,-((R18/S18)-1),(R18/S18)-1)</f>
        <v>-0.55638400106041019</v>
      </c>
      <c r="U18" s="620">
        <v>197410</v>
      </c>
      <c r="V18" s="620">
        <v>132350</v>
      </c>
      <c r="W18" s="933">
        <f>IF(V18&lt;0,-((U18/V18)-1),(U18/V18)-1)</f>
        <v>0.49157536834151871</v>
      </c>
      <c r="X18" s="624">
        <f>-7360+346+75</f>
        <v>-6939</v>
      </c>
      <c r="Y18" s="663" t="s">
        <v>308</v>
      </c>
      <c r="Z18" s="620">
        <f>47575+23-2</f>
        <v>47596</v>
      </c>
      <c r="AA18" s="1003">
        <f>+C18+F18+J18+M18+R18+U18+X18</f>
        <v>1648166</v>
      </c>
      <c r="AB18" s="664">
        <f>+D18+G18+K18+N18+V18+S18++Z18</f>
        <v>1437743</v>
      </c>
      <c r="AC18" s="665">
        <f>IF(AB18&lt;0,-((AA18/AB18)-1),(AA18/AB18)-1)</f>
        <v>0.14635647678340291</v>
      </c>
      <c r="AD18" s="656"/>
      <c r="AE18" s="656">
        <f>+AA18-'ER GA Cons Acum.'!C40</f>
        <v>0</v>
      </c>
      <c r="AF18" s="656">
        <f>+AB18-'ER GA Cons Acum.'!E40</f>
        <v>0</v>
      </c>
      <c r="AG18" s="616"/>
      <c r="AH18" s="616"/>
      <c r="AI18" s="657"/>
      <c r="AJ18" s="657"/>
      <c r="AK18" s="658"/>
      <c r="AL18" s="658"/>
      <c r="AM18" s="657"/>
    </row>
    <row r="19" spans="2:39" ht="13">
      <c r="B19" s="666" t="s">
        <v>309</v>
      </c>
      <c r="C19" s="934">
        <f>+C18/C13</f>
        <v>0.13970330270326786</v>
      </c>
      <c r="D19" s="934">
        <f>+D18/D13</f>
        <v>0.13221802156519954</v>
      </c>
      <c r="E19" s="667"/>
      <c r="F19" s="934">
        <f>+F18/F13</f>
        <v>0.23167247851267997</v>
      </c>
      <c r="G19" s="934">
        <f>+G18/G13</f>
        <v>0.16799007275331404</v>
      </c>
      <c r="H19" s="667"/>
      <c r="I19" s="935"/>
      <c r="J19" s="934">
        <f>+J18/J13</f>
        <v>0.35684436249718227</v>
      </c>
      <c r="K19" s="934">
        <f>+K18/K13</f>
        <v>-0.69168383868118932</v>
      </c>
      <c r="L19" s="667"/>
      <c r="M19" s="934">
        <f>+M18/M13</f>
        <v>-2.0555636515041118</v>
      </c>
      <c r="N19" s="934">
        <f>+N18/N13</f>
        <v>-1.4231358885017422</v>
      </c>
      <c r="O19" s="667"/>
      <c r="P19" s="934"/>
      <c r="Q19" s="667"/>
      <c r="R19" s="934">
        <f>+R18/R13</f>
        <v>0.24059163940907946</v>
      </c>
      <c r="S19" s="934">
        <f>+S18/S13</f>
        <v>0.3643949090733451</v>
      </c>
      <c r="T19" s="667"/>
      <c r="U19" s="934">
        <f>+U18/U13</f>
        <v>0.70590549069389064</v>
      </c>
      <c r="V19" s="934">
        <f>+V18/V13</f>
        <v>0.67169443612685809</v>
      </c>
      <c r="W19" s="667"/>
      <c r="X19" s="934"/>
      <c r="Y19" s="459"/>
      <c r="Z19" s="934"/>
      <c r="AA19" s="811">
        <f>+AA18/AA13</f>
        <v>0.18446797318320704</v>
      </c>
      <c r="AB19" s="668">
        <f>+AB18/AB13</f>
        <v>0.15797983056656223</v>
      </c>
      <c r="AC19" s="669"/>
      <c r="AD19" s="656"/>
      <c r="AE19" s="656"/>
      <c r="AF19" s="656"/>
    </row>
    <row r="20" spans="2:39" ht="12.5">
      <c r="B20" s="659"/>
      <c r="C20" s="670"/>
      <c r="D20" s="670"/>
      <c r="E20" s="660"/>
      <c r="F20" s="670"/>
      <c r="G20" s="670"/>
      <c r="H20" s="660"/>
      <c r="I20" s="659"/>
      <c r="J20" s="670">
        <v>0</v>
      </c>
      <c r="K20" s="670">
        <v>0</v>
      </c>
      <c r="L20" s="660"/>
      <c r="M20" s="670"/>
      <c r="N20" s="670"/>
      <c r="O20" s="660"/>
      <c r="P20" s="670"/>
      <c r="Q20" s="660"/>
      <c r="R20" s="670"/>
      <c r="S20" s="670"/>
      <c r="T20" s="660"/>
      <c r="U20" s="670"/>
      <c r="V20" s="670"/>
      <c r="W20" s="660"/>
      <c r="X20" s="670"/>
      <c r="Y20" s="659"/>
      <c r="Z20" s="670"/>
      <c r="AA20" s="1004"/>
      <c r="AB20" s="672"/>
      <c r="AC20" s="662"/>
      <c r="AD20" s="656"/>
      <c r="AE20" s="656"/>
      <c r="AF20" s="656"/>
    </row>
    <row r="21" spans="2:39">
      <c r="B21" s="673" t="s">
        <v>145</v>
      </c>
      <c r="C21" s="652">
        <v>865746</v>
      </c>
      <c r="D21" s="652">
        <v>874091</v>
      </c>
      <c r="E21" s="931">
        <f>IF(D21&lt;0,-((C21/D21)-1),(C21/D21)-1)</f>
        <v>-9.5470608895412701E-3</v>
      </c>
      <c r="F21" s="652">
        <v>1268815</v>
      </c>
      <c r="G21" s="652">
        <v>1082143</v>
      </c>
      <c r="H21" s="931">
        <f>IF(G21&lt;0,-((F21/G21)-1),(F21/G21)-1)</f>
        <v>0.17250215544525993</v>
      </c>
      <c r="I21" s="673"/>
      <c r="J21" s="652">
        <v>62310</v>
      </c>
      <c r="K21" s="652">
        <v>-46380</v>
      </c>
      <c r="L21" s="931">
        <f>IF(K21&lt;0,-((J21/K21)-1),(J21/K21)-1)</f>
        <v>2.3434670116429492</v>
      </c>
      <c r="M21" s="652">
        <v>-95429</v>
      </c>
      <c r="N21" s="652">
        <v>-38477</v>
      </c>
      <c r="O21" s="931">
        <f>IF(N21&lt;0,-((M21/N21)-1),(M21/N21)-1)</f>
        <v>-1.4801569768952882</v>
      </c>
      <c r="P21" s="652">
        <f>+M21-N21</f>
        <v>-56952</v>
      </c>
      <c r="Q21" s="936"/>
      <c r="R21" s="652">
        <v>16556</v>
      </c>
      <c r="S21" s="652">
        <v>33830</v>
      </c>
      <c r="T21" s="931">
        <f>IF(S21&lt;0,-((R21/S21)-1),(R21/S21)-1)</f>
        <v>-0.5106118829441324</v>
      </c>
      <c r="U21" s="652">
        <v>198985</v>
      </c>
      <c r="V21" s="652">
        <v>134573</v>
      </c>
      <c r="W21" s="931">
        <f>IF(V21&lt;0,-((U21/V21)-1),(U21/V21)-1)</f>
        <v>0.47863984603152199</v>
      </c>
      <c r="X21" s="640">
        <f>-6939-1</f>
        <v>-6940</v>
      </c>
      <c r="Y21" s="636" t="s">
        <v>308</v>
      </c>
      <c r="Z21" s="652">
        <f>47598-2</f>
        <v>47596</v>
      </c>
      <c r="AA21" s="1001">
        <f>+C21+F21+J21+M21+R21+U21+X21</f>
        <v>2310043</v>
      </c>
      <c r="AB21" s="654">
        <f>+D21+G21+K21+N21+V21+S21++Z21</f>
        <v>2087376</v>
      </c>
      <c r="AC21" s="655">
        <f>IF(AB21&lt;0,-((AA21/AB21)-1),(AA21/AB21)-1)</f>
        <v>0.10667316286093165</v>
      </c>
      <c r="AD21" s="656"/>
      <c r="AE21" s="656">
        <f>+AA21-'ER GA Cons Acum.'!C43</f>
        <v>0</v>
      </c>
      <c r="AF21" s="656">
        <f>+AB21-'ER GA Cons Acum.'!E43</f>
        <v>0</v>
      </c>
      <c r="AG21" s="616"/>
      <c r="AH21" s="616"/>
      <c r="AI21" s="657"/>
      <c r="AJ21" s="657"/>
      <c r="AK21" s="658"/>
      <c r="AL21" s="658"/>
      <c r="AM21" s="657"/>
    </row>
    <row r="22" spans="2:39" ht="13">
      <c r="B22" s="674" t="s">
        <v>146</v>
      </c>
      <c r="C22" s="937">
        <f>+C21/C13</f>
        <v>0.22349647425099614</v>
      </c>
      <c r="D22" s="937">
        <f>+D21/D13</f>
        <v>0.21996810542874592</v>
      </c>
      <c r="E22" s="675"/>
      <c r="F22" s="937">
        <f>+F21/F13</f>
        <v>0.31266302308154253</v>
      </c>
      <c r="G22" s="937">
        <f>+G21/G13</f>
        <v>0.23009553869261767</v>
      </c>
      <c r="H22" s="675"/>
      <c r="I22" s="676"/>
      <c r="J22" s="937">
        <f>+J21/J13</f>
        <v>0.36015051066117182</v>
      </c>
      <c r="K22" s="937">
        <f>+K21/K13</f>
        <v>-0.68266117162201945</v>
      </c>
      <c r="L22" s="675"/>
      <c r="M22" s="937">
        <f>+M21/M13</f>
        <v>-1.9866555636515042</v>
      </c>
      <c r="N22" s="937">
        <f>+N21/N13</f>
        <v>-1.3406620209059232</v>
      </c>
      <c r="O22" s="675"/>
      <c r="P22" s="937"/>
      <c r="Q22" s="675"/>
      <c r="R22" s="937">
        <f>+R21/R13</f>
        <v>0.29754501994895943</v>
      </c>
      <c r="S22" s="937">
        <f>+S21/S13</f>
        <v>0.4085058081966817</v>
      </c>
      <c r="T22" s="675"/>
      <c r="U22" s="937">
        <f>+U21/U13</f>
        <v>0.7115374300477374</v>
      </c>
      <c r="V22" s="937">
        <f>+V21/V13</f>
        <v>0.68297646658783284</v>
      </c>
      <c r="W22" s="675"/>
      <c r="X22" s="934"/>
      <c r="Y22" s="459"/>
      <c r="Z22" s="934"/>
      <c r="AA22" s="812">
        <f>+AA21/AA13</f>
        <v>0.25854734909957805</v>
      </c>
      <c r="AB22" s="677">
        <f>+AB21/AB13</f>
        <v>0.22936178914361494</v>
      </c>
      <c r="AC22" s="678"/>
      <c r="AD22" s="656"/>
      <c r="AE22" s="656"/>
      <c r="AF22" s="656"/>
    </row>
    <row r="23" spans="2:39" ht="12.5">
      <c r="B23" s="659"/>
      <c r="C23" s="670"/>
      <c r="D23" s="670"/>
      <c r="E23" s="660"/>
      <c r="F23" s="670"/>
      <c r="G23" s="670"/>
      <c r="H23" s="660"/>
      <c r="I23" s="659"/>
      <c r="J23" s="670"/>
      <c r="K23" s="670"/>
      <c r="L23" s="660"/>
      <c r="M23" s="670"/>
      <c r="N23" s="670"/>
      <c r="O23" s="660"/>
      <c r="P23" s="670"/>
      <c r="Q23" s="660"/>
      <c r="R23" s="670"/>
      <c r="S23" s="670"/>
      <c r="T23" s="660"/>
      <c r="U23" s="670"/>
      <c r="V23" s="670"/>
      <c r="W23" s="660"/>
      <c r="X23" s="670"/>
      <c r="Y23" s="659"/>
      <c r="Z23" s="670"/>
      <c r="AA23" s="1004"/>
      <c r="AB23" s="672"/>
      <c r="AC23" s="662"/>
      <c r="AD23" s="656"/>
      <c r="AE23" s="656"/>
      <c r="AF23" s="656"/>
    </row>
    <row r="24" spans="2:39">
      <c r="B24" s="673" t="s">
        <v>152</v>
      </c>
      <c r="C24" s="652">
        <v>2563131</v>
      </c>
      <c r="D24" s="652">
        <v>5538664</v>
      </c>
      <c r="E24" s="931">
        <f>IF(D24&lt;0,-((C24/D24)-1),(C24/D24)-1)</f>
        <v>-0.53722937517061875</v>
      </c>
      <c r="F24" s="652">
        <v>302781</v>
      </c>
      <c r="G24" s="652">
        <v>280191</v>
      </c>
      <c r="H24" s="931">
        <f>IF(G24&lt;0,-((F24/G24)-1),(F24/G24)-1)</f>
        <v>8.0623574633018169E-2</v>
      </c>
      <c r="I24" s="673"/>
      <c r="J24" s="652">
        <v>-141102</v>
      </c>
      <c r="K24" s="652">
        <v>-173787</v>
      </c>
      <c r="L24" s="931">
        <f>IF(K24&lt;0,-((J24/K24)-1),(J24/K24)-1)</f>
        <v>0.18807505739784913</v>
      </c>
      <c r="M24" s="652">
        <v>1195223</v>
      </c>
      <c r="N24" s="652">
        <v>1557889</v>
      </c>
      <c r="O24" s="931">
        <f>IF(N24&lt;0,-((M24/N24)-1),(M24/N24)-1)</f>
        <v>-0.23279322211017606</v>
      </c>
      <c r="P24" s="652">
        <f>+M24-N24</f>
        <v>-362666</v>
      </c>
      <c r="Q24" s="932" t="s">
        <v>627</v>
      </c>
      <c r="R24" s="652">
        <v>9879</v>
      </c>
      <c r="S24" s="652">
        <v>20773</v>
      </c>
      <c r="T24" s="931">
        <f>IF(S24&lt;0,-((R24/S24)-1),(R24/S24)-1)</f>
        <v>-0.5244307514562172</v>
      </c>
      <c r="U24" s="652">
        <v>180297</v>
      </c>
      <c r="V24" s="652">
        <v>115863</v>
      </c>
      <c r="W24" s="931">
        <f>IF(V24&lt;0,-((U24/V24)-1),(U24/V24)-1)</f>
        <v>0.5561223168742393</v>
      </c>
      <c r="X24" s="653">
        <f>75+1</f>
        <v>76</v>
      </c>
      <c r="Y24" s="636"/>
      <c r="Z24" s="652">
        <f>26-1</f>
        <v>25</v>
      </c>
      <c r="AA24" s="1001">
        <f>+C24+F24+J24+M24+R24+U24+X24</f>
        <v>4110285</v>
      </c>
      <c r="AB24" s="654">
        <f>+D24+G24+K24+N24+V24+S24++Z24</f>
        <v>7339618</v>
      </c>
      <c r="AC24" s="655">
        <f>IF(AB24&lt;0,-((AA24/AB24)-1),(AA24/AB24)-1)</f>
        <v>-0.43998652245934322</v>
      </c>
      <c r="AD24" s="656"/>
      <c r="AE24" s="656">
        <f>+AA24-'ER GA Cons Acum.'!C60</f>
        <v>0</v>
      </c>
      <c r="AF24" s="656">
        <f>+AB24-'ER GA Cons Acum.'!E60</f>
        <v>0</v>
      </c>
      <c r="AG24" s="616"/>
      <c r="AH24" s="616"/>
      <c r="AI24" s="657"/>
      <c r="AJ24" s="657"/>
      <c r="AK24" s="658"/>
      <c r="AL24" s="658"/>
      <c r="AM24" s="657"/>
    </row>
    <row r="25" spans="2:39" ht="13">
      <c r="B25" s="674" t="s">
        <v>153</v>
      </c>
      <c r="C25" s="937">
        <f>+C24/C13</f>
        <v>0.66168453743179878</v>
      </c>
      <c r="D25" s="937">
        <f>+D24/D13</f>
        <v>1.3938244721503821</v>
      </c>
      <c r="E25" s="675"/>
      <c r="F25" s="937">
        <f>+F24/F13</f>
        <v>7.4611683178124888E-2</v>
      </c>
      <c r="G25" s="937">
        <f>+G24/G13</f>
        <v>5.9576875775034573E-2</v>
      </c>
      <c r="H25" s="675"/>
      <c r="I25" s="676"/>
      <c r="J25" s="937">
        <f>+J24/J13</f>
        <v>-0.81556664027142778</v>
      </c>
      <c r="K25" s="937">
        <f>+K24/K13</f>
        <v>-2.5579481895790401</v>
      </c>
      <c r="L25" s="675"/>
      <c r="M25" s="937">
        <f>+M24/M13</f>
        <v>24.882335796814822</v>
      </c>
      <c r="N25" s="937">
        <f>+N24/N13</f>
        <v>54.281846689895474</v>
      </c>
      <c r="O25" s="675"/>
      <c r="P25" s="937"/>
      <c r="Q25" s="675"/>
      <c r="R25" s="937">
        <f>+R24/R13</f>
        <v>0.17754573883037994</v>
      </c>
      <c r="S25" s="937">
        <f>+S24/S13</f>
        <v>0.2508392300818702</v>
      </c>
      <c r="T25" s="675"/>
      <c r="U25" s="937">
        <f>+U24/U13</f>
        <v>0.64471223471777728</v>
      </c>
      <c r="V25" s="937">
        <f>+V24/V13</f>
        <v>0.58802064565898127</v>
      </c>
      <c r="W25" s="675"/>
      <c r="X25" s="934"/>
      <c r="Y25" s="459"/>
      <c r="Z25" s="934"/>
      <c r="AA25" s="812">
        <f>+AA24/AA13</f>
        <v>0.46003615118582603</v>
      </c>
      <c r="AB25" s="677">
        <f>+AB24/AB13</f>
        <v>0.80648044056781376</v>
      </c>
      <c r="AC25" s="678"/>
      <c r="AE25" s="656"/>
      <c r="AF25" s="656"/>
    </row>
    <row r="26" spans="2:39" ht="12.5">
      <c r="B26" s="659"/>
      <c r="C26" s="670"/>
      <c r="D26" s="670"/>
      <c r="E26" s="660"/>
      <c r="F26" s="670"/>
      <c r="G26" s="670"/>
      <c r="H26" s="660"/>
      <c r="I26" s="659"/>
      <c r="J26" s="670"/>
      <c r="K26" s="670"/>
      <c r="L26" s="660"/>
      <c r="M26" s="670"/>
      <c r="N26" s="670"/>
      <c r="O26" s="660"/>
      <c r="P26" s="670"/>
      <c r="Q26" s="660"/>
      <c r="R26" s="670"/>
      <c r="S26" s="670"/>
      <c r="T26" s="660"/>
      <c r="U26" s="670"/>
      <c r="V26" s="670"/>
      <c r="W26" s="660"/>
      <c r="X26" s="670"/>
      <c r="Y26" s="659"/>
      <c r="Z26" s="670"/>
      <c r="AA26" s="1004"/>
      <c r="AB26" s="672"/>
      <c r="AC26" s="662"/>
      <c r="AE26" s="656"/>
      <c r="AF26" s="656"/>
    </row>
    <row r="27" spans="2:39">
      <c r="B27" s="673" t="s">
        <v>155</v>
      </c>
      <c r="C27" s="652">
        <v>1363684</v>
      </c>
      <c r="D27" s="652">
        <v>2838921</v>
      </c>
      <c r="E27" s="931">
        <f>IF(D27&lt;0,-((C27/D27)-1),(C27/D27)-1)</f>
        <v>-0.51964707718178849</v>
      </c>
      <c r="F27" s="652">
        <v>101198</v>
      </c>
      <c r="G27" s="652">
        <v>104289</v>
      </c>
      <c r="H27" s="931">
        <f>IF(G27&lt;0,-((F27/G27)-1),(F27/G27)-1)</f>
        <v>-2.9638792202437481E-2</v>
      </c>
      <c r="I27" s="620">
        <v>0</v>
      </c>
      <c r="J27" s="652">
        <v>-141102</v>
      </c>
      <c r="K27" s="835">
        <v>-173787</v>
      </c>
      <c r="L27" s="938">
        <f>IF(K27&lt;0,-((J27/K27)-1),(J27/K27)-1)</f>
        <v>0.18807505739784913</v>
      </c>
      <c r="M27" s="652">
        <v>1129997</v>
      </c>
      <c r="N27" s="652">
        <v>1405497</v>
      </c>
      <c r="O27" s="931">
        <f>IF(N27&lt;0,-((M27/N27)-1),(M27/N27)-1)</f>
        <v>-0.19601607118336073</v>
      </c>
      <c r="P27" s="652">
        <f>+M27-N27</f>
        <v>-275500</v>
      </c>
      <c r="Q27" s="939"/>
      <c r="R27" s="652">
        <v>9797</v>
      </c>
      <c r="S27" s="652">
        <v>20659</v>
      </c>
      <c r="T27" s="931">
        <f>IF(S27&lt;0,-((R27/S27)-1),(R27/S27)-1)</f>
        <v>-0.5257756909821385</v>
      </c>
      <c r="U27" s="652">
        <v>180103</v>
      </c>
      <c r="V27" s="652">
        <v>115695</v>
      </c>
      <c r="W27" s="931">
        <f>IF(V27&lt;0,-((U27/V27)-1),(U27/V27)-1)</f>
        <v>0.55670512986732357</v>
      </c>
      <c r="X27" s="653">
        <f>75-1</f>
        <v>74</v>
      </c>
      <c r="Y27" s="636"/>
      <c r="Z27" s="652">
        <v>26</v>
      </c>
      <c r="AA27" s="1001">
        <f>+C27+F27+J27+M27+R27+U27+X27</f>
        <v>2643751</v>
      </c>
      <c r="AB27" s="654">
        <f>+D27+G27+K27+N27+V27+S27++Z27</f>
        <v>4311300</v>
      </c>
      <c r="AC27" s="655">
        <f>IF(AB27&lt;0,-((AA27/AB27)-1),(AA27/AB27)-1)</f>
        <v>-0.38678565629856421</v>
      </c>
      <c r="AE27" s="656">
        <f>+AA27-'ER GA Cons Acum.'!C65</f>
        <v>0</v>
      </c>
      <c r="AF27" s="656">
        <f>+AB27-'ER GA Cons Acum.'!E65</f>
        <v>0</v>
      </c>
      <c r="AG27" s="616"/>
      <c r="AH27" s="616"/>
      <c r="AI27" s="657"/>
      <c r="AJ27" s="657"/>
      <c r="AK27" s="658"/>
      <c r="AL27" s="658"/>
      <c r="AM27" s="657"/>
    </row>
    <row r="28" spans="2:39" ht="13">
      <c r="B28" s="679" t="s">
        <v>156</v>
      </c>
      <c r="C28" s="940">
        <f>+C27/C13</f>
        <v>0.35204155259452014</v>
      </c>
      <c r="D28" s="940">
        <f>+D27/D13</f>
        <v>0.71442455514572378</v>
      </c>
      <c r="E28" s="681"/>
      <c r="F28" s="940">
        <f>+F27/F13</f>
        <v>2.4937341227685629E-2</v>
      </c>
      <c r="G28" s="940">
        <f>+G27/G13</f>
        <v>2.2174919243311102E-2</v>
      </c>
      <c r="H28" s="681"/>
      <c r="I28" s="682"/>
      <c r="J28" s="940">
        <f>+J27/J13</f>
        <v>-0.81556664027142778</v>
      </c>
      <c r="K28" s="940">
        <f>+K27/K13</f>
        <v>-2.5579481895790401</v>
      </c>
      <c r="L28" s="681"/>
      <c r="M28" s="940">
        <f>+M27/M13</f>
        <v>23.52445092120329</v>
      </c>
      <c r="N28" s="940">
        <f>+N27/N13</f>
        <v>48.972020905923344</v>
      </c>
      <c r="O28" s="681"/>
      <c r="P28" s="940"/>
      <c r="Q28" s="681"/>
      <c r="R28" s="940">
        <f>+R27/R13</f>
        <v>0.17607203191833506</v>
      </c>
      <c r="S28" s="940">
        <f>+S27/S13</f>
        <v>0.24946265124254352</v>
      </c>
      <c r="T28" s="681"/>
      <c r="U28" s="940">
        <f>+U27/U13</f>
        <v>0.64401852282276373</v>
      </c>
      <c r="V28" s="940">
        <f>+V27/V13</f>
        <v>0.58716802257421119</v>
      </c>
      <c r="W28" s="681"/>
      <c r="X28" s="940"/>
      <c r="Y28" s="682"/>
      <c r="Z28" s="940"/>
      <c r="AA28" s="813">
        <f>+AA27/AA13</f>
        <v>0.29589700829350735</v>
      </c>
      <c r="AB28" s="683">
        <f>+AB27/AB13</f>
        <v>0.4737275323347912</v>
      </c>
      <c r="AC28" s="684"/>
      <c r="AE28" s="656"/>
      <c r="AF28" s="646"/>
    </row>
    <row r="29" spans="2:39">
      <c r="E29" s="624"/>
      <c r="G29" s="624"/>
      <c r="H29" s="624"/>
      <c r="I29" s="624"/>
      <c r="AA29" s="685"/>
      <c r="AB29" s="686"/>
      <c r="AC29" s="685"/>
      <c r="AE29" s="656"/>
      <c r="AF29" s="646"/>
    </row>
    <row r="30" spans="2:39">
      <c r="C30" s="687">
        <f>+C27/C24</f>
        <v>0.53203835465296156</v>
      </c>
      <c r="D30" s="687">
        <f>+D27/D24</f>
        <v>0.51256422126346712</v>
      </c>
      <c r="E30" s="624"/>
      <c r="F30" s="687">
        <f>+F27/F24</f>
        <v>0.33422836967973552</v>
      </c>
      <c r="G30" s="687">
        <f>+G27/G24</f>
        <v>0.37220681606475581</v>
      </c>
      <c r="H30" s="624"/>
      <c r="I30" s="624"/>
      <c r="J30" s="687">
        <f>+J27/J24</f>
        <v>1</v>
      </c>
      <c r="K30" s="687">
        <f>+K27/K24</f>
        <v>1</v>
      </c>
      <c r="M30" s="688">
        <f>+M27/M24</f>
        <v>0.94542775699597481</v>
      </c>
      <c r="N30" s="688">
        <f>+N27/N24</f>
        <v>0.90218045059692953</v>
      </c>
      <c r="R30" s="687">
        <f>+R27/R24</f>
        <v>0.99169956473327259</v>
      </c>
      <c r="S30" s="687">
        <f>+S27/S24</f>
        <v>0.99451210706205173</v>
      </c>
      <c r="U30" s="687">
        <f>+U27/U24</f>
        <v>0.99892399762613904</v>
      </c>
      <c r="V30" s="687">
        <f>+V27/V24</f>
        <v>0.9985500116516921</v>
      </c>
      <c r="Z30" s="689"/>
      <c r="AA30" s="687">
        <f>+AA27/AA24</f>
        <v>0.64320381676696381</v>
      </c>
      <c r="AB30" s="687">
        <f>+AB27/AB24</f>
        <v>0.58740114267527277</v>
      </c>
      <c r="AE30" s="656"/>
      <c r="AF30" s="646"/>
    </row>
    <row r="31" spans="2:39">
      <c r="C31" s="627"/>
      <c r="E31" s="624"/>
      <c r="F31" s="624"/>
      <c r="G31" s="624"/>
      <c r="H31" s="624"/>
      <c r="I31" s="624"/>
      <c r="Q31" s="689"/>
      <c r="X31" s="689"/>
      <c r="Z31" s="689"/>
      <c r="AA31" s="615">
        <f>+AA27-'ER GA Cons Acum.'!C65</f>
        <v>0</v>
      </c>
      <c r="AB31" s="615">
        <f>+AB27-'ER GA Cons Acum.'!E65</f>
        <v>0</v>
      </c>
      <c r="AE31" s="616"/>
    </row>
    <row r="32" spans="2:39">
      <c r="C32" s="627"/>
      <c r="E32" s="624"/>
      <c r="F32" s="624"/>
      <c r="G32" s="624"/>
      <c r="H32" s="624"/>
      <c r="I32" s="624"/>
      <c r="M32" s="658"/>
      <c r="Q32" s="689"/>
      <c r="X32" s="689"/>
      <c r="Z32" s="689"/>
      <c r="AA32" s="690"/>
      <c r="AB32" s="615"/>
      <c r="AE32" s="616"/>
    </row>
    <row r="33" spans="1:31">
      <c r="B33" s="860" t="s">
        <v>628</v>
      </c>
      <c r="D33" s="658"/>
      <c r="E33" s="624"/>
      <c r="F33" s="624"/>
      <c r="G33" s="624"/>
      <c r="H33" s="624"/>
      <c r="I33" s="624"/>
      <c r="Q33" s="689"/>
      <c r="X33" s="689"/>
      <c r="Z33" s="689"/>
      <c r="AA33" s="690"/>
      <c r="AB33" s="615"/>
      <c r="AE33" s="616"/>
    </row>
    <row r="34" spans="1:31">
      <c r="C34" s="627"/>
      <c r="D34" s="658"/>
      <c r="E34" s="624"/>
      <c r="F34" s="624"/>
      <c r="G34" s="624"/>
      <c r="H34" s="624"/>
      <c r="I34" s="624"/>
      <c r="Q34" s="689"/>
      <c r="X34" s="689"/>
      <c r="Z34" s="689"/>
      <c r="AA34" s="690"/>
      <c r="AB34" s="615"/>
      <c r="AE34" s="616"/>
    </row>
    <row r="35" spans="1:31">
      <c r="C35" s="627"/>
      <c r="E35" s="624"/>
      <c r="F35" s="624"/>
      <c r="G35" s="624"/>
      <c r="H35" s="624"/>
      <c r="I35" s="624"/>
      <c r="Q35" s="689"/>
      <c r="X35" s="689"/>
      <c r="Z35" s="689"/>
      <c r="AA35" s="690"/>
      <c r="AB35" s="615"/>
      <c r="AE35" s="616"/>
    </row>
    <row r="36" spans="1:31">
      <c r="E36" s="624"/>
      <c r="F36" s="624"/>
      <c r="G36" s="624"/>
      <c r="H36" s="624"/>
      <c r="I36" s="624"/>
      <c r="P36" s="689"/>
      <c r="AA36" s="690"/>
      <c r="AB36" s="615"/>
      <c r="AE36" s="616"/>
    </row>
    <row r="37" spans="1:31">
      <c r="A37" s="691" t="s">
        <v>310</v>
      </c>
      <c r="B37" s="692" t="s">
        <v>311</v>
      </c>
      <c r="C37" s="693"/>
      <c r="D37" s="693"/>
      <c r="E37" s="693"/>
      <c r="F37" s="693"/>
      <c r="G37" s="693"/>
      <c r="N37" s="673"/>
      <c r="O37" s="673"/>
      <c r="P37" s="673"/>
      <c r="Q37" s="673"/>
      <c r="AA37" s="690"/>
      <c r="AB37" s="615"/>
      <c r="AE37" s="616"/>
    </row>
    <row r="38" spans="1:31">
      <c r="A38" s="691" t="s">
        <v>312</v>
      </c>
      <c r="B38" s="692" t="s">
        <v>651</v>
      </c>
      <c r="C38" s="693"/>
      <c r="D38" s="693"/>
      <c r="E38" s="693"/>
      <c r="F38" s="693"/>
      <c r="G38" s="693"/>
      <c r="N38" s="656"/>
      <c r="Q38" s="694"/>
      <c r="AA38" s="690"/>
      <c r="AB38" s="615"/>
      <c r="AE38" s="616"/>
    </row>
    <row r="39" spans="1:31">
      <c r="A39" s="691" t="s">
        <v>308</v>
      </c>
      <c r="B39" s="692" t="s">
        <v>313</v>
      </c>
      <c r="C39" s="693"/>
      <c r="D39" s="693"/>
      <c r="E39" s="693"/>
      <c r="F39" s="693"/>
      <c r="G39" s="693"/>
      <c r="N39" s="656"/>
      <c r="Q39" s="694"/>
      <c r="AA39" s="690"/>
      <c r="AB39" s="615"/>
      <c r="AE39" s="616"/>
    </row>
    <row r="40" spans="1:31">
      <c r="A40" s="691"/>
      <c r="B40" s="692" t="s">
        <v>314</v>
      </c>
      <c r="C40" s="693"/>
      <c r="D40" s="693"/>
      <c r="E40" s="624"/>
      <c r="F40" s="624"/>
      <c r="G40" s="624"/>
      <c r="H40" s="624"/>
      <c r="I40" s="624"/>
      <c r="M40" s="673"/>
      <c r="N40" s="695"/>
      <c r="Q40" s="696"/>
      <c r="AA40" s="690"/>
      <c r="AB40" s="615"/>
      <c r="AE40" s="616"/>
    </row>
    <row r="41" spans="1:31">
      <c r="A41" s="691"/>
      <c r="B41" s="692"/>
      <c r="C41" s="693"/>
      <c r="D41" s="693"/>
      <c r="E41" s="624"/>
      <c r="F41" s="624"/>
      <c r="G41" s="624"/>
      <c r="H41" s="624"/>
      <c r="I41" s="624"/>
      <c r="M41" s="673"/>
      <c r="N41" s="658"/>
      <c r="AA41" s="690"/>
      <c r="AB41" s="615"/>
      <c r="AE41" s="616"/>
    </row>
    <row r="42" spans="1:31">
      <c r="E42" s="624"/>
      <c r="F42" s="624"/>
      <c r="G42" s="624"/>
      <c r="H42" s="624"/>
      <c r="I42" s="624"/>
      <c r="M42" s="673"/>
      <c r="AA42" s="690"/>
      <c r="AB42" s="615"/>
      <c r="AE42" s="616"/>
    </row>
    <row r="43" spans="1:31">
      <c r="A43" s="697"/>
      <c r="B43" s="692"/>
      <c r="E43" s="624"/>
      <c r="F43" s="624"/>
      <c r="G43" s="624"/>
      <c r="H43" s="624"/>
      <c r="I43" s="624"/>
      <c r="M43" s="673"/>
      <c r="AA43" s="690"/>
      <c r="AB43" s="615"/>
      <c r="AE43" s="616"/>
    </row>
    <row r="44" spans="1:31">
      <c r="E44" s="624"/>
      <c r="F44" s="624"/>
      <c r="G44" s="624"/>
      <c r="H44" s="624"/>
      <c r="I44" s="624"/>
      <c r="M44" s="673"/>
      <c r="N44" s="658"/>
      <c r="AA44" s="690"/>
      <c r="AB44" s="615"/>
      <c r="AE44" s="616"/>
    </row>
    <row r="45" spans="1:31" hidden="1">
      <c r="A45" s="697" t="s">
        <v>310</v>
      </c>
      <c r="B45" s="692" t="s">
        <v>315</v>
      </c>
      <c r="C45" s="626"/>
      <c r="F45" s="626"/>
      <c r="J45" s="626"/>
      <c r="M45" s="680">
        <v>-2.5543487267779836</v>
      </c>
      <c r="AA45" s="698"/>
      <c r="AB45" s="615"/>
    </row>
    <row r="46" spans="1:31" hidden="1">
      <c r="A46" s="697" t="s">
        <v>312</v>
      </c>
      <c r="B46" s="692" t="s">
        <v>316</v>
      </c>
      <c r="C46" s="626"/>
      <c r="F46" s="626"/>
      <c r="J46" s="626"/>
      <c r="M46" s="626"/>
      <c r="AA46" s="698"/>
      <c r="AB46" s="615"/>
    </row>
    <row r="47" spans="1:31" hidden="1">
      <c r="A47" s="697" t="s">
        <v>308</v>
      </c>
      <c r="B47" s="692" t="s">
        <v>317</v>
      </c>
      <c r="F47" s="624"/>
      <c r="AA47" s="699"/>
      <c r="AB47" s="615"/>
    </row>
    <row r="48" spans="1:31" ht="12.5" hidden="1">
      <c r="A48" s="697" t="s">
        <v>318</v>
      </c>
      <c r="B48" s="692" t="s">
        <v>319</v>
      </c>
      <c r="AA48" s="699"/>
      <c r="AB48" s="700"/>
    </row>
    <row r="49" spans="1:31" hidden="1">
      <c r="A49" s="697" t="s">
        <v>320</v>
      </c>
      <c r="B49" s="692" t="s">
        <v>321</v>
      </c>
      <c r="H49" s="663" t="s">
        <v>308</v>
      </c>
      <c r="I49" s="701"/>
      <c r="AA49" s="614"/>
      <c r="AB49" s="615"/>
    </row>
    <row r="50" spans="1:31" hidden="1">
      <c r="B50" s="692" t="s">
        <v>322</v>
      </c>
      <c r="H50" s="697"/>
      <c r="I50" s="701" t="s">
        <v>323</v>
      </c>
      <c r="AA50" s="614"/>
      <c r="AB50" s="615"/>
    </row>
    <row r="51" spans="1:31" hidden="1">
      <c r="H51" s="663" t="s">
        <v>318</v>
      </c>
      <c r="I51" s="701"/>
      <c r="AA51" s="699"/>
      <c r="AB51" s="615"/>
    </row>
    <row r="52" spans="1:31" hidden="1">
      <c r="E52" s="702"/>
      <c r="F52" s="702"/>
      <c r="G52" s="702"/>
      <c r="H52" s="702"/>
      <c r="I52" s="703"/>
      <c r="AA52" s="699"/>
      <c r="AB52" s="615"/>
    </row>
    <row r="53" spans="1:31" hidden="1">
      <c r="A53" s="697" t="s">
        <v>310</v>
      </c>
      <c r="B53" s="692" t="s">
        <v>324</v>
      </c>
      <c r="E53" s="702"/>
      <c r="F53" s="702"/>
      <c r="G53" s="702"/>
      <c r="H53" s="702"/>
      <c r="I53" s="703"/>
      <c r="AA53" s="699"/>
      <c r="AB53" s="615"/>
    </row>
    <row r="54" spans="1:31" hidden="1">
      <c r="A54" s="697" t="s">
        <v>312</v>
      </c>
      <c r="B54" s="692" t="s">
        <v>325</v>
      </c>
      <c r="AA54" s="699"/>
      <c r="AB54" s="615"/>
    </row>
    <row r="55" spans="1:31" hidden="1">
      <c r="A55" s="697" t="s">
        <v>308</v>
      </c>
      <c r="B55" s="692" t="s">
        <v>326</v>
      </c>
      <c r="E55" s="702"/>
      <c r="F55" s="702"/>
      <c r="G55" s="702"/>
      <c r="H55" s="702"/>
      <c r="I55" s="703"/>
      <c r="AA55" s="699"/>
      <c r="AB55" s="615"/>
    </row>
    <row r="56" spans="1:31" hidden="1">
      <c r="A56" s="697" t="s">
        <v>318</v>
      </c>
      <c r="B56" s="692" t="s">
        <v>327</v>
      </c>
      <c r="E56" s="624"/>
      <c r="F56" s="624"/>
      <c r="G56" s="624"/>
      <c r="H56" s="624"/>
      <c r="I56" s="624"/>
      <c r="AA56" s="690"/>
      <c r="AB56" s="615"/>
    </row>
    <row r="57" spans="1:31" hidden="1">
      <c r="A57" s="697" t="s">
        <v>320</v>
      </c>
      <c r="B57" s="692" t="s">
        <v>328</v>
      </c>
      <c r="E57" s="624"/>
      <c r="F57" s="624"/>
      <c r="G57" s="624"/>
      <c r="H57" s="624"/>
      <c r="I57" s="624"/>
      <c r="AA57" s="615"/>
      <c r="AB57" s="615"/>
    </row>
    <row r="58" spans="1:31" hidden="1">
      <c r="A58" s="697" t="s">
        <v>329</v>
      </c>
      <c r="B58" s="692" t="s">
        <v>330</v>
      </c>
      <c r="E58" s="624"/>
      <c r="F58" s="624"/>
      <c r="G58" s="624"/>
      <c r="H58" s="624"/>
      <c r="I58" s="624"/>
      <c r="AA58" s="615"/>
      <c r="AB58" s="615"/>
    </row>
    <row r="59" spans="1:31" hidden="1">
      <c r="B59" s="692" t="s">
        <v>331</v>
      </c>
      <c r="E59" s="624"/>
      <c r="F59" s="624"/>
      <c r="G59" s="624"/>
      <c r="H59" s="624"/>
      <c r="I59" s="624"/>
      <c r="AA59" s="615"/>
      <c r="AB59" s="615"/>
    </row>
    <row r="60" spans="1:31">
      <c r="E60" s="624"/>
      <c r="F60" s="624"/>
      <c r="G60" s="624"/>
      <c r="H60" s="624"/>
      <c r="I60" s="624"/>
      <c r="M60" s="673"/>
      <c r="AA60" s="615"/>
      <c r="AB60" s="615"/>
      <c r="AE60" s="616"/>
    </row>
    <row r="61" spans="1:31">
      <c r="D61" s="95"/>
      <c r="AA61" s="615"/>
      <c r="AB61" s="615"/>
      <c r="AE61" s="616"/>
    </row>
    <row r="62" spans="1:31">
      <c r="AA62" s="615"/>
      <c r="AB62" s="615"/>
      <c r="AE62" s="616"/>
    </row>
    <row r="63" spans="1:31">
      <c r="AA63" s="614"/>
      <c r="AB63" s="615"/>
      <c r="AE63" s="616"/>
    </row>
    <row r="64" spans="1:31">
      <c r="A64" s="697"/>
      <c r="B64" s="692"/>
      <c r="AA64" s="614"/>
      <c r="AB64" s="615"/>
      <c r="AE64" s="616"/>
    </row>
    <row r="65" spans="1:31">
      <c r="A65" s="697"/>
      <c r="B65" s="692"/>
      <c r="AA65" s="614"/>
      <c r="AB65" s="615"/>
      <c r="AE65" s="616"/>
    </row>
    <row r="66" spans="1:31">
      <c r="B66" s="692"/>
      <c r="E66" s="624"/>
      <c r="F66" s="624"/>
      <c r="G66" s="624"/>
      <c r="H66" s="624"/>
      <c r="I66" s="624"/>
      <c r="AA66" s="614"/>
      <c r="AB66" s="615"/>
      <c r="AE66" s="616"/>
    </row>
    <row r="67" spans="1:31">
      <c r="E67" s="624"/>
      <c r="F67" s="624"/>
      <c r="G67" s="624"/>
      <c r="H67" s="624"/>
      <c r="I67" s="624"/>
      <c r="AA67" s="614"/>
      <c r="AB67" s="615"/>
      <c r="AE67" s="616"/>
    </row>
    <row r="68" spans="1:31">
      <c r="A68" s="697"/>
      <c r="B68" s="701"/>
      <c r="E68" s="663"/>
      <c r="G68" s="702"/>
      <c r="H68" s="702"/>
      <c r="I68" s="703"/>
      <c r="AA68" s="614"/>
      <c r="AB68" s="615"/>
      <c r="AE68" s="616"/>
    </row>
    <row r="69" spans="1:31">
      <c r="A69" s="697"/>
      <c r="B69" s="701"/>
      <c r="E69" s="697"/>
      <c r="G69" s="702"/>
      <c r="H69" s="702"/>
      <c r="I69" s="703"/>
      <c r="AA69" s="614"/>
      <c r="AB69" s="615"/>
      <c r="AE69" s="616"/>
    </row>
    <row r="70" spans="1:31">
      <c r="A70" s="697"/>
      <c r="B70" s="701"/>
      <c r="E70" s="697"/>
      <c r="G70" s="702"/>
      <c r="H70" s="702"/>
      <c r="I70" s="703"/>
      <c r="AA70" s="614"/>
      <c r="AB70" s="615"/>
      <c r="AE70" s="616"/>
    </row>
    <row r="71" spans="1:31">
      <c r="E71" s="663"/>
      <c r="G71" s="702"/>
      <c r="H71" s="702"/>
      <c r="I71" s="703"/>
      <c r="AA71" s="614"/>
      <c r="AB71" s="615"/>
      <c r="AE71" s="616"/>
    </row>
    <row r="72" spans="1:31">
      <c r="A72" s="697"/>
      <c r="B72" s="701"/>
      <c r="E72" s="697"/>
      <c r="F72" s="704"/>
      <c r="G72" s="702"/>
      <c r="H72" s="702"/>
      <c r="I72" s="703"/>
      <c r="AA72" s="614"/>
      <c r="AB72" s="615"/>
      <c r="AE72" s="616"/>
    </row>
    <row r="73" spans="1:31">
      <c r="A73" s="697"/>
      <c r="B73" s="701"/>
      <c r="E73" s="697"/>
      <c r="F73" s="705"/>
      <c r="G73" s="702"/>
      <c r="H73" s="702"/>
      <c r="I73" s="703"/>
      <c r="AA73" s="614"/>
      <c r="AB73" s="615"/>
      <c r="AE73" s="616"/>
    </row>
    <row r="74" spans="1:31">
      <c r="E74" s="624"/>
      <c r="F74" s="624"/>
      <c r="G74" s="624"/>
      <c r="H74" s="624"/>
      <c r="I74" s="624"/>
      <c r="AA74" s="614"/>
      <c r="AB74" s="615"/>
      <c r="AE74" s="616"/>
    </row>
    <row r="75" spans="1:31">
      <c r="AE75" s="616"/>
    </row>
    <row r="76" spans="1:31">
      <c r="AE76" s="616"/>
    </row>
    <row r="77" spans="1:31">
      <c r="AE77" s="616"/>
    </row>
    <row r="78" spans="1:31">
      <c r="AE78" s="616"/>
    </row>
    <row r="79" spans="1:31">
      <c r="AE79" s="616"/>
    </row>
    <row r="80" spans="1:31">
      <c r="AE80" s="616"/>
    </row>
    <row r="81" spans="31:31">
      <c r="AE81" s="616"/>
    </row>
    <row r="82" spans="31:31">
      <c r="AE82" s="616"/>
    </row>
    <row r="83" spans="31:31">
      <c r="AE83" s="616"/>
    </row>
    <row r="84" spans="31:31">
      <c r="AE84" s="616"/>
    </row>
    <row r="85" spans="31:31">
      <c r="AE85" s="616"/>
    </row>
    <row r="86" spans="31:31">
      <c r="AE86" s="616"/>
    </row>
    <row r="87" spans="31:31">
      <c r="AE87" s="616"/>
    </row>
    <row r="88" spans="31:31">
      <c r="AE88" s="616"/>
    </row>
    <row r="89" spans="31:31">
      <c r="AE89" s="616"/>
    </row>
  </sheetData>
  <mergeCells count="5">
    <mergeCell ref="C9:D9"/>
    <mergeCell ref="F9:G9"/>
    <mergeCell ref="J9:K9"/>
    <mergeCell ref="M9:N9"/>
    <mergeCell ref="AA9:AB9"/>
  </mergeCells>
  <pageMargins left="0.7" right="0.7" top="0.75" bottom="0.75" header="0.3" footer="0.3"/>
  <customProperties>
    <customPr name="EpmWorksheetKeyString_GUID" r:id="rId1"/>
  </customPropertie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D2E0-4663-4C86-880B-7B23837D3DD7}">
  <dimension ref="A1:C15"/>
  <sheetViews>
    <sheetView showGridLines="0" workbookViewId="0">
      <selection activeCell="A15" sqref="A15"/>
    </sheetView>
  </sheetViews>
  <sheetFormatPr baseColWidth="10" defaultRowHeight="14.5"/>
  <cols>
    <col min="1" max="1" width="15.7265625" style="818" bestFit="1" customWidth="1"/>
    <col min="2" max="3" width="13.7265625" style="818" bestFit="1" customWidth="1"/>
    <col min="4" max="16384" width="10.90625" style="818"/>
  </cols>
  <sheetData>
    <row r="1" spans="1:3" ht="15" thickBot="1">
      <c r="A1"/>
      <c r="B1" s="1230" t="s">
        <v>445</v>
      </c>
      <c r="C1" s="1230"/>
    </row>
    <row r="2" spans="1:3" ht="15" thickBot="1">
      <c r="A2" s="836"/>
      <c r="B2" s="837" t="str">
        <f>+'Segmentos Sep'!AA11</f>
        <v>Sep. 25</v>
      </c>
      <c r="C2" s="859" t="str">
        <f>+'Segmentos Sep'!AB11</f>
        <v>Sep. 24 (*)</v>
      </c>
    </row>
    <row r="3" spans="1:3">
      <c r="A3" s="838" t="s">
        <v>446</v>
      </c>
      <c r="B3" s="861">
        <v>6981263</v>
      </c>
      <c r="C3" s="862">
        <v>7198064</v>
      </c>
    </row>
    <row r="4" spans="1:3">
      <c r="A4" s="838" t="s">
        <v>448</v>
      </c>
      <c r="B4" s="861">
        <v>591084</v>
      </c>
      <c r="C4" s="862">
        <v>563803</v>
      </c>
    </row>
    <row r="5" spans="1:3">
      <c r="A5" s="838" t="s">
        <v>449</v>
      </c>
      <c r="B5" s="861">
        <f>450278-1</f>
        <v>450277</v>
      </c>
      <c r="C5" s="862">
        <v>446018</v>
      </c>
    </row>
    <row r="6" spans="1:3">
      <c r="A6" s="838" t="s">
        <v>447</v>
      </c>
      <c r="B6" s="861">
        <v>444544</v>
      </c>
      <c r="C6" s="862">
        <v>487537</v>
      </c>
    </row>
    <row r="7" spans="1:3">
      <c r="A7" s="838" t="s">
        <v>450</v>
      </c>
      <c r="B7" s="861">
        <v>348243</v>
      </c>
      <c r="C7" s="862">
        <v>316406</v>
      </c>
    </row>
    <row r="8" spans="1:3">
      <c r="A8" s="838" t="s">
        <v>453</v>
      </c>
      <c r="B8" s="861">
        <v>53125</v>
      </c>
      <c r="C8" s="862">
        <v>43518</v>
      </c>
    </row>
    <row r="9" spans="1:3">
      <c r="A9" s="838" t="s">
        <v>454</v>
      </c>
      <c r="B9" s="861">
        <v>35975</v>
      </c>
      <c r="C9" s="862">
        <v>27511</v>
      </c>
    </row>
    <row r="10" spans="1:3">
      <c r="A10" s="838" t="s">
        <v>451</v>
      </c>
      <c r="B10" s="861">
        <v>30161</v>
      </c>
      <c r="C10" s="862">
        <v>17912</v>
      </c>
    </row>
    <row r="11" spans="1:3">
      <c r="A11" s="838" t="s">
        <v>452</v>
      </c>
      <c r="B11" s="861">
        <v>28</v>
      </c>
      <c r="C11" s="862">
        <v>32</v>
      </c>
    </row>
    <row r="12" spans="1:3" ht="15" thickBot="1">
      <c r="A12" s="839" t="s">
        <v>455</v>
      </c>
      <c r="B12" s="1005">
        <f>+SUM(B3:B11)</f>
        <v>8934700</v>
      </c>
      <c r="C12" s="863">
        <f>+SUM(C3:C11)</f>
        <v>9100801</v>
      </c>
    </row>
    <row r="14" spans="1:3">
      <c r="B14" s="818">
        <f>+B12-'Segmentos Sep'!AA13</f>
        <v>0</v>
      </c>
      <c r="C14" s="818">
        <f>+C12-'Segmentos Sep'!AB13</f>
        <v>0</v>
      </c>
    </row>
    <row r="15" spans="1:3">
      <c r="A15" s="860" t="s">
        <v>666</v>
      </c>
    </row>
  </sheetData>
  <mergeCells count="1">
    <mergeCell ref="B1:C1"/>
  </mergeCells>
  <pageMargins left="0.7" right="0.7" top="0.75" bottom="0.75" header="0.3" footer="0.3"/>
  <pageSetup paperSize="9" orientation="portrait" verticalDpi="597" r:id="rId1"/>
  <customProperties>
    <customPr name="EpmWorksheetKeyString_GUID" r:id="rId2"/>
  </customProperties>
  <ignoredErrors>
    <ignoredError sqref="B12"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E0BEB-D83A-47F6-B574-C1DF8715E354}">
  <dimension ref="B3:I50"/>
  <sheetViews>
    <sheetView showGridLines="0" zoomScale="90" zoomScaleNormal="90" workbookViewId="0">
      <selection activeCell="B14" sqref="B14"/>
    </sheetView>
  </sheetViews>
  <sheetFormatPr baseColWidth="10" defaultColWidth="11.453125" defaultRowHeight="12.5"/>
  <cols>
    <col min="1" max="1" width="11.453125" style="720"/>
    <col min="2" max="2" width="55.7265625" style="720" bestFit="1" customWidth="1"/>
    <col min="3" max="4" width="12.453125" style="720" bestFit="1" customWidth="1"/>
    <col min="5" max="5" width="8.54296875" style="734" bestFit="1" customWidth="1"/>
    <col min="6" max="16384" width="11.453125" style="720"/>
  </cols>
  <sheetData>
    <row r="3" spans="2:9" s="709" customFormat="1" ht="29.5">
      <c r="B3" s="707" t="s">
        <v>332</v>
      </c>
      <c r="C3" s="707"/>
      <c r="D3" s="707"/>
      <c r="E3" s="708"/>
      <c r="F3" s="707"/>
      <c r="G3" s="707"/>
      <c r="H3" s="707"/>
    </row>
    <row r="4" spans="2:9" s="709" customFormat="1" ht="20">
      <c r="B4" s="710" t="s">
        <v>333</v>
      </c>
      <c r="C4" s="710"/>
      <c r="D4" s="710"/>
      <c r="E4" s="711"/>
      <c r="F4" s="710"/>
      <c r="G4" s="710"/>
      <c r="H4" s="710"/>
    </row>
    <row r="5" spans="2:9" s="709" customFormat="1">
      <c r="E5" s="712"/>
    </row>
    <row r="6" spans="2:9" s="709" customFormat="1" ht="27" customHeight="1">
      <c r="B6" s="713" t="s">
        <v>334</v>
      </c>
      <c r="E6" s="712"/>
    </row>
    <row r="7" spans="2:9" s="709" customFormat="1" ht="30" customHeight="1">
      <c r="B7" s="714"/>
      <c r="C7" s="871" t="s">
        <v>639</v>
      </c>
      <c r="D7" s="871" t="s">
        <v>640</v>
      </c>
      <c r="E7" s="715" t="s">
        <v>335</v>
      </c>
    </row>
    <row r="8" spans="2:9" s="709" customFormat="1" ht="30" customHeight="1">
      <c r="B8" s="716" t="s">
        <v>337</v>
      </c>
      <c r="C8" s="1006">
        <v>29</v>
      </c>
      <c r="D8" s="1006">
        <v>43</v>
      </c>
      <c r="E8" s="721">
        <v>100</v>
      </c>
    </row>
    <row r="9" spans="2:9" ht="14">
      <c r="B9" s="716" t="s">
        <v>484</v>
      </c>
      <c r="C9" s="1006">
        <v>0</v>
      </c>
      <c r="D9" s="1006">
        <v>2871</v>
      </c>
      <c r="E9" s="717">
        <f>IF(D9&lt;0,-((C9/D9)-1),(C9/D9)-1)*100</f>
        <v>-100</v>
      </c>
      <c r="F9" s="718"/>
      <c r="G9" s="709"/>
      <c r="H9" s="719"/>
      <c r="I9" s="718"/>
    </row>
    <row r="10" spans="2:9" ht="14">
      <c r="B10" s="716"/>
      <c r="C10" s="1006"/>
      <c r="D10" s="1006"/>
      <c r="E10" s="721"/>
      <c r="F10" s="718"/>
    </row>
    <row r="11" spans="2:9" s="709" customFormat="1" ht="14">
      <c r="B11" s="713" t="s">
        <v>338</v>
      </c>
      <c r="C11" s="1026">
        <f>+SUM(C8:C9)</f>
        <v>29</v>
      </c>
      <c r="D11" s="1026">
        <f>+SUM(D8:D9)</f>
        <v>2914</v>
      </c>
      <c r="E11" s="722">
        <f t="shared" ref="E11" si="0">IF(D11&lt;0,-((C11/D11)-1),(C11/D11)-1)*100</f>
        <v>-99.004804392587502</v>
      </c>
      <c r="F11" s="723"/>
      <c r="G11" s="724"/>
      <c r="H11" s="723"/>
      <c r="I11" s="724"/>
    </row>
    <row r="12" spans="2:9" s="709" customFormat="1" ht="14">
      <c r="B12" s="713"/>
      <c r="C12" s="1026"/>
      <c r="D12" s="1026"/>
      <c r="E12" s="722"/>
      <c r="F12" s="723"/>
      <c r="G12" s="724"/>
      <c r="H12" s="723"/>
      <c r="I12" s="724"/>
    </row>
    <row r="13" spans="2:9" s="709" customFormat="1" ht="14">
      <c r="B13" s="716" t="s">
        <v>339</v>
      </c>
      <c r="C13" s="1006">
        <v>6373</v>
      </c>
      <c r="D13" s="1006">
        <f>13818+5175</f>
        <v>18993</v>
      </c>
      <c r="E13" s="739">
        <f>IFERROR(IF(D13&lt;0,-((C13/D13)-1),(C13/D13)-1)*100,0)</f>
        <v>-66.445532564629076</v>
      </c>
      <c r="F13" s="723"/>
      <c r="G13" s="724"/>
      <c r="H13" s="723"/>
      <c r="I13" s="724"/>
    </row>
    <row r="14" spans="2:9" s="709" customFormat="1" ht="14">
      <c r="B14" s="716" t="s">
        <v>441</v>
      </c>
      <c r="C14" s="1006">
        <v>5923</v>
      </c>
      <c r="D14" s="1006">
        <v>5454</v>
      </c>
      <c r="E14" s="739">
        <f>IFERROR(IF(D14&lt;0,-((C14/D14)-1),(C14/D14)-1)*100,100)</f>
        <v>8.5991932526586101</v>
      </c>
      <c r="F14" s="723"/>
      <c r="G14" s="724"/>
      <c r="H14" s="723"/>
      <c r="I14" s="724"/>
    </row>
    <row r="15" spans="2:9" s="709" customFormat="1" ht="14">
      <c r="B15" s="716" t="s">
        <v>340</v>
      </c>
      <c r="C15" s="1006">
        <v>3504</v>
      </c>
      <c r="D15" s="1006">
        <v>4956</v>
      </c>
      <c r="E15" s="739">
        <f>IFERROR(IF(D15&lt;0,-((C15/D15)-1),(C15/D15)-1)*100,0)</f>
        <v>-29.297820823244546</v>
      </c>
      <c r="F15" s="723"/>
      <c r="G15" s="724"/>
      <c r="H15" s="723"/>
      <c r="I15" s="724"/>
    </row>
    <row r="16" spans="2:9" s="709" customFormat="1" ht="14">
      <c r="B16" s="716" t="s">
        <v>472</v>
      </c>
      <c r="C16" s="1006">
        <v>510</v>
      </c>
      <c r="D16" s="1006">
        <v>1530</v>
      </c>
      <c r="E16" s="739">
        <f>IFERROR(IF(D16&lt;0,-((C16/D16)-1),(C16/D16)-1)*100,100)</f>
        <v>-66.666666666666671</v>
      </c>
      <c r="F16" s="723"/>
      <c r="G16" s="724"/>
      <c r="H16" s="723"/>
      <c r="I16" s="724"/>
    </row>
    <row r="17" spans="2:9" s="709" customFormat="1" ht="14">
      <c r="B17" s="716" t="s">
        <v>535</v>
      </c>
      <c r="C17" s="1006">
        <v>0</v>
      </c>
      <c r="D17" s="1006">
        <v>17</v>
      </c>
      <c r="E17" s="739">
        <f>IFERROR(IF(D17&lt;0,-((C17/D17)-1),(C17/D17)-1)*100,100)</f>
        <v>-100</v>
      </c>
      <c r="F17" s="723"/>
      <c r="G17" s="724"/>
      <c r="H17" s="723"/>
      <c r="I17" s="724"/>
    </row>
    <row r="18" spans="2:9" s="709" customFormat="1" ht="14">
      <c r="B18" s="716"/>
      <c r="C18" s="1006"/>
      <c r="D18" s="1006"/>
      <c r="E18" s="739"/>
      <c r="F18" s="723"/>
      <c r="G18" s="724"/>
      <c r="H18" s="723"/>
      <c r="I18" s="724"/>
    </row>
    <row r="19" spans="2:9" s="709" customFormat="1" ht="14">
      <c r="B19" s="713" t="s">
        <v>338</v>
      </c>
      <c r="C19" s="1026">
        <f>SUM(C13:C17)</f>
        <v>16310</v>
      </c>
      <c r="D19" s="1026">
        <f>SUM(D13:D17)</f>
        <v>30950</v>
      </c>
      <c r="E19" s="722">
        <f t="shared" ref="E19" si="1">IF(D19&lt;0,-((C19/D19)-1),(C19/D19)-1)*100</f>
        <v>-47.302100161550889</v>
      </c>
      <c r="F19" s="723"/>
      <c r="G19" s="724"/>
      <c r="H19" s="723"/>
      <c r="I19" s="724"/>
    </row>
    <row r="20" spans="2:9" s="709" customFormat="1" ht="14">
      <c r="B20" s="713"/>
      <c r="C20" s="1026"/>
      <c r="D20" s="1026"/>
      <c r="E20" s="722"/>
      <c r="F20" s="723"/>
      <c r="G20" s="724"/>
      <c r="H20" s="723"/>
      <c r="I20" s="724"/>
    </row>
    <row r="21" spans="2:9" s="709" customFormat="1" ht="14">
      <c r="B21" s="713" t="s">
        <v>341</v>
      </c>
      <c r="C21" s="1026">
        <f>+C11+C19</f>
        <v>16339</v>
      </c>
      <c r="D21" s="1026">
        <f>+D11+D19</f>
        <v>33864</v>
      </c>
      <c r="E21" s="722">
        <f t="shared" ref="E21" si="2">IF(D21&lt;0,-((C21/D21)-1),(C21/D21)-1)*100</f>
        <v>-51.751122135601221</v>
      </c>
      <c r="F21" s="723"/>
      <c r="G21" s="724"/>
      <c r="H21" s="723"/>
      <c r="I21" s="724"/>
    </row>
    <row r="22" spans="2:9" s="709" customFormat="1" ht="14">
      <c r="B22" s="713"/>
      <c r="C22" s="725"/>
      <c r="D22" s="725"/>
      <c r="E22" s="722"/>
      <c r="F22" s="723"/>
      <c r="G22" s="724"/>
      <c r="H22" s="723"/>
      <c r="I22" s="724"/>
    </row>
    <row r="23" spans="2:9" s="709" customFormat="1" ht="14">
      <c r="B23" s="713" t="s">
        <v>514</v>
      </c>
      <c r="C23" s="725"/>
      <c r="D23" s="725"/>
      <c r="E23" s="722"/>
      <c r="F23" s="723"/>
      <c r="G23" s="724"/>
      <c r="H23" s="723"/>
      <c r="I23" s="724"/>
    </row>
    <row r="24" spans="2:9" s="709" customFormat="1" ht="14">
      <c r="B24" s="713"/>
      <c r="C24" s="725"/>
      <c r="D24" s="725"/>
      <c r="E24" s="722"/>
      <c r="F24" s="723"/>
      <c r="G24" s="724"/>
      <c r="H24" s="723"/>
      <c r="I24" s="724"/>
    </row>
    <row r="25" spans="2:9" s="709" customFormat="1" ht="14">
      <c r="B25" s="716" t="s">
        <v>510</v>
      </c>
      <c r="C25" s="1006">
        <v>142328</v>
      </c>
      <c r="D25" s="1006">
        <v>237330</v>
      </c>
      <c r="E25" s="717">
        <f>IF(D25&lt;0,-((C25/D25)-1),(C25/D25)-1)*100</f>
        <v>-40.02949479627523</v>
      </c>
      <c r="F25" s="723"/>
      <c r="G25" s="724"/>
      <c r="H25" s="723"/>
      <c r="I25" s="724"/>
    </row>
    <row r="26" spans="2:9" s="709" customFormat="1" ht="14">
      <c r="B26" s="713"/>
      <c r="C26" s="725"/>
      <c r="D26" s="725"/>
      <c r="E26" s="722"/>
      <c r="F26" s="723"/>
      <c r="G26" s="724"/>
      <c r="H26" s="723"/>
      <c r="I26" s="724"/>
    </row>
    <row r="27" spans="2:9" s="709" customFormat="1" ht="14">
      <c r="B27" s="726"/>
      <c r="C27" s="727"/>
      <c r="D27" s="728"/>
      <c r="E27" s="729"/>
      <c r="F27" s="723"/>
      <c r="G27" s="723"/>
      <c r="H27" s="723"/>
      <c r="I27" s="723"/>
    </row>
    <row r="28" spans="2:9" s="709" customFormat="1" ht="14">
      <c r="B28" s="713" t="s">
        <v>342</v>
      </c>
      <c r="C28" s="840" t="str">
        <f>+C7</f>
        <v>Sep.2025</v>
      </c>
      <c r="D28" s="840" t="str">
        <f>+D7</f>
        <v>Sep. 2024</v>
      </c>
      <c r="E28" s="715" t="s">
        <v>335</v>
      </c>
      <c r="F28" s="723"/>
      <c r="G28" s="730"/>
    </row>
    <row r="29" spans="2:9" s="709" customFormat="1" ht="14">
      <c r="B29" s="716" t="s">
        <v>343</v>
      </c>
      <c r="C29" s="1027">
        <v>381015</v>
      </c>
      <c r="D29" s="731">
        <v>141552</v>
      </c>
      <c r="E29" s="850">
        <f>IFERROR(IF(D29&lt;0,-((C29/D29)-1),(C29/D29)-1)*100,100)</f>
        <v>169.16963377416073</v>
      </c>
      <c r="F29" s="723"/>
      <c r="G29" s="730"/>
    </row>
    <row r="30" spans="2:9" ht="14">
      <c r="B30" s="716" t="s">
        <v>510</v>
      </c>
      <c r="C30" s="1027">
        <v>201317</v>
      </c>
      <c r="D30" s="731">
        <v>157976</v>
      </c>
      <c r="E30" s="850">
        <f>IFERROR(IF(D30&lt;0,-((C30/D30)-1),(C30/D30)-1)*100,0)</f>
        <v>27.435180027345929</v>
      </c>
      <c r="F30" s="732"/>
      <c r="G30" s="732"/>
    </row>
    <row r="31" spans="2:9" ht="14">
      <c r="B31" s="716" t="s">
        <v>485</v>
      </c>
      <c r="C31" s="1027">
        <v>95432</v>
      </c>
      <c r="D31" s="731">
        <v>127856</v>
      </c>
      <c r="E31" s="850">
        <f>IFERROR(IF(D31&lt;0,-((C31/D31)-1),(C31/D31)-1)*100,0)</f>
        <v>-25.359779752221247</v>
      </c>
      <c r="F31" s="732"/>
      <c r="G31" s="732"/>
    </row>
    <row r="32" spans="2:9" ht="14">
      <c r="B32" s="716" t="s">
        <v>348</v>
      </c>
      <c r="C32" s="1027">
        <v>22682</v>
      </c>
      <c r="D32" s="731">
        <v>26590</v>
      </c>
      <c r="E32" s="850">
        <f>IFERROR(IF(D32&lt;0,-((C32/D32)-1),(C32/D32)-1)*100,100)</f>
        <v>-14.697254606995113</v>
      </c>
      <c r="F32" s="732"/>
      <c r="G32" s="732"/>
    </row>
    <row r="33" spans="2:7" ht="14">
      <c r="B33" s="716" t="s">
        <v>340</v>
      </c>
      <c r="C33" s="1027">
        <v>3504</v>
      </c>
      <c r="D33" s="731">
        <v>4956</v>
      </c>
      <c r="E33" s="850">
        <f>IFERROR(IF(D33&lt;0,-((C33/D33)-1),(C33/D33)-1)*100,100)</f>
        <v>-29.297820823244546</v>
      </c>
      <c r="F33" s="732"/>
      <c r="G33" s="732"/>
    </row>
    <row r="34" spans="2:7" ht="14">
      <c r="B34" s="716" t="s">
        <v>339</v>
      </c>
      <c r="C34" s="1027">
        <v>5739</v>
      </c>
      <c r="D34" s="731">
        <f>13818+5175+1</f>
        <v>18994</v>
      </c>
      <c r="E34" s="850">
        <f>IFERROR(IF(D34&lt;0,-((C34/D34)-1),(C34/D34)-1)*100,0)</f>
        <v>-69.785195324839421</v>
      </c>
      <c r="G34" s="732"/>
    </row>
    <row r="35" spans="2:7" ht="14">
      <c r="B35" s="716" t="s">
        <v>428</v>
      </c>
      <c r="C35" s="1027">
        <v>2900</v>
      </c>
      <c r="D35" s="731">
        <v>5371</v>
      </c>
      <c r="E35" s="850">
        <f>IFERROR(IF(D35&lt;0,-((C35/D35)-1),(C35/D35)-1)*100,100)</f>
        <v>-46.006330292310558</v>
      </c>
      <c r="G35" s="732"/>
    </row>
    <row r="36" spans="2:7" ht="14">
      <c r="B36" s="716" t="s">
        <v>472</v>
      </c>
      <c r="C36" s="1027">
        <v>790</v>
      </c>
      <c r="D36" s="731">
        <v>1530</v>
      </c>
      <c r="E36" s="850">
        <f>IFERROR(IF(D36&lt;0,-((C36/D36)-1),(C36/D36)-1)*100,100)</f>
        <v>-48.366013071895416</v>
      </c>
      <c r="G36" s="732"/>
    </row>
    <row r="37" spans="2:7" ht="14">
      <c r="B37" s="716" t="s">
        <v>533</v>
      </c>
      <c r="C37" s="1027">
        <f>26-1</f>
        <v>25</v>
      </c>
      <c r="D37" s="731">
        <v>43</v>
      </c>
      <c r="E37" s="850">
        <f t="shared" ref="E37" si="3">IFERROR(IF(D37&lt;0,-((C37/D37)-1),(C37/D37)-1)*100,0)</f>
        <v>-41.860465116279066</v>
      </c>
      <c r="G37" s="732"/>
    </row>
    <row r="38" spans="2:7" ht="14">
      <c r="B38" s="716" t="s">
        <v>336</v>
      </c>
      <c r="C38" s="1027">
        <v>0</v>
      </c>
      <c r="D38" s="731">
        <v>4364</v>
      </c>
      <c r="E38" s="850">
        <f>IFERROR(IF(D38&lt;0,-((C38/D38)-1),(C38/D38)-1)*100,0)</f>
        <v>-100</v>
      </c>
      <c r="G38" s="732"/>
    </row>
    <row r="39" spans="2:7" ht="14">
      <c r="B39" s="716" t="s">
        <v>484</v>
      </c>
      <c r="C39" s="1027">
        <v>0</v>
      </c>
      <c r="D39" s="731">
        <v>2610</v>
      </c>
      <c r="E39" s="850">
        <f t="shared" ref="E39:E40" si="4">IFERROR(IF(D39&lt;0,-((C39/D39)-1),(C39/D39)-1)*100,0)</f>
        <v>-100</v>
      </c>
      <c r="G39" s="732"/>
    </row>
    <row r="40" spans="2:7" ht="14">
      <c r="B40" s="716" t="s">
        <v>534</v>
      </c>
      <c r="C40" s="1027">
        <v>0</v>
      </c>
      <c r="D40" s="731">
        <v>17</v>
      </c>
      <c r="E40" s="850">
        <f t="shared" si="4"/>
        <v>-100</v>
      </c>
      <c r="G40" s="732"/>
    </row>
    <row r="41" spans="2:7" s="709" customFormat="1" ht="14">
      <c r="B41" s="713" t="s">
        <v>346</v>
      </c>
      <c r="C41" s="1026">
        <f>SUM(C29:C40)</f>
        <v>713404</v>
      </c>
      <c r="D41" s="1026">
        <f>SUM(D29:D40)</f>
        <v>491859</v>
      </c>
      <c r="E41" s="817">
        <f t="shared" ref="E41" si="5">IFERROR(IF(D41&lt;0,-((C41/D41)-1),(C41/D41)-1)*100,0)</f>
        <v>45.042380031675755</v>
      </c>
    </row>
    <row r="42" spans="2:7" ht="14.5">
      <c r="B42" s="156"/>
      <c r="C42" s="733"/>
      <c r="D42" s="733"/>
    </row>
    <row r="43" spans="2:7">
      <c r="C43" s="732">
        <f>29-C11</f>
        <v>0</v>
      </c>
      <c r="D43" s="732">
        <f>2914-D11</f>
        <v>0</v>
      </c>
    </row>
    <row r="44" spans="2:7">
      <c r="C44" s="732">
        <f>16310-C19</f>
        <v>0</v>
      </c>
      <c r="D44" s="732">
        <f>30950-D19</f>
        <v>0</v>
      </c>
    </row>
    <row r="45" spans="2:7">
      <c r="C45" s="1188">
        <f>+C41-'EFE GA separado'!C30</f>
        <v>0</v>
      </c>
      <c r="D45" s="1188">
        <f>+D41-'EFE GA separado'!D30</f>
        <v>0</v>
      </c>
    </row>
    <row r="47" spans="2:7">
      <c r="B47" s="1007" t="s">
        <v>516</v>
      </c>
    </row>
    <row r="48" spans="2:7">
      <c r="B48" s="720" t="s">
        <v>517</v>
      </c>
    </row>
    <row r="49" spans="2:6">
      <c r="F49" s="718"/>
    </row>
    <row r="50" spans="2:6">
      <c r="B50" s="720" t="s">
        <v>674</v>
      </c>
      <c r="C50" s="1025"/>
    </row>
  </sheetData>
  <pageMargins left="0.7" right="0.7" top="0.75" bottom="0.75" header="0.3" footer="0.3"/>
  <customProperties>
    <customPr name="EpmWorksheetKeyString_GUID" r:id="rId1"/>
    <customPr name="FPMExcelClientCellBasedFunctionStatus" r:id="rId2"/>
  </customProperties>
  <ignoredErrors>
    <ignoredError sqref="E31:E32 E38 E14:E15 E34:E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EE3B7-87FE-4CC5-BB56-7649610703A0}">
  <sheetPr>
    <tabColor rgb="FF00B0F0"/>
  </sheetPr>
  <dimension ref="A1:G63"/>
  <sheetViews>
    <sheetView workbookViewId="0">
      <selection activeCell="A2" sqref="A2"/>
    </sheetView>
  </sheetViews>
  <sheetFormatPr baseColWidth="10" defaultRowHeight="14.5"/>
  <cols>
    <col min="1" max="1" width="49.6328125" customWidth="1"/>
    <col min="10" max="10" width="12.7265625" bestFit="1" customWidth="1"/>
  </cols>
  <sheetData>
    <row r="1" spans="1:7" ht="19">
      <c r="A1" s="1047" t="s">
        <v>673</v>
      </c>
    </row>
    <row r="3" spans="1:7" ht="16">
      <c r="A3" s="1048" t="s">
        <v>551</v>
      </c>
    </row>
    <row r="5" spans="1:7" ht="15" thickBot="1">
      <c r="A5" s="1037" t="s">
        <v>552</v>
      </c>
      <c r="B5" s="1038" t="str">
        <f>+'Resultados separados'!B5</f>
        <v>3T2025</v>
      </c>
      <c r="C5" s="1038" t="str">
        <f>+'Resultados separados'!C5</f>
        <v>3T2024</v>
      </c>
      <c r="D5" s="1038" t="s">
        <v>553</v>
      </c>
      <c r="E5" s="1039">
        <f>+'Resultados separados'!E5</f>
        <v>45901</v>
      </c>
      <c r="F5" s="1039">
        <f>+'Resultados separados'!F5</f>
        <v>45536</v>
      </c>
      <c r="G5" s="1038" t="s">
        <v>540</v>
      </c>
    </row>
    <row r="6" spans="1:7" ht="15" thickBot="1">
      <c r="A6" s="1040" t="s">
        <v>554</v>
      </c>
      <c r="B6" s="1041">
        <f>+SUM(B7:B11)</f>
        <v>3343029</v>
      </c>
      <c r="C6" s="1042">
        <f>+SUM(C7:C11)</f>
        <v>2945836</v>
      </c>
      <c r="D6" s="1049">
        <f>+(B6-C6)/C6</f>
        <v>0.1348320137305675</v>
      </c>
      <c r="E6" s="1041">
        <f>+SUM(E7:E11)</f>
        <v>8934700</v>
      </c>
      <c r="F6" s="1042">
        <f>+SUM(F7:F11)</f>
        <v>9100801</v>
      </c>
      <c r="G6" s="1049">
        <f>+(E6-F6)/F6</f>
        <v>-1.8251250631675167E-2</v>
      </c>
    </row>
    <row r="7" spans="1:7">
      <c r="A7" s="1043" t="s">
        <v>122</v>
      </c>
      <c r="B7" s="1044">
        <f>+'ER GA Consol Q'!CF12</f>
        <v>2748703</v>
      </c>
      <c r="C7" s="1045">
        <f>+'ER GA Consol Q'!CA12</f>
        <v>2821868</v>
      </c>
      <c r="D7" s="1050">
        <f>+(B7-C7)/C7</f>
        <v>-2.592786055194644E-2</v>
      </c>
      <c r="E7" s="1044">
        <f>+'ER GA Cons Acum.'!C11</f>
        <v>8162918</v>
      </c>
      <c r="F7" s="1045">
        <f>+'ER GA Cons Acum.'!E11</f>
        <v>8962942</v>
      </c>
      <c r="G7" s="1050">
        <f>+(E7-F7)/F7</f>
        <v>-8.9259084796041305E-2</v>
      </c>
    </row>
    <row r="8" spans="1:7">
      <c r="A8" s="1043" t="s">
        <v>123</v>
      </c>
      <c r="B8" s="1044">
        <f>+'ER GA Consol Q'!CF13</f>
        <v>469158</v>
      </c>
      <c r="C8" s="1045">
        <f>+'ER GA Consol Q'!CA13</f>
        <v>3593</v>
      </c>
      <c r="D8" s="1050">
        <f>+(B8-C8)/C8</f>
        <v>129.57556359588088</v>
      </c>
      <c r="E8" s="1044">
        <f>+'ER GA Cons Acum.'!C12</f>
        <v>492877</v>
      </c>
      <c r="F8" s="1045">
        <f>+'ER GA Cons Acum.'!E12</f>
        <v>15392</v>
      </c>
      <c r="G8" s="1050">
        <f>+(E8-F8)/F8</f>
        <v>31.021634615384617</v>
      </c>
    </row>
    <row r="9" spans="1:7">
      <c r="A9" s="1043" t="s">
        <v>124</v>
      </c>
      <c r="B9" s="1044">
        <f>+'ER GA Consol Q'!CF14</f>
        <v>63033</v>
      </c>
      <c r="C9" s="1045">
        <f>+'ER GA Consol Q'!CA14</f>
        <v>47420</v>
      </c>
      <c r="D9" s="1050">
        <f>+(B9-C9)/C9</f>
        <v>0.32924926191480386</v>
      </c>
      <c r="E9" s="1044">
        <f>+'ER GA Cons Acum.'!C13</f>
        <v>172429</v>
      </c>
      <c r="F9" s="1045">
        <f>+'ER GA Cons Acum.'!E13</f>
        <v>60882</v>
      </c>
      <c r="G9" s="1050">
        <f>+(E9-F9)/F9</f>
        <v>1.832183568213922</v>
      </c>
    </row>
    <row r="10" spans="1:7">
      <c r="A10" s="1043" t="s">
        <v>125</v>
      </c>
      <c r="B10" s="1044">
        <f>+'ER GA Consol Q'!CF15</f>
        <v>105490</v>
      </c>
      <c r="C10" s="1045">
        <f>+'ER GA Consol Q'!CA15</f>
        <v>119348</v>
      </c>
      <c r="D10" s="1050">
        <f>+(B10-C10)/C10</f>
        <v>-0.11611422059858564</v>
      </c>
      <c r="E10" s="1044">
        <f>+'ER GA Cons Acum.'!C14</f>
        <v>228599</v>
      </c>
      <c r="F10" s="1045">
        <f>+'ER GA Cons Acum.'!E14</f>
        <v>216404</v>
      </c>
      <c r="G10" s="1050">
        <f>+(E10-F10)/F10</f>
        <v>5.6352932478142735E-2</v>
      </c>
    </row>
    <row r="11" spans="1:7">
      <c r="A11" s="1043" t="s">
        <v>126</v>
      </c>
      <c r="B11" s="1044">
        <f>-'ER GA Consol Q'!CF16</f>
        <v>-43355</v>
      </c>
      <c r="C11" s="1045">
        <f>-'ER GA Consol Q'!CA16</f>
        <v>-46393</v>
      </c>
      <c r="D11" s="1050">
        <f>-(B11-C11)/C11</f>
        <v>6.5484016985321067E-2</v>
      </c>
      <c r="E11" s="1044">
        <f>-'ER GA Cons Acum.'!C16</f>
        <v>-122123</v>
      </c>
      <c r="F11" s="1045">
        <f>-'ER GA Cons Acum.'!E16</f>
        <v>-154819</v>
      </c>
      <c r="G11" s="1050">
        <f>-(E11-F11)/F11</f>
        <v>0.2111885492090764</v>
      </c>
    </row>
    <row r="12" spans="1:7">
      <c r="A12" s="1066"/>
    </row>
    <row r="13" spans="1:7">
      <c r="A13" s="1063" t="s">
        <v>62</v>
      </c>
      <c r="B13" s="1068">
        <f>+B6-'ER GA Consol Q'!CF10</f>
        <v>0</v>
      </c>
      <c r="C13" s="1068">
        <f>+C6-'ER GA Consol Q'!CA10</f>
        <v>0</v>
      </c>
      <c r="D13" s="1068"/>
      <c r="E13" s="1068">
        <f>+E6-'ER GA Cons Acum.'!C10</f>
        <v>0</v>
      </c>
      <c r="F13" s="1068">
        <f>+F6-'ER GA Cons Acum.'!E10</f>
        <v>0</v>
      </c>
    </row>
    <row r="15" spans="1:7" ht="16">
      <c r="A15" s="1048" t="s">
        <v>555</v>
      </c>
    </row>
    <row r="17" spans="1:7" ht="15" thickBot="1">
      <c r="A17" s="1037" t="s">
        <v>539</v>
      </c>
      <c r="B17" s="1038" t="str">
        <f>+'Resultados separados'!B5</f>
        <v>3T2025</v>
      </c>
      <c r="C17" s="1038" t="str">
        <f>+'Resultados separados'!C5</f>
        <v>3T2024</v>
      </c>
      <c r="D17" s="1038" t="s">
        <v>556</v>
      </c>
      <c r="E17" s="1039">
        <f>+'Resultados separados'!E5</f>
        <v>45901</v>
      </c>
      <c r="F17" s="1039">
        <f>+'Resultados separados'!F5</f>
        <v>45536</v>
      </c>
      <c r="G17" s="1038" t="s">
        <v>540</v>
      </c>
    </row>
    <row r="18" spans="1:7" ht="15" thickBot="1">
      <c r="A18" s="1040" t="s">
        <v>127</v>
      </c>
      <c r="B18" s="1041">
        <f>+SUM(B19:B22)</f>
        <v>2479691</v>
      </c>
      <c r="C18" s="1041">
        <f>+SUM(C19:C22)</f>
        <v>2091726</v>
      </c>
      <c r="D18" s="1049">
        <f>(B18-C18)/C18</f>
        <v>0.18547601358877788</v>
      </c>
      <c r="E18" s="1041">
        <f>+SUM(E19:E22)</f>
        <v>6295275</v>
      </c>
      <c r="F18" s="1041">
        <f>+SUM(F19:F22)</f>
        <v>6681255</v>
      </c>
      <c r="G18" s="1049">
        <f>(E18-F18)/F18</f>
        <v>-5.777058352061102E-2</v>
      </c>
    </row>
    <row r="19" spans="1:7">
      <c r="A19" s="1043" t="s">
        <v>128</v>
      </c>
      <c r="B19" s="1044">
        <f>+'ER GA Consol Q'!CF19</f>
        <v>1731825</v>
      </c>
      <c r="C19" s="1045">
        <f>+'ER GA Consol Q'!CA19</f>
        <v>1867712</v>
      </c>
      <c r="D19" s="1050">
        <f>(B19-C19)/C19</f>
        <v>-7.2755863859096048E-2</v>
      </c>
      <c r="E19" s="1044">
        <f>+'ER GA Cons Acum.'!C19</f>
        <v>5131041</v>
      </c>
      <c r="F19" s="1045">
        <f>+'ER GA Cons Acum.'!E19</f>
        <v>6058858</v>
      </c>
      <c r="G19" s="1050">
        <f>(E19-F19)/F19</f>
        <v>-0.15313397343195698</v>
      </c>
    </row>
    <row r="20" spans="1:7">
      <c r="A20" s="1043" t="s">
        <v>129</v>
      </c>
      <c r="B20" s="1044">
        <f>+'ER GA Consol Q'!CF20</f>
        <v>188986</v>
      </c>
      <c r="C20" s="1045">
        <f>+'ER GA Consol Q'!CA20</f>
        <v>201421</v>
      </c>
      <c r="D20" s="1050">
        <f>(B20-C20)/C20</f>
        <v>-6.1736363139891073E-2</v>
      </c>
      <c r="E20" s="1044">
        <f>+'ER GA Cons Acum.'!C20</f>
        <v>570347</v>
      </c>
      <c r="F20" s="1045">
        <f>+'ER GA Cons Acum.'!E20</f>
        <v>559312</v>
      </c>
      <c r="G20" s="1050">
        <f>(E20-F20)/F20</f>
        <v>1.9729596361243815E-2</v>
      </c>
    </row>
    <row r="21" spans="1:7">
      <c r="A21" s="1043" t="s">
        <v>130</v>
      </c>
      <c r="B21" s="1044">
        <f>+'ER GA Consol Q'!CF21</f>
        <v>541493</v>
      </c>
      <c r="C21" s="1045">
        <f>+'ER GA Consol Q'!CA21</f>
        <v>0</v>
      </c>
      <c r="D21" s="1050"/>
      <c r="E21" s="1044">
        <f>+'ER GA Cons Acum.'!C21</f>
        <v>548983</v>
      </c>
      <c r="F21" s="1045">
        <f>+'ER GA Cons Acum.'!E21</f>
        <v>0</v>
      </c>
      <c r="G21" s="1050"/>
    </row>
    <row r="22" spans="1:7" ht="15" thickBot="1">
      <c r="A22" s="1043" t="s">
        <v>131</v>
      </c>
      <c r="B22" s="1044">
        <f>+'ER GA Consol Q'!CF22</f>
        <v>17387</v>
      </c>
      <c r="C22" s="1045">
        <f>+'ER GA Consol Q'!CA22</f>
        <v>22593</v>
      </c>
      <c r="D22" s="1050">
        <f t="shared" ref="D22:D27" si="0">(B22-C22)/C22</f>
        <v>-0.23042535298543798</v>
      </c>
      <c r="E22" s="1044">
        <f>+'ER GA Cons Acum.'!C22</f>
        <v>44904</v>
      </c>
      <c r="F22" s="1045">
        <f>+'ER GA Cons Acum.'!E22</f>
        <v>63085</v>
      </c>
      <c r="G22" s="1050">
        <f t="shared" ref="G22:G27" si="1">(E22-F22)/F22</f>
        <v>-0.2881984623920108</v>
      </c>
    </row>
    <row r="23" spans="1:7" ht="15" thickBot="1">
      <c r="A23" s="1052" t="s">
        <v>134</v>
      </c>
      <c r="B23" s="1070">
        <f>+SUM(B24:B27)</f>
        <v>304880</v>
      </c>
      <c r="C23" s="1071">
        <f>+SUM(C24:C27)</f>
        <v>316840</v>
      </c>
      <c r="D23" s="1072">
        <f t="shared" si="0"/>
        <v>-3.7747759121323068E-2</v>
      </c>
      <c r="E23" s="1070">
        <f>+SUM(E24:E27)</f>
        <v>983252</v>
      </c>
      <c r="F23" s="1071">
        <f>+SUM(F24:F27)</f>
        <v>1031438</v>
      </c>
      <c r="G23" s="1072">
        <f t="shared" si="1"/>
        <v>-4.6717301476191492E-2</v>
      </c>
    </row>
    <row r="24" spans="1:7">
      <c r="A24" s="1043" t="s">
        <v>135</v>
      </c>
      <c r="B24" s="1044">
        <f>+'ER GA Consol Q'!CF28</f>
        <v>235118</v>
      </c>
      <c r="C24" s="1045">
        <f>+'ER GA Consol Q'!CA28</f>
        <v>245972</v>
      </c>
      <c r="D24" s="1050">
        <f t="shared" si="0"/>
        <v>-4.4126973801896154E-2</v>
      </c>
      <c r="E24" s="1044">
        <f>+'ER GA Cons Acum.'!C28</f>
        <v>774177</v>
      </c>
      <c r="F24" s="1045">
        <f>+'ER GA Cons Acum.'!E28</f>
        <v>814017</v>
      </c>
      <c r="G24" s="1050">
        <f t="shared" si="1"/>
        <v>-4.8942466803518846E-2</v>
      </c>
    </row>
    <row r="25" spans="1:7">
      <c r="A25" s="1043" t="s">
        <v>136</v>
      </c>
      <c r="B25" s="1044">
        <f>+'ER GA Consol Q'!CF29</f>
        <v>21980</v>
      </c>
      <c r="C25" s="1045">
        <f>+'ER GA Consol Q'!CA29</f>
        <v>18704</v>
      </c>
      <c r="D25" s="1050">
        <f t="shared" si="0"/>
        <v>0.17514970059880239</v>
      </c>
      <c r="E25" s="1044">
        <f>+'ER GA Cons Acum.'!C29</f>
        <v>59849</v>
      </c>
      <c r="F25" s="1045">
        <f>+'ER GA Cons Acum.'!E29</f>
        <v>57785</v>
      </c>
      <c r="G25" s="1050">
        <f t="shared" si="1"/>
        <v>3.571861209656485E-2</v>
      </c>
    </row>
    <row r="26" spans="1:7">
      <c r="A26" s="1043" t="s">
        <v>137</v>
      </c>
      <c r="B26" s="1044">
        <f>+'ER GA Consol Q'!CF30</f>
        <v>38144</v>
      </c>
      <c r="C26" s="1045">
        <f>+'ER GA Consol Q'!CA30</f>
        <v>40986</v>
      </c>
      <c r="D26" s="1050">
        <f t="shared" si="0"/>
        <v>-6.9340750500170786E-2</v>
      </c>
      <c r="E26" s="1044">
        <f>+'ER GA Cons Acum.'!C31</f>
        <v>117545</v>
      </c>
      <c r="F26" s="1045">
        <f>+'ER GA Cons Acum.'!E31</f>
        <v>127100</v>
      </c>
      <c r="G26" s="1050">
        <f t="shared" si="1"/>
        <v>-7.5177025963808028E-2</v>
      </c>
    </row>
    <row r="27" spans="1:7">
      <c r="A27" s="1043" t="s">
        <v>138</v>
      </c>
      <c r="B27" s="1044">
        <f>+'ER GA Consol Q'!CF31</f>
        <v>9638</v>
      </c>
      <c r="C27" s="1045">
        <f>+'ER GA Consol Q'!CA31</f>
        <v>11178</v>
      </c>
      <c r="D27" s="1050">
        <f t="shared" si="0"/>
        <v>-0.13777062086240829</v>
      </c>
      <c r="E27" s="1044">
        <f>+'ER GA Cons Acum.'!C32</f>
        <v>31681</v>
      </c>
      <c r="F27" s="1045">
        <f>+'ER GA Cons Acum.'!E32</f>
        <v>32536</v>
      </c>
      <c r="G27" s="1050">
        <f t="shared" si="1"/>
        <v>-2.6278583722645684E-2</v>
      </c>
    </row>
    <row r="28" spans="1:7">
      <c r="A28" s="1066"/>
    </row>
    <row r="29" spans="1:7">
      <c r="A29" s="1063" t="s">
        <v>62</v>
      </c>
      <c r="B29" s="1064">
        <f>+B18-'ER GA Consol Q'!CF18</f>
        <v>0</v>
      </c>
      <c r="C29" s="1064">
        <f>+C18-'ER GA Consol Q'!CA18</f>
        <v>0</v>
      </c>
      <c r="D29" s="1064"/>
      <c r="E29" s="1064">
        <f>+E18-'ER GA Cons Acum.'!C18</f>
        <v>0</v>
      </c>
      <c r="F29" s="1064">
        <f>+F18-'ER GA Cons Acum.'!E18</f>
        <v>0</v>
      </c>
    </row>
    <row r="30" spans="1:7">
      <c r="A30" s="1063" t="s">
        <v>62</v>
      </c>
      <c r="B30" s="1064">
        <f>+B23-'ER GA Consol Q'!CF27</f>
        <v>0</v>
      </c>
      <c r="C30" s="1064">
        <f>+C23-'ER GA Consol Q'!CA27</f>
        <v>0</v>
      </c>
      <c r="D30" s="1064"/>
      <c r="E30" s="1064">
        <f>+E23-'ER GA Cons Acum.'!C27</f>
        <v>0</v>
      </c>
      <c r="F30" s="1064">
        <f>+F23-'ER GA Cons Acum.'!E27</f>
        <v>0</v>
      </c>
    </row>
    <row r="32" spans="1:7" ht="16">
      <c r="A32" s="1048" t="s">
        <v>557</v>
      </c>
    </row>
    <row r="34" spans="1:7" ht="15" thickBot="1">
      <c r="A34" s="1037" t="s">
        <v>552</v>
      </c>
      <c r="B34" s="1038" t="str">
        <f>+'Resultados separados'!B5</f>
        <v>3T2025</v>
      </c>
      <c r="C34" s="1038" t="str">
        <f>+'Resultados separados'!C5</f>
        <v>3T2024</v>
      </c>
      <c r="D34" s="1038" t="s">
        <v>553</v>
      </c>
      <c r="E34" s="1039">
        <f>+'Resultados separados'!E5</f>
        <v>45901</v>
      </c>
      <c r="F34" s="1039">
        <f>+'Resultados separados'!F5</f>
        <v>45536</v>
      </c>
      <c r="G34" s="1038" t="s">
        <v>540</v>
      </c>
    </row>
    <row r="35" spans="1:7" ht="15" thickBot="1">
      <c r="A35" s="1040" t="s">
        <v>139</v>
      </c>
      <c r="B35" s="1041">
        <f>+SUM(B36:B37)</f>
        <v>71394</v>
      </c>
      <c r="C35" s="1071">
        <f>+SUM(C36:C37)</f>
        <v>4214</v>
      </c>
      <c r="D35" s="1049">
        <f>-(B35-C35)/C35</f>
        <v>-15.942097769340295</v>
      </c>
      <c r="E35" s="1041">
        <f>+SUM(E36:E37)</f>
        <v>-8007</v>
      </c>
      <c r="F35" s="1071">
        <f>+SUM(F36:F37)</f>
        <v>49635</v>
      </c>
      <c r="G35" s="1049">
        <f>(E35-F35)/F35</f>
        <v>-1.161317618615896</v>
      </c>
    </row>
    <row r="36" spans="1:7">
      <c r="A36" s="1043" t="s">
        <v>140</v>
      </c>
      <c r="B36" s="1044">
        <f>+'ER GA Consol Q'!CF34</f>
        <v>104914</v>
      </c>
      <c r="C36" s="1045">
        <f>+'ER GA Consol Q'!CA34</f>
        <v>25787</v>
      </c>
      <c r="D36" s="1050">
        <f>(B36-C36)/C36</f>
        <v>3.0684841199053787</v>
      </c>
      <c r="E36" s="1044">
        <f>+'ER GA Cons Acum.'!C36</f>
        <v>157681</v>
      </c>
      <c r="F36" s="1045">
        <f>+'ER GA Cons Acum.'!E36</f>
        <v>158524</v>
      </c>
      <c r="G36" s="1050">
        <f>(E36-F36)/F36</f>
        <v>-5.3178067674295379E-3</v>
      </c>
    </row>
    <row r="37" spans="1:7">
      <c r="A37" s="1043" t="s">
        <v>141</v>
      </c>
      <c r="B37" s="1044">
        <f>-'ER GA Consol Q'!CF35</f>
        <v>-33520</v>
      </c>
      <c r="C37" s="1045">
        <f>-'ER GA Consol Q'!CA35</f>
        <v>-21573</v>
      </c>
      <c r="D37" s="1050">
        <f>-(B37-C37)/C37</f>
        <v>-0.55379409446993932</v>
      </c>
      <c r="E37" s="1044">
        <f>-'ER GA Cons Acum.'!C37</f>
        <v>-165688</v>
      </c>
      <c r="F37" s="1045">
        <f>-'ER GA Cons Acum.'!E37</f>
        <v>-108889</v>
      </c>
      <c r="G37" s="1050">
        <f>-(E37-F37)/F37</f>
        <v>-0.52162293711945196</v>
      </c>
    </row>
    <row r="38" spans="1:7">
      <c r="A38" s="1066"/>
    </row>
    <row r="39" spans="1:7">
      <c r="A39" s="1063" t="s">
        <v>62</v>
      </c>
      <c r="B39" s="1064">
        <f>+B35-'ER GA Consol Q'!CF33</f>
        <v>0</v>
      </c>
      <c r="C39" s="1064">
        <f>+C35-'ER GA Consol Q'!CA33</f>
        <v>0</v>
      </c>
      <c r="D39" s="1064"/>
      <c r="E39" s="1064">
        <f>+E35-'ER GA Cons Acum.'!C35</f>
        <v>0</v>
      </c>
      <c r="F39" s="1064">
        <f>+F35-'ER GA Cons Acum.'!E35</f>
        <v>0</v>
      </c>
    </row>
    <row r="41" spans="1:7" ht="16">
      <c r="A41" s="1048" t="s">
        <v>558</v>
      </c>
    </row>
    <row r="43" spans="1:7" ht="15" thickBot="1">
      <c r="A43" s="1037" t="s">
        <v>552</v>
      </c>
      <c r="B43" s="1038" t="str">
        <f>+'Resultados separados'!B5</f>
        <v>3T2025</v>
      </c>
      <c r="C43" s="1038" t="str">
        <f>+'Resultados separados'!C5</f>
        <v>3T2024</v>
      </c>
      <c r="D43" s="1038" t="s">
        <v>556</v>
      </c>
      <c r="E43" s="1039">
        <f>+'Resultados separados'!E5</f>
        <v>45901</v>
      </c>
      <c r="F43" s="1039">
        <f>+'Resultados separados'!F5</f>
        <v>45536</v>
      </c>
      <c r="G43" s="1038" t="s">
        <v>540</v>
      </c>
    </row>
    <row r="44" spans="1:7" ht="15" thickBot="1">
      <c r="A44" s="1040" t="s">
        <v>147</v>
      </c>
      <c r="B44" s="1041">
        <f>+SUM(B45:B46)</f>
        <v>-264982</v>
      </c>
      <c r="C44" s="1071">
        <f>+SUM(C45:C46)</f>
        <v>-286697</v>
      </c>
      <c r="D44" s="1049">
        <f>-(B44-C44)/C44</f>
        <v>7.5741985441075424E-2</v>
      </c>
      <c r="E44" s="1041">
        <f>+SUM(E45:E46)</f>
        <v>-625819</v>
      </c>
      <c r="F44" s="1071">
        <f>+SUM(F45:F46)</f>
        <v>-977578</v>
      </c>
      <c r="G44" s="1049">
        <f>-(E44-F44)/F44</f>
        <v>0.35982704193424975</v>
      </c>
    </row>
    <row r="45" spans="1:7">
      <c r="A45" s="1043" t="s">
        <v>148</v>
      </c>
      <c r="B45" s="1044">
        <f>+'ER GA Consol Q'!CF47</f>
        <v>-291508</v>
      </c>
      <c r="C45" s="1045">
        <f>+'ER GA Consol Q'!CA47</f>
        <v>-311390</v>
      </c>
      <c r="D45" s="1050">
        <f>-(B45-C45)/C45</f>
        <v>6.3849192331160279E-2</v>
      </c>
      <c r="E45" s="1044">
        <f>+'ER GA Cons Acum.'!C47</f>
        <v>-745138</v>
      </c>
      <c r="F45" s="1045">
        <f>+'ER GA Cons Acum.'!E47</f>
        <v>-1019424</v>
      </c>
      <c r="G45" s="1050">
        <f>-(E45-F45)/F45</f>
        <v>0.26905978277929499</v>
      </c>
    </row>
    <row r="46" spans="1:7">
      <c r="A46" s="1043" t="s">
        <v>149</v>
      </c>
      <c r="B46" s="1044">
        <f>+'ER GA Consol Q'!CF48</f>
        <v>26526</v>
      </c>
      <c r="C46" s="1045">
        <f>+'ER GA Consol Q'!CA48</f>
        <v>24693</v>
      </c>
      <c r="D46" s="1050">
        <f>-(B46-C46)/C46</f>
        <v>-7.4231563601020525E-2</v>
      </c>
      <c r="E46" s="1044">
        <f>+'ER GA Cons Acum.'!C49</f>
        <v>119319</v>
      </c>
      <c r="F46" s="1045">
        <f>+'ER GA Cons Acum.'!E49</f>
        <v>41846</v>
      </c>
      <c r="G46" s="1050">
        <f>-(E46-F46)/F46</f>
        <v>-1.8513836447928118</v>
      </c>
    </row>
    <row r="47" spans="1:7">
      <c r="A47" s="1066"/>
    </row>
    <row r="48" spans="1:7">
      <c r="A48" s="1063" t="s">
        <v>62</v>
      </c>
      <c r="B48" s="1064">
        <f>+B44-'ER GA Consol Q'!CF46</f>
        <v>0</v>
      </c>
      <c r="C48" s="1064">
        <f>+C44-'ER GA Consol Q'!CA46</f>
        <v>0</v>
      </c>
      <c r="D48" s="1064"/>
      <c r="E48" s="1064">
        <f>+E44-'ER GA Cons Acum.'!C46</f>
        <v>0</v>
      </c>
      <c r="F48" s="1064">
        <f>+F44-'ER GA Cons Acum.'!E46</f>
        <v>0</v>
      </c>
    </row>
    <row r="50" spans="1:7" ht="16">
      <c r="A50" s="1057" t="s">
        <v>559</v>
      </c>
    </row>
    <row r="52" spans="1:7" ht="15" thickBot="1">
      <c r="A52" s="1037" t="s">
        <v>539</v>
      </c>
      <c r="B52" s="1038" t="str">
        <f>+'Resultados separados'!B5</f>
        <v>3T2025</v>
      </c>
      <c r="C52" s="1038" t="str">
        <f>+'Resultados separados'!C5</f>
        <v>3T2024</v>
      </c>
      <c r="D52" s="1038" t="s">
        <v>556</v>
      </c>
      <c r="E52" s="1039">
        <f>+'Resultados separados'!E5</f>
        <v>45901</v>
      </c>
      <c r="F52" s="1039">
        <f>+'Resultados separados'!F5</f>
        <v>45536</v>
      </c>
      <c r="G52" s="1038" t="s">
        <v>540</v>
      </c>
    </row>
    <row r="53" spans="1:7">
      <c r="A53" s="1059" t="s">
        <v>554</v>
      </c>
      <c r="B53" s="1044">
        <f>+'ER GA Consol Q'!CF10</f>
        <v>3343029</v>
      </c>
      <c r="C53" s="1045">
        <f>+'ER GA Consol Q'!CA10</f>
        <v>2945836</v>
      </c>
      <c r="D53" s="1050">
        <f>(B53-C53)/C53</f>
        <v>0.1348320137305675</v>
      </c>
      <c r="E53" s="1044">
        <f>+'ER GA Cons Acum.'!C10</f>
        <v>8934700</v>
      </c>
      <c r="F53" s="1045">
        <f>+'ER GA Cons Acum.'!E10</f>
        <v>9100801</v>
      </c>
      <c r="G53" s="1050">
        <f>(E53-F53)/F53</f>
        <v>-1.8251250631675167E-2</v>
      </c>
    </row>
    <row r="54" spans="1:7">
      <c r="A54" s="1059" t="s">
        <v>547</v>
      </c>
      <c r="B54" s="1044">
        <f>+'ER GA Consol Q'!CF42</f>
        <v>850456</v>
      </c>
      <c r="C54" s="1045">
        <f>+'ER GA Consol Q'!CA42</f>
        <v>772787</v>
      </c>
      <c r="D54" s="1050">
        <f>(B54-C54)/C54</f>
        <v>0.10050505507986029</v>
      </c>
      <c r="E54" s="1044">
        <f>+'ER GA Cons Acum.'!C43</f>
        <v>2310043</v>
      </c>
      <c r="F54" s="1045">
        <f>+'ER GA Cons Acum.'!E43</f>
        <v>2087376</v>
      </c>
      <c r="G54" s="1050">
        <f>(E54-F54)/F54</f>
        <v>0.10667316286093162</v>
      </c>
    </row>
    <row r="55" spans="1:7">
      <c r="A55" s="1060" t="s">
        <v>548</v>
      </c>
      <c r="B55" s="1062">
        <f>+B54/B53</f>
        <v>0.25439683592334977</v>
      </c>
      <c r="C55" s="1050">
        <f>+C54/C53</f>
        <v>0.26233198317896855</v>
      </c>
      <c r="D55" s="1075"/>
      <c r="E55" s="1062">
        <f>+E54/E53</f>
        <v>0.25854734909957805</v>
      </c>
      <c r="F55" s="1050">
        <f>+F54/F53</f>
        <v>0.22936178914361494</v>
      </c>
      <c r="G55" s="1075"/>
    </row>
    <row r="56" spans="1:7">
      <c r="A56" s="1059" t="s">
        <v>560</v>
      </c>
      <c r="B56" s="1044">
        <f>+'ER GA Consol Q'!CF59</f>
        <v>1676612</v>
      </c>
      <c r="C56" s="1045">
        <f>+'ER GA Consol Q'!CA59</f>
        <v>493557</v>
      </c>
      <c r="D56" s="1050">
        <f>(B56-C56)/C56</f>
        <v>2.3969977125235786</v>
      </c>
      <c r="E56" s="1044">
        <f>+'ER GA Cons Acum.'!C59</f>
        <v>1627092</v>
      </c>
      <c r="F56" s="1045">
        <f>+'ER GA Cons Acum.'!E59</f>
        <v>1684718</v>
      </c>
      <c r="G56" s="1050">
        <f>(E56-F56)/F56</f>
        <v>-3.4205131066445543E-2</v>
      </c>
    </row>
    <row r="57" spans="1:7">
      <c r="A57" s="1043" t="s">
        <v>155</v>
      </c>
      <c r="B57" s="1044">
        <f>+'ER GA Consol Q'!CF65</f>
        <v>1419068</v>
      </c>
      <c r="C57" s="1045">
        <f>+'ER GA Consol Q'!CA65</f>
        <v>331620</v>
      </c>
      <c r="D57" s="1050">
        <f>(B57-C57)/C57</f>
        <v>3.2791990832881011</v>
      </c>
      <c r="E57" s="1044">
        <f>+'ER GA Cons Acum.'!C64</f>
        <v>1466534</v>
      </c>
      <c r="F57" s="1045">
        <f>+'ER GA Cons Acum.'!E64</f>
        <v>3028318</v>
      </c>
      <c r="G57" s="1050">
        <f>(E57-F57)/F57</f>
        <v>-0.51572655183504501</v>
      </c>
    </row>
    <row r="58" spans="1:7">
      <c r="A58" s="1066"/>
    </row>
    <row r="59" spans="1:7">
      <c r="A59" s="1063" t="s">
        <v>62</v>
      </c>
      <c r="B59" s="1064">
        <f>+B53-B6</f>
        <v>0</v>
      </c>
      <c r="C59" s="1064">
        <f>+C53-C6</f>
        <v>0</v>
      </c>
      <c r="D59" s="1064"/>
      <c r="E59" s="1064">
        <f>+E53-E6</f>
        <v>0</v>
      </c>
      <c r="F59" s="1064">
        <f>+F53-F6</f>
        <v>0</v>
      </c>
    </row>
    <row r="60" spans="1:7">
      <c r="A60" s="1063" t="s">
        <v>62</v>
      </c>
      <c r="B60" s="1064">
        <f>+B53-'ER GA Consol Q'!CF10</f>
        <v>0</v>
      </c>
      <c r="C60" s="1064">
        <f>+C53-'ER GA Consol Q'!CA10</f>
        <v>0</v>
      </c>
      <c r="D60" s="1064"/>
      <c r="E60" s="1064">
        <f>+E53-'ER GA Cons Acum.'!C10</f>
        <v>0</v>
      </c>
      <c r="F60" s="1064">
        <f>+F53-'ER GA Cons Acum.'!E10</f>
        <v>0</v>
      </c>
    </row>
    <row r="61" spans="1:7">
      <c r="A61" s="1063" t="s">
        <v>62</v>
      </c>
      <c r="B61" s="1064">
        <f>+B54-'ER GA Consol Q'!CF42</f>
        <v>0</v>
      </c>
      <c r="C61" s="1064">
        <f>+C54-'ER GA Consol Q'!CA42</f>
        <v>0</v>
      </c>
      <c r="D61" s="1064"/>
      <c r="E61" s="1064">
        <f>+E54-'ER GA Cons Acum.'!C43</f>
        <v>0</v>
      </c>
      <c r="F61" s="1064">
        <f>+F54-'ER GA Cons Acum.'!E43</f>
        <v>0</v>
      </c>
    </row>
    <row r="62" spans="1:7">
      <c r="A62" s="1063" t="s">
        <v>62</v>
      </c>
      <c r="B62" s="1064">
        <f>+B56-'ER GA Consol Q'!CF59</f>
        <v>0</v>
      </c>
      <c r="C62" s="1064">
        <f>+C56-'ER GA Consol Q'!CA59</f>
        <v>0</v>
      </c>
      <c r="D62" s="1064"/>
      <c r="E62" s="1064">
        <f>+E56-'ER GA Cons Acum.'!C59</f>
        <v>0</v>
      </c>
      <c r="F62" s="1064">
        <f>+F56-'ER GA Cons Acum.'!E59</f>
        <v>0</v>
      </c>
    </row>
    <row r="63" spans="1:7">
      <c r="A63" s="1063" t="s">
        <v>62</v>
      </c>
      <c r="B63" s="1064">
        <f>+B57-'ER GA Consol Q'!CF65</f>
        <v>0</v>
      </c>
      <c r="C63" s="1064">
        <f>+C57-'ER GA Consol Q'!CA65</f>
        <v>0</v>
      </c>
      <c r="D63" s="1064"/>
      <c r="E63" s="1064">
        <f>+E57-'ER GA Cons Acum.'!C64</f>
        <v>0</v>
      </c>
      <c r="F63" s="1064">
        <f>+F57-'ER GA Cons Acum.'!E64</f>
        <v>0</v>
      </c>
    </row>
  </sheetData>
  <pageMargins left="0.7" right="0.7" top="0.75" bottom="0.75" header="0.3" footer="0.3"/>
  <customProperties>
    <customPr name="EpmWorksheetKeyString_GUID" r:id="rId1"/>
  </customProperties>
  <ignoredErrors>
    <ignoredError sqref="B18:C18 E18:F18" formulaRange="1"/>
    <ignoredError sqref="D6 D18 D23 D35:D36 G36 D44"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BAABE-43BA-4B92-824F-66B73121C31A}">
  <dimension ref="B3:I37"/>
  <sheetViews>
    <sheetView showGridLines="0" topLeftCell="A13" zoomScale="90" zoomScaleNormal="90" workbookViewId="0">
      <selection activeCell="D26" sqref="D26"/>
    </sheetView>
  </sheetViews>
  <sheetFormatPr baseColWidth="10" defaultColWidth="11.453125" defaultRowHeight="12.5"/>
  <cols>
    <col min="1" max="1" width="11.453125" style="720"/>
    <col min="2" max="2" width="65" style="720" customWidth="1"/>
    <col min="3" max="3" width="12.453125" style="720" bestFit="1" customWidth="1"/>
    <col min="4" max="4" width="15.453125" style="720" customWidth="1"/>
    <col min="5" max="5" width="9" style="734" bestFit="1" customWidth="1"/>
    <col min="6" max="6" width="11.453125" style="720"/>
    <col min="7" max="7" width="28.7265625" style="720" customWidth="1"/>
    <col min="8" max="8" width="16.54296875" style="720" customWidth="1"/>
    <col min="9" max="9" width="25.26953125" style="720" customWidth="1"/>
    <col min="10" max="16384" width="11.453125" style="720"/>
  </cols>
  <sheetData>
    <row r="3" spans="2:9" s="709" customFormat="1" ht="29.5">
      <c r="B3" s="735" t="s">
        <v>347</v>
      </c>
      <c r="E3" s="712"/>
    </row>
    <row r="4" spans="2:9" s="709" customFormat="1" ht="20">
      <c r="B4" s="736" t="s">
        <v>333</v>
      </c>
      <c r="E4" s="712"/>
    </row>
    <row r="5" spans="2:9" s="709" customFormat="1">
      <c r="E5" s="712"/>
    </row>
    <row r="6" spans="2:9" s="709" customFormat="1" ht="14">
      <c r="B6" s="726"/>
      <c r="C6" s="726"/>
      <c r="D6" s="737"/>
      <c r="E6" s="738"/>
    </row>
    <row r="7" spans="2:9" s="709" customFormat="1" ht="14">
      <c r="B7" s="714"/>
      <c r="C7" s="840" t="str">
        <f>+'Dividendos GA separado'!C7</f>
        <v>Sep.2025</v>
      </c>
      <c r="D7" s="840" t="str">
        <f>+'Dividendos GA separado'!D7</f>
        <v>Sep. 2024</v>
      </c>
      <c r="E7" s="715" t="s">
        <v>335</v>
      </c>
    </row>
    <row r="8" spans="2:9" ht="14">
      <c r="B8" s="743" t="s">
        <v>343</v>
      </c>
      <c r="C8" s="851">
        <v>1355882</v>
      </c>
      <c r="D8" s="851">
        <v>2852184</v>
      </c>
      <c r="E8" s="739">
        <f>IFERROR(IF(D8&lt;0,-((C8/D8)-1),(C8/D8)-1)*100,0)</f>
        <v>-52.461622391823248</v>
      </c>
      <c r="F8" s="718"/>
      <c r="G8" s="741"/>
      <c r="H8" s="742"/>
    </row>
    <row r="9" spans="2:9" ht="14">
      <c r="B9" s="716" t="s">
        <v>345</v>
      </c>
      <c r="C9" s="851">
        <v>178839</v>
      </c>
      <c r="D9" s="851">
        <v>115115</v>
      </c>
      <c r="E9" s="739">
        <f>IFERROR(IF(D9&lt;0,-((C9/D9)-1),(C9/D9)-1)*100,0)</f>
        <v>55.356817095947534</v>
      </c>
      <c r="F9" s="718"/>
      <c r="G9" s="741"/>
      <c r="H9" s="742"/>
    </row>
    <row r="10" spans="2:9" ht="14">
      <c r="B10" s="716" t="s">
        <v>344</v>
      </c>
      <c r="C10" s="739">
        <v>98755</v>
      </c>
      <c r="D10" s="739">
        <v>103442</v>
      </c>
      <c r="E10" s="739">
        <f>IFERROR(IF(D10&lt;0,-((C10/D10)-1),(C10/D10)-1)*100,0)</f>
        <v>-4.5310415498540202</v>
      </c>
      <c r="F10" s="718"/>
      <c r="G10" s="741"/>
      <c r="H10" s="742"/>
    </row>
    <row r="11" spans="2:9" ht="14">
      <c r="B11" s="716" t="s">
        <v>348</v>
      </c>
      <c r="C11" s="739">
        <v>7355</v>
      </c>
      <c r="D11" s="739">
        <v>10375</v>
      </c>
      <c r="E11" s="739">
        <f>IFERROR(IF(D11&lt;0,-((C11/D11)-1),(C11/D11)-1)*100,100)</f>
        <v>-29.108433734939755</v>
      </c>
      <c r="F11" s="718"/>
      <c r="G11" s="744"/>
      <c r="H11" s="744"/>
    </row>
    <row r="12" spans="2:9" ht="14">
      <c r="B12" s="716"/>
      <c r="C12" s="719"/>
      <c r="D12" s="719"/>
      <c r="E12" s="740"/>
      <c r="F12" s="718"/>
      <c r="G12" s="744"/>
      <c r="H12" s="744"/>
    </row>
    <row r="13" spans="2:9" s="709" customFormat="1" ht="14">
      <c r="B13" s="713" t="s">
        <v>350</v>
      </c>
      <c r="C13" s="745">
        <f>SUM(C8:C11)</f>
        <v>1640831</v>
      </c>
      <c r="D13" s="745">
        <f>SUM(D8:D11)</f>
        <v>3081116</v>
      </c>
      <c r="E13" s="745">
        <f>IF(D13&lt;0,-((C13/D13)-1),(C13/D13)-1)*100</f>
        <v>-46.745562322223513</v>
      </c>
      <c r="G13" s="746"/>
      <c r="H13" s="746"/>
    </row>
    <row r="14" spans="2:9" s="709" customFormat="1" ht="14">
      <c r="B14" s="726"/>
      <c r="C14" s="727"/>
      <c r="D14" s="747"/>
      <c r="E14" s="738"/>
      <c r="G14" s="746"/>
      <c r="H14" s="746"/>
    </row>
    <row r="15" spans="2:9" s="709" customFormat="1" ht="14">
      <c r="B15" s="726"/>
      <c r="C15" s="728"/>
      <c r="D15" s="728"/>
      <c r="E15" s="738"/>
      <c r="G15" s="746"/>
      <c r="H15" s="746"/>
    </row>
    <row r="16" spans="2:9" s="709" customFormat="1" ht="14">
      <c r="B16" s="714"/>
      <c r="C16" s="840" t="str">
        <f>+'Dividendos GA separado'!C7</f>
        <v>Sep.2025</v>
      </c>
      <c r="D16" s="840" t="str">
        <f>+'Dividendos GA separado'!D7</f>
        <v>Sep. 2024</v>
      </c>
      <c r="E16" s="715" t="s">
        <v>335</v>
      </c>
      <c r="H16" s="724"/>
      <c r="I16" s="748"/>
    </row>
    <row r="17" spans="2:9" s="709" customFormat="1" ht="14" hidden="1">
      <c r="B17" s="716" t="s">
        <v>351</v>
      </c>
      <c r="C17" s="978">
        <v>0</v>
      </c>
      <c r="D17" s="978">
        <v>0</v>
      </c>
      <c r="E17" s="739">
        <f>IFERROR(IF(D17&lt;0,-((C17/D17)-1),(C17/D17)-1)*100,0)</f>
        <v>0</v>
      </c>
      <c r="H17" s="724"/>
      <c r="I17" s="748"/>
    </row>
    <row r="18" spans="2:9" s="709" customFormat="1" ht="14" hidden="1">
      <c r="B18" s="716" t="s">
        <v>349</v>
      </c>
      <c r="C18" s="978">
        <v>0</v>
      </c>
      <c r="D18" s="978">
        <v>0</v>
      </c>
      <c r="E18" s="739">
        <f>IFERROR(IF(D18&lt;0,-((C18/D18)-1),(C18/D18)-1)*100,0)</f>
        <v>0</v>
      </c>
      <c r="H18" s="724"/>
      <c r="I18" s="748"/>
    </row>
    <row r="19" spans="2:9" s="709" customFormat="1" ht="14">
      <c r="B19" s="716" t="s">
        <v>349</v>
      </c>
      <c r="C19" s="739">
        <v>1054</v>
      </c>
      <c r="D19" s="739">
        <v>412</v>
      </c>
      <c r="E19" s="739">
        <v>100</v>
      </c>
      <c r="H19" s="724"/>
      <c r="I19" s="724"/>
    </row>
    <row r="20" spans="2:9" s="709" customFormat="1" ht="14">
      <c r="B20" s="716" t="s">
        <v>351</v>
      </c>
      <c r="C20" s="739">
        <v>279</v>
      </c>
      <c r="D20" s="739">
        <v>294</v>
      </c>
      <c r="E20" s="739">
        <f>IFERROR(IF(D20&lt;0,-((C20/D20)-1),(C20/D20)-1)*100,100)</f>
        <v>-5.1020408163265252</v>
      </c>
      <c r="H20" s="724"/>
      <c r="I20" s="724"/>
    </row>
    <row r="21" spans="2:9" s="709" customFormat="1" ht="14">
      <c r="B21" s="749"/>
      <c r="C21" s="843"/>
      <c r="D21" s="843"/>
      <c r="E21" s="750"/>
      <c r="H21" s="724"/>
      <c r="I21" s="724"/>
    </row>
    <row r="22" spans="2:9" s="709" customFormat="1" ht="14">
      <c r="B22" s="713" t="s">
        <v>352</v>
      </c>
      <c r="C22" s="843">
        <f>+SUM(C19:C20)</f>
        <v>1333</v>
      </c>
      <c r="D22" s="843">
        <f>+SUM(D19:D20)</f>
        <v>706</v>
      </c>
      <c r="E22" s="750"/>
      <c r="H22" s="724"/>
      <c r="I22" s="724"/>
    </row>
    <row r="23" spans="2:9" s="709" customFormat="1" ht="14">
      <c r="B23" s="749"/>
      <c r="C23" s="843"/>
      <c r="D23" s="843"/>
      <c r="E23" s="750"/>
      <c r="H23" s="724"/>
      <c r="I23" s="724"/>
    </row>
    <row r="24" spans="2:9" s="709" customFormat="1" ht="14">
      <c r="B24" s="713" t="s">
        <v>353</v>
      </c>
      <c r="C24" s="844">
        <f>+C13-C22</f>
        <v>1639498</v>
      </c>
      <c r="D24" s="844">
        <f>+D13-D22</f>
        <v>3080410</v>
      </c>
      <c r="E24" s="745">
        <f>IF(D24&lt;0,-((C24/D24)-1),(C24/D24)-1)*100</f>
        <v>-46.776630383617771</v>
      </c>
      <c r="H24" s="724"/>
      <c r="I24" s="724"/>
    </row>
    <row r="25" spans="2:9" ht="14">
      <c r="B25" s="743"/>
      <c r="C25" s="751"/>
      <c r="D25" s="752"/>
      <c r="E25" s="753"/>
    </row>
    <row r="26" spans="2:9" ht="14">
      <c r="B26" s="743"/>
      <c r="C26" s="752">
        <f>+C24-'ER GA separado Acum.'!C12</f>
        <v>0</v>
      </c>
      <c r="D26" s="752">
        <f>+D24-'ER GA separado Acum.'!E12</f>
        <v>0</v>
      </c>
      <c r="E26" s="753"/>
    </row>
    <row r="27" spans="2:9" ht="14">
      <c r="B27" s="743"/>
      <c r="C27" s="751"/>
      <c r="D27" s="751"/>
      <c r="E27" s="753"/>
    </row>
    <row r="28" spans="2:9">
      <c r="C28" s="732"/>
    </row>
    <row r="35" spans="7:7" ht="13">
      <c r="G35" s="754"/>
    </row>
    <row r="36" spans="7:7" ht="13">
      <c r="G36" s="754"/>
    </row>
    <row r="37" spans="7:7">
      <c r="G37" s="755"/>
    </row>
  </sheetData>
  <conditionalFormatting sqref="G8:G10">
    <cfRule type="expression" dxfId="3" priority="1">
      <formula>$G$12="Millones"</formula>
    </cfRule>
    <cfRule type="expression" dxfId="2" priority="2">
      <formula>$G$12="Miles"</formula>
    </cfRule>
  </conditionalFormatting>
  <pageMargins left="0.7" right="0.7" top="0.75" bottom="0.75" header="0.3" footer="0.3"/>
  <customProperties>
    <customPr name="EpmWorksheetKeyString_GUID" r:id="rId1"/>
    <customPr name="FPMExcelClientCellBasedFunctionStatus" r:id="rId2"/>
  </customProperties>
  <ignoredErrors>
    <ignoredError sqref="E11" formula="1"/>
    <ignoredError sqref="C22:D22"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03DF-5B61-4F39-8B68-1418E2C24249}">
  <dimension ref="B1:K27"/>
  <sheetViews>
    <sheetView showGridLines="0" topLeftCell="A4" zoomScale="90" zoomScaleNormal="90" workbookViewId="0">
      <selection activeCell="F25" sqref="F25"/>
    </sheetView>
  </sheetViews>
  <sheetFormatPr baseColWidth="10" defaultColWidth="11.453125" defaultRowHeight="15.5"/>
  <cols>
    <col min="1" max="1" width="4.453125" style="756" customWidth="1"/>
    <col min="2" max="2" width="74.54296875" style="756" customWidth="1"/>
    <col min="3" max="3" width="16.7265625" style="756" hidden="1" customWidth="1"/>
    <col min="4" max="4" width="14.1796875" style="756" hidden="1" customWidth="1"/>
    <col min="5" max="5" width="21.453125" style="756" customWidth="1"/>
    <col min="6" max="6" width="14.1796875" style="756" customWidth="1"/>
    <col min="7" max="7" width="19.81640625" style="756" bestFit="1" customWidth="1"/>
    <col min="8" max="8" width="19.7265625" style="756" bestFit="1" customWidth="1"/>
    <col min="9" max="16384" width="11.453125" style="756"/>
  </cols>
  <sheetData>
    <row r="1" spans="2:11" hidden="1"/>
    <row r="2" spans="2:11" hidden="1"/>
    <row r="3" spans="2:11" hidden="1"/>
    <row r="4" spans="2:11" ht="5.25" customHeight="1"/>
    <row r="5" spans="2:11" ht="29.5">
      <c r="B5" s="757" t="s">
        <v>354</v>
      </c>
    </row>
    <row r="6" spans="2:11" ht="20">
      <c r="B6" s="758" t="s">
        <v>333</v>
      </c>
      <c r="D6" s="759"/>
    </row>
    <row r="8" spans="2:11">
      <c r="B8" s="760"/>
      <c r="C8" s="1231" t="str">
        <f>+'Dividendos GA separado'!C7</f>
        <v>Sep.2025</v>
      </c>
      <c r="D8" s="1232"/>
      <c r="E8" s="1232"/>
      <c r="F8" s="1232"/>
      <c r="G8" s="1232"/>
    </row>
    <row r="9" spans="2:11">
      <c r="B9" s="762" t="s">
        <v>355</v>
      </c>
      <c r="C9" s="763" t="s">
        <v>356</v>
      </c>
      <c r="D9" s="763" t="s">
        <v>357</v>
      </c>
      <c r="E9" s="761" t="s">
        <v>358</v>
      </c>
      <c r="F9" s="761" t="s">
        <v>359</v>
      </c>
      <c r="G9" s="761" t="s">
        <v>360</v>
      </c>
      <c r="H9" s="761" t="s">
        <v>361</v>
      </c>
    </row>
    <row r="10" spans="2:11" ht="18" customHeight="1">
      <c r="B10" s="764" t="s">
        <v>494</v>
      </c>
      <c r="C10" s="765"/>
      <c r="D10" s="766"/>
      <c r="E10" s="765">
        <v>15315</v>
      </c>
      <c r="F10" s="767">
        <v>15315</v>
      </c>
      <c r="G10" s="767">
        <f t="shared" ref="G10" si="0">+E10-F10</f>
        <v>0</v>
      </c>
      <c r="H10" s="768"/>
      <c r="I10" s="768"/>
      <c r="J10" s="768"/>
    </row>
    <row r="11" spans="2:11">
      <c r="B11" s="769" t="s">
        <v>362</v>
      </c>
      <c r="C11" s="770"/>
      <c r="D11" s="771" t="e">
        <f>SUM(#REF!)</f>
        <v>#REF!</v>
      </c>
      <c r="E11" s="772">
        <f>SUM(E10:E10)</f>
        <v>15315</v>
      </c>
      <c r="F11" s="772">
        <f>SUM(F10:F10)</f>
        <v>15315</v>
      </c>
      <c r="G11" s="772">
        <f>SUM(G10:G10)</f>
        <v>0</v>
      </c>
      <c r="H11" s="768"/>
      <c r="I11" s="768"/>
      <c r="J11" s="768"/>
      <c r="K11" s="768"/>
    </row>
    <row r="12" spans="2:11">
      <c r="B12" s="743"/>
      <c r="C12" s="773"/>
      <c r="D12" s="774"/>
      <c r="E12" s="767"/>
      <c r="F12" s="767"/>
      <c r="G12" s="767"/>
      <c r="H12" s="768"/>
      <c r="I12" s="768"/>
      <c r="J12" s="768"/>
      <c r="K12" s="768"/>
    </row>
    <row r="13" spans="2:11">
      <c r="B13" s="775"/>
      <c r="C13" s="767"/>
      <c r="D13" s="767"/>
      <c r="E13" s="765"/>
      <c r="F13" s="767"/>
      <c r="G13" s="743"/>
    </row>
    <row r="14" spans="2:11">
      <c r="B14" s="775"/>
      <c r="C14" s="767"/>
      <c r="D14" s="767"/>
      <c r="E14" s="765"/>
      <c r="F14" s="767"/>
      <c r="G14" s="743"/>
    </row>
    <row r="15" spans="2:11">
      <c r="B15" s="760"/>
      <c r="C15" s="1231" t="str">
        <f>+'Dividendos GA separado'!D7</f>
        <v>Sep. 2024</v>
      </c>
      <c r="D15" s="1232"/>
      <c r="E15" s="1232"/>
      <c r="F15" s="1232"/>
      <c r="G15" s="1232"/>
    </row>
    <row r="16" spans="2:11">
      <c r="B16" s="762" t="s">
        <v>355</v>
      </c>
      <c r="C16" s="763" t="s">
        <v>356</v>
      </c>
      <c r="D16" s="763" t="s">
        <v>357</v>
      </c>
      <c r="E16" s="761" t="s">
        <v>358</v>
      </c>
      <c r="F16" s="761" t="s">
        <v>359</v>
      </c>
      <c r="G16" s="761" t="s">
        <v>360</v>
      </c>
      <c r="H16" s="761" t="s">
        <v>361</v>
      </c>
    </row>
    <row r="17" spans="2:9">
      <c r="B17" s="764" t="s">
        <v>511</v>
      </c>
      <c r="C17" s="765"/>
      <c r="D17" s="766"/>
      <c r="E17" s="765">
        <v>176</v>
      </c>
      <c r="F17" s="767">
        <v>0</v>
      </c>
      <c r="G17" s="767">
        <f t="shared" ref="G17" si="1">+E17-F17</f>
        <v>176</v>
      </c>
      <c r="H17" s="768">
        <v>0</v>
      </c>
      <c r="I17" s="768"/>
    </row>
    <row r="18" spans="2:9">
      <c r="B18" s="764"/>
      <c r="C18" s="765"/>
      <c r="D18" s="766"/>
      <c r="E18" s="765"/>
      <c r="F18" s="767"/>
      <c r="G18" s="767">
        <f t="shared" ref="G18" si="2">+E18-F18</f>
        <v>0</v>
      </c>
      <c r="H18" s="768">
        <v>0</v>
      </c>
      <c r="I18" s="768"/>
    </row>
    <row r="19" spans="2:9">
      <c r="B19" s="769" t="s">
        <v>362</v>
      </c>
      <c r="C19" s="770"/>
      <c r="D19" s="771" t="e">
        <f>SUM(#REF!)</f>
        <v>#REF!</v>
      </c>
      <c r="E19" s="772">
        <f>SUM(E17:E18)</f>
        <v>176</v>
      </c>
      <c r="F19" s="772">
        <f>SUM(F17:F18)</f>
        <v>0</v>
      </c>
      <c r="G19" s="772">
        <f>SUM(G17:G18)</f>
        <v>176</v>
      </c>
      <c r="H19" s="768"/>
      <c r="I19" s="768"/>
    </row>
    <row r="20" spans="2:9">
      <c r="B20" s="769"/>
      <c r="C20" s="770"/>
      <c r="D20" s="771"/>
      <c r="E20" s="772"/>
      <c r="F20" s="772"/>
      <c r="G20" s="772"/>
    </row>
    <row r="21" spans="2:9">
      <c r="B21" s="776" t="s">
        <v>363</v>
      </c>
      <c r="C21" s="777" t="s">
        <v>364</v>
      </c>
      <c r="D21" s="720"/>
      <c r="E21" s="776" t="s">
        <v>364</v>
      </c>
      <c r="F21" s="718"/>
      <c r="G21" s="720"/>
    </row>
    <row r="22" spans="2:9">
      <c r="B22" s="776" t="s">
        <v>365</v>
      </c>
      <c r="C22" s="777" t="s">
        <v>366</v>
      </c>
      <c r="D22" s="720"/>
      <c r="E22" s="776" t="s">
        <v>366</v>
      </c>
      <c r="F22" s="720"/>
      <c r="G22" s="720"/>
    </row>
    <row r="23" spans="2:9">
      <c r="E23" s="778"/>
    </row>
    <row r="24" spans="2:9">
      <c r="E24" s="841">
        <f>15315-E11</f>
        <v>0</v>
      </c>
      <c r="F24" s="841">
        <f>+F11-'ER GA separado Acum.'!C15</f>
        <v>0</v>
      </c>
    </row>
    <row r="25" spans="2:9">
      <c r="E25" s="779">
        <f>176-E19</f>
        <v>0</v>
      </c>
      <c r="F25" s="779">
        <f>+F19-'ER GA separado Acum.'!E15</f>
        <v>0</v>
      </c>
    </row>
    <row r="26" spans="2:9">
      <c r="E26" s="779"/>
      <c r="F26" s="779"/>
    </row>
    <row r="27" spans="2:9">
      <c r="C27" s="773"/>
      <c r="D27" s="774"/>
      <c r="E27" s="767"/>
      <c r="F27" s="767"/>
      <c r="G27" s="767"/>
    </row>
  </sheetData>
  <mergeCells count="2">
    <mergeCell ref="C8:G8"/>
    <mergeCell ref="C15:G15"/>
  </mergeCells>
  <pageMargins left="0.7" right="0.7" top="0.75" bottom="0.75" header="0.3" footer="0.3"/>
  <pageSetup paperSize="9" orientation="portrait" verticalDpi="597"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2467F-2CF4-4B3A-8303-2F74A5B86659}">
  <dimension ref="B2:V17"/>
  <sheetViews>
    <sheetView showGridLines="0" zoomScale="85" zoomScaleNormal="85" workbookViewId="0">
      <selection activeCell="D17" sqref="D17"/>
    </sheetView>
  </sheetViews>
  <sheetFormatPr baseColWidth="10" defaultRowHeight="14.5"/>
  <cols>
    <col min="1" max="1" width="6.81640625" customWidth="1"/>
    <col min="2" max="2" width="59.08984375" customWidth="1"/>
    <col min="3" max="3" width="10.453125" customWidth="1"/>
    <col min="4" max="4" width="13" customWidth="1"/>
    <col min="5" max="5" width="10.81640625" customWidth="1"/>
    <col min="6" max="6" width="13.08984375" customWidth="1"/>
    <col min="7" max="7" width="14.26953125" customWidth="1"/>
    <col min="8" max="8" width="17.08984375" customWidth="1"/>
    <col min="9" max="11" width="14.26953125" customWidth="1"/>
    <col min="12" max="12" width="34.453125" customWidth="1"/>
    <col min="13" max="13" width="15.7265625" customWidth="1"/>
    <col min="14" max="14" width="9" customWidth="1"/>
    <col min="15" max="15" width="33.81640625" customWidth="1"/>
    <col min="16" max="16" width="14.453125" bestFit="1" customWidth="1"/>
    <col min="17" max="17" width="12.81640625" customWidth="1"/>
    <col min="18" max="18" width="92.453125" customWidth="1"/>
    <col min="19" max="19" width="41.1796875" customWidth="1"/>
    <col min="20" max="20" width="27.26953125" customWidth="1"/>
    <col min="21" max="21" width="21.1796875" customWidth="1"/>
    <col min="23" max="23" width="16.81640625" customWidth="1"/>
    <col min="24" max="24" width="18.1796875" customWidth="1"/>
    <col min="26" max="26" width="17.54296875" customWidth="1"/>
  </cols>
  <sheetData>
    <row r="2" spans="2:22" s="709" customFormat="1" ht="29.5">
      <c r="B2" s="1233" t="s">
        <v>367</v>
      </c>
      <c r="C2" s="1233"/>
      <c r="D2" s="1233"/>
      <c r="E2" s="1233"/>
      <c r="F2" s="1233"/>
    </row>
    <row r="3" spans="2:22" s="709" customFormat="1" ht="20">
      <c r="B3" s="853" t="s">
        <v>333</v>
      </c>
    </row>
    <row r="4" spans="2:22" s="709" customFormat="1" ht="13">
      <c r="F4" s="737"/>
    </row>
    <row r="5" spans="2:22" s="709" customFormat="1" ht="13">
      <c r="F5" s="754"/>
    </row>
    <row r="6" spans="2:22" s="709" customFormat="1" ht="15.5">
      <c r="C6" s="780"/>
      <c r="D6" s="780"/>
    </row>
    <row r="7" spans="2:22" s="709" customFormat="1" ht="25.5" customHeight="1">
      <c r="B7" s="713" t="s">
        <v>334</v>
      </c>
      <c r="D7" s="737"/>
    </row>
    <row r="8" spans="2:22" s="709" customFormat="1" ht="25.5" customHeight="1">
      <c r="B8" s="713"/>
      <c r="C8" s="781" t="s">
        <v>504</v>
      </c>
      <c r="D8" s="781" t="s">
        <v>480</v>
      </c>
      <c r="E8" s="715" t="s">
        <v>335</v>
      </c>
      <c r="G8" s="737"/>
    </row>
    <row r="9" spans="2:22" s="709" customFormat="1" ht="14">
      <c r="B9" s="716" t="s">
        <v>642</v>
      </c>
      <c r="C9" s="721">
        <v>295</v>
      </c>
      <c r="D9" s="721">
        <v>0</v>
      </c>
      <c r="E9" s="717" t="s">
        <v>284</v>
      </c>
      <c r="G9" s="737"/>
    </row>
    <row r="10" spans="2:22" s="709" customFormat="1" ht="14">
      <c r="B10" s="716" t="s">
        <v>337</v>
      </c>
      <c r="C10" s="721">
        <v>29</v>
      </c>
      <c r="D10" s="721">
        <v>43</v>
      </c>
      <c r="E10" s="717">
        <f t="shared" ref="E10" si="0">IF(D10&lt;0,-((C10/D10)-1),(C10/D10)-1)*100</f>
        <v>-32.558139534883722</v>
      </c>
      <c r="G10" s="737"/>
    </row>
    <row r="11" spans="2:22" s="709" customFormat="1" ht="14">
      <c r="B11" s="716" t="s">
        <v>536</v>
      </c>
      <c r="C11" s="721">
        <v>27</v>
      </c>
      <c r="D11" s="849">
        <v>26</v>
      </c>
      <c r="E11" s="717">
        <f>IF(D11&lt;0,-((C11/D11)-1),(C11/D11)-1)*100</f>
        <v>3.8461538461538547</v>
      </c>
      <c r="G11" s="737"/>
    </row>
    <row r="12" spans="2:22" s="709" customFormat="1" ht="14">
      <c r="B12" s="716" t="s">
        <v>512</v>
      </c>
      <c r="C12" s="721">
        <v>25</v>
      </c>
      <c r="D12" s="849">
        <v>15</v>
      </c>
      <c r="E12" s="717">
        <f t="shared" ref="E12:E13" si="1">IF(D12&lt;0,-((C12/D12)-1),(C12/D12)-1)*100</f>
        <v>66.666666666666671</v>
      </c>
      <c r="G12" s="737"/>
    </row>
    <row r="13" spans="2:22">
      <c r="B13" s="716" t="s">
        <v>484</v>
      </c>
      <c r="C13" s="849">
        <v>0</v>
      </c>
      <c r="D13" s="849">
        <v>2871</v>
      </c>
      <c r="E13" s="717">
        <f t="shared" si="1"/>
        <v>-100</v>
      </c>
      <c r="F13" s="709"/>
      <c r="G13" s="709"/>
      <c r="H13" s="709"/>
      <c r="I13" s="709"/>
      <c r="J13" s="743"/>
      <c r="K13" s="743"/>
      <c r="L13" s="743"/>
      <c r="M13" s="743"/>
      <c r="N13" s="743"/>
      <c r="O13" s="743"/>
      <c r="P13" s="743"/>
      <c r="Q13" s="767"/>
      <c r="R13" s="854"/>
      <c r="S13" s="743"/>
      <c r="T13" s="743"/>
      <c r="U13" s="743"/>
      <c r="V13" s="743"/>
    </row>
    <row r="14" spans="2:22" s="720" customFormat="1" ht="14">
      <c r="B14" s="716"/>
      <c r="C14" s="852"/>
      <c r="D14" s="852"/>
      <c r="E14" s="719"/>
      <c r="F14" s="782"/>
    </row>
    <row r="15" spans="2:22" s="709" customFormat="1" ht="14">
      <c r="B15" s="713" t="s">
        <v>537</v>
      </c>
      <c r="C15" s="783">
        <f>+SUM(C9:C13)</f>
        <v>376</v>
      </c>
      <c r="D15" s="783">
        <f>+SUM(D9:D13)</f>
        <v>2955</v>
      </c>
      <c r="E15" s="783">
        <f>IF(D15&lt;0,-((C15/D15)-1),(C15/D15)-1)*100</f>
        <v>-87.275803722504236</v>
      </c>
      <c r="F15" s="784"/>
    </row>
    <row r="16" spans="2:22" s="720" customFormat="1" ht="14">
      <c r="B16" s="785"/>
      <c r="C16" s="786"/>
      <c r="D16" s="786"/>
      <c r="E16" s="787"/>
      <c r="F16" s="788"/>
    </row>
    <row r="17" spans="3:6">
      <c r="C17" s="789">
        <f>376-C15</f>
        <v>0</v>
      </c>
      <c r="D17" s="789">
        <f>2955-D15</f>
        <v>0</v>
      </c>
      <c r="E17" s="855"/>
      <c r="F17" s="856"/>
    </row>
  </sheetData>
  <mergeCells count="1">
    <mergeCell ref="B2:F2"/>
  </mergeCells>
  <pageMargins left="0.7" right="0.7" top="0.75" bottom="0.75" header="0.3" footer="0.3"/>
  <pageSetup orientation="portrait" r:id="rId1"/>
  <customProperties>
    <customPr name="EpmWorksheetKeyString_GUID" r:id="rId2"/>
  </customProperties>
  <ignoredErrors>
    <ignoredError sqref="C8:D8"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46269-26F7-4447-A9D7-7D659F36FD2E}">
  <dimension ref="A2:I42"/>
  <sheetViews>
    <sheetView showGridLines="0" topLeftCell="A25" zoomScale="90" zoomScaleNormal="90" workbookViewId="0">
      <selection activeCell="C19" sqref="C19"/>
    </sheetView>
  </sheetViews>
  <sheetFormatPr baseColWidth="10" defaultColWidth="11.453125" defaultRowHeight="12.5"/>
  <cols>
    <col min="1" max="1" width="11.453125" style="720"/>
    <col min="2" max="2" width="76.26953125" style="720" customWidth="1"/>
    <col min="3" max="3" width="12.453125" style="720" customWidth="1"/>
    <col min="4" max="4" width="15.26953125" style="720" customWidth="1"/>
    <col min="5" max="5" width="10.54296875" style="720" bestFit="1" customWidth="1"/>
    <col min="6" max="6" width="7.26953125" style="720" customWidth="1"/>
    <col min="7" max="7" width="25.7265625" style="720" customWidth="1"/>
    <col min="8" max="8" width="18.453125" style="720" customWidth="1"/>
    <col min="9" max="9" width="14.7265625" style="720" customWidth="1"/>
    <col min="10" max="10" width="25" style="720" customWidth="1"/>
    <col min="11" max="16384" width="11.453125" style="720"/>
  </cols>
  <sheetData>
    <row r="2" spans="1:8" ht="13">
      <c r="G2" s="754"/>
    </row>
    <row r="3" spans="1:8" ht="29.5">
      <c r="B3" s="790" t="s">
        <v>368</v>
      </c>
      <c r="C3" s="709"/>
      <c r="D3" s="709"/>
      <c r="E3" s="709"/>
      <c r="F3" s="709"/>
    </row>
    <row r="4" spans="1:8" ht="20">
      <c r="B4" s="791" t="s">
        <v>333</v>
      </c>
      <c r="C4" s="709"/>
      <c r="D4" s="709"/>
      <c r="E4" s="709"/>
      <c r="F4" s="709"/>
    </row>
    <row r="5" spans="1:8">
      <c r="B5" s="709"/>
      <c r="C5" s="709"/>
      <c r="D5" s="709"/>
      <c r="E5" s="709"/>
      <c r="F5" s="709"/>
    </row>
    <row r="6" spans="1:8" ht="14.5">
      <c r="A6" s="743"/>
      <c r="B6" s="726"/>
      <c r="C6" s="792" t="s">
        <v>504</v>
      </c>
      <c r="D6" s="793" t="s">
        <v>480</v>
      </c>
      <c r="E6" s="793" t="s">
        <v>335</v>
      </c>
      <c r="F6" s="737"/>
      <c r="H6" s="794"/>
    </row>
    <row r="7" spans="1:8" ht="14.5">
      <c r="A7" s="743"/>
      <c r="B7" s="743" t="s">
        <v>464</v>
      </c>
      <c r="C7" s="731">
        <v>173130</v>
      </c>
      <c r="D7" s="731">
        <v>118921</v>
      </c>
      <c r="E7" s="717">
        <f t="shared" ref="E7" si="0">IF(D7&lt;0,-((C7/D7)-1),(C7/D7)-1)*100</f>
        <v>45.584043188335109</v>
      </c>
      <c r="F7" s="737"/>
      <c r="H7" s="794"/>
    </row>
    <row r="8" spans="1:8" ht="14.5">
      <c r="A8" s="743"/>
      <c r="B8" s="743" t="s">
        <v>369</v>
      </c>
      <c r="C8" s="731">
        <v>49622</v>
      </c>
      <c r="D8" s="731">
        <v>44433</v>
      </c>
      <c r="E8" s="717">
        <f t="shared" ref="E8:E9" si="1">IF(D8&lt;0,-((C8/D8)-1),(C8/D8)-1)*100</f>
        <v>11.678257151216442</v>
      </c>
      <c r="F8" s="737"/>
      <c r="H8" s="794"/>
    </row>
    <row r="9" spans="1:8" ht="14.5">
      <c r="A9" s="743"/>
      <c r="B9" s="743" t="s">
        <v>371</v>
      </c>
      <c r="C9" s="731">
        <v>9548</v>
      </c>
      <c r="D9" s="731">
        <v>-104</v>
      </c>
      <c r="E9" s="717">
        <f t="shared" si="1"/>
        <v>9280.7692307692305</v>
      </c>
      <c r="F9" s="737"/>
      <c r="H9" s="794"/>
    </row>
    <row r="10" spans="1:8" ht="14.5">
      <c r="A10" s="743"/>
      <c r="B10" s="743" t="s">
        <v>479</v>
      </c>
      <c r="C10" s="731">
        <v>5735</v>
      </c>
      <c r="D10" s="731">
        <v>5308</v>
      </c>
      <c r="E10" s="717">
        <f t="shared" ref="E10:E18" si="2">IF(D10&lt;0,-((C10/D10)-1),(C10/D10)-1)*100</f>
        <v>8.0444611906556052</v>
      </c>
      <c r="F10" s="737"/>
      <c r="H10" s="794"/>
    </row>
    <row r="11" spans="1:8" ht="14.5">
      <c r="A11" s="743"/>
      <c r="B11" s="795" t="s">
        <v>428</v>
      </c>
      <c r="C11" s="731">
        <v>4244</v>
      </c>
      <c r="D11" s="731">
        <v>3951</v>
      </c>
      <c r="E11" s="717">
        <f t="shared" si="2"/>
        <v>7.4158440901037626</v>
      </c>
      <c r="F11" s="737"/>
      <c r="H11" s="794"/>
    </row>
    <row r="12" spans="1:8" ht="14.5">
      <c r="A12" s="743"/>
      <c r="B12" s="743" t="s">
        <v>372</v>
      </c>
      <c r="C12" s="731">
        <v>3918</v>
      </c>
      <c r="D12" s="731">
        <v>5432</v>
      </c>
      <c r="E12" s="717">
        <f t="shared" si="2"/>
        <v>-27.871870397643594</v>
      </c>
      <c r="F12" s="737"/>
      <c r="H12" s="794"/>
    </row>
    <row r="13" spans="1:8" ht="14.5">
      <c r="A13" s="743"/>
      <c r="B13" s="743" t="s">
        <v>489</v>
      </c>
      <c r="C13" s="731">
        <v>1259</v>
      </c>
      <c r="D13" s="731">
        <v>-1164</v>
      </c>
      <c r="E13" s="717">
        <f t="shared" ref="E13" si="3">IF(D13&lt;0,-((C13/D13)-1),(C13/D13)-1)*100</f>
        <v>208.16151202749137</v>
      </c>
      <c r="F13" s="737"/>
      <c r="H13" s="794"/>
    </row>
    <row r="14" spans="1:8" ht="14.5">
      <c r="A14" s="743"/>
      <c r="B14" s="795" t="s">
        <v>443</v>
      </c>
      <c r="C14" s="731">
        <v>986</v>
      </c>
      <c r="D14" s="731">
        <v>858</v>
      </c>
      <c r="E14" s="717">
        <f t="shared" ref="E14:E16" si="4">IF(D14&lt;0,-((C14/D14)-1),(C14/D14)-1)*100</f>
        <v>14.918414918414925</v>
      </c>
      <c r="F14" s="737"/>
      <c r="H14" s="794"/>
    </row>
    <row r="15" spans="1:8" ht="14.5">
      <c r="A15" s="743"/>
      <c r="B15" s="795" t="s">
        <v>477</v>
      </c>
      <c r="C15" s="731">
        <v>984</v>
      </c>
      <c r="D15" s="731">
        <v>-758</v>
      </c>
      <c r="E15" s="717">
        <f t="shared" si="4"/>
        <v>229.81530343007915</v>
      </c>
      <c r="F15" s="737"/>
      <c r="H15" s="794"/>
    </row>
    <row r="16" spans="1:8" ht="14.5">
      <c r="A16" s="743"/>
      <c r="B16" s="795" t="s">
        <v>444</v>
      </c>
      <c r="C16" s="731">
        <v>762</v>
      </c>
      <c r="D16" s="731">
        <v>773</v>
      </c>
      <c r="E16" s="717">
        <f t="shared" si="4"/>
        <v>-1.4230271668822736</v>
      </c>
      <c r="F16" s="737"/>
      <c r="H16" s="794"/>
    </row>
    <row r="17" spans="1:8" ht="14.5">
      <c r="A17" s="743"/>
      <c r="B17" s="795" t="s">
        <v>430</v>
      </c>
      <c r="C17" s="731">
        <v>582</v>
      </c>
      <c r="D17" s="731">
        <v>558</v>
      </c>
      <c r="E17" s="717">
        <f t="shared" si="2"/>
        <v>4.3010752688172005</v>
      </c>
      <c r="F17" s="737"/>
      <c r="H17" s="794"/>
    </row>
    <row r="18" spans="1:8" ht="14.5">
      <c r="A18" s="743"/>
      <c r="B18" s="743" t="s">
        <v>474</v>
      </c>
      <c r="C18" s="731">
        <v>427</v>
      </c>
      <c r="D18" s="731">
        <v>3057</v>
      </c>
      <c r="E18" s="717">
        <f t="shared" si="2"/>
        <v>-86.032057572783771</v>
      </c>
      <c r="F18" s="737"/>
      <c r="H18" s="794"/>
    </row>
    <row r="19" spans="1:8">
      <c r="B19" s="796"/>
      <c r="C19" s="797"/>
      <c r="D19" s="797"/>
      <c r="E19" s="798"/>
      <c r="F19" s="718"/>
    </row>
    <row r="20" spans="1:8" ht="14.5">
      <c r="A20" s="743"/>
      <c r="B20" s="799" t="s">
        <v>350</v>
      </c>
      <c r="C20" s="800">
        <f>SUM(C7:C19)</f>
        <v>251197</v>
      </c>
      <c r="D20" s="800">
        <f>SUM(D7:D19)</f>
        <v>181265</v>
      </c>
      <c r="E20" s="801">
        <f>IF(D20&lt;0,-((C20/D20)-1),(C20/D20)-1)*100</f>
        <v>38.579979587896183</v>
      </c>
      <c r="F20" s="726"/>
      <c r="H20" s="794"/>
    </row>
    <row r="21" spans="1:8" ht="14">
      <c r="A21" s="743"/>
      <c r="B21" s="793"/>
      <c r="C21" s="802"/>
      <c r="D21" s="802"/>
      <c r="E21" s="738"/>
      <c r="F21" s="726"/>
    </row>
    <row r="22" spans="1:8" ht="14">
      <c r="A22" s="743"/>
      <c r="B22" s="726"/>
      <c r="C22" s="728"/>
      <c r="D22" s="728"/>
      <c r="E22" s="738"/>
      <c r="F22" s="726"/>
    </row>
    <row r="23" spans="1:8" ht="27" customHeight="1">
      <c r="B23" s="803"/>
      <c r="C23" s="793" t="s">
        <v>480</v>
      </c>
      <c r="D23" s="793" t="s">
        <v>438</v>
      </c>
      <c r="E23" s="804" t="s">
        <v>335</v>
      </c>
      <c r="F23" s="709"/>
    </row>
    <row r="24" spans="1:8" ht="14">
      <c r="B24" s="743" t="s">
        <v>488</v>
      </c>
      <c r="C24" s="731">
        <v>705</v>
      </c>
      <c r="D24" s="731">
        <v>1747</v>
      </c>
      <c r="E24" s="717">
        <f>IF(D24&lt;0,-((C24/D24)-1),(C24/D24)-1)*100</f>
        <v>-59.645105895821416</v>
      </c>
      <c r="F24" s="709"/>
    </row>
    <row r="25" spans="1:8" ht="14">
      <c r="B25" s="743" t="s">
        <v>476</v>
      </c>
      <c r="C25" s="731">
        <v>751</v>
      </c>
      <c r="D25" s="731">
        <v>751</v>
      </c>
      <c r="E25" s="717">
        <f>IF(D25&lt;0,-((C25/D25)-1),(C25/D25)-1)*100</f>
        <v>0</v>
      </c>
      <c r="F25" s="709"/>
    </row>
    <row r="26" spans="1:8" ht="14">
      <c r="B26" s="795" t="s">
        <v>478</v>
      </c>
      <c r="C26" s="731">
        <v>811</v>
      </c>
      <c r="D26" s="731">
        <v>961</v>
      </c>
      <c r="E26" s="717">
        <f t="shared" ref="E26:E28" si="5">IF(D26&lt;0,-((C26/D26)-1),(C26/D26)-1)*100</f>
        <v>-15.608740894901141</v>
      </c>
      <c r="F26" s="709"/>
    </row>
    <row r="27" spans="1:8" ht="14">
      <c r="B27" s="743" t="s">
        <v>442</v>
      </c>
      <c r="C27" s="731">
        <v>1092</v>
      </c>
      <c r="D27" s="731">
        <v>-988</v>
      </c>
      <c r="E27" s="717">
        <f t="shared" si="5"/>
        <v>210.52631578947373</v>
      </c>
      <c r="F27" s="709"/>
    </row>
    <row r="28" spans="1:8" ht="14">
      <c r="B28" s="743" t="s">
        <v>374</v>
      </c>
      <c r="C28" s="731">
        <v>1367</v>
      </c>
      <c r="D28" s="731">
        <v>-22513</v>
      </c>
      <c r="E28" s="717">
        <f t="shared" si="5"/>
        <v>106.07204726158218</v>
      </c>
      <c r="F28" s="709"/>
    </row>
    <row r="29" spans="1:8" ht="14">
      <c r="B29" s="743" t="s">
        <v>373</v>
      </c>
      <c r="C29" s="731">
        <v>2423</v>
      </c>
      <c r="D29" s="731">
        <v>8740</v>
      </c>
      <c r="E29" s="717">
        <f t="shared" ref="E29:E32" si="6">IF(D29&lt;0,-((C29/D29)-1),(C29/D29)-1)*100</f>
        <v>-72.276887871853546</v>
      </c>
      <c r="F29" s="709"/>
    </row>
    <row r="30" spans="1:8" ht="14">
      <c r="B30" s="795" t="s">
        <v>429</v>
      </c>
      <c r="C30" s="731">
        <v>4435</v>
      </c>
      <c r="D30" s="731">
        <v>2190</v>
      </c>
      <c r="E30" s="717">
        <f t="shared" si="6"/>
        <v>102.51141552511416</v>
      </c>
      <c r="F30" s="709"/>
    </row>
    <row r="31" spans="1:8" ht="14">
      <c r="B31" s="795" t="s">
        <v>370</v>
      </c>
      <c r="C31" s="731">
        <v>10592</v>
      </c>
      <c r="D31" s="731">
        <v>-26000</v>
      </c>
      <c r="E31" s="717">
        <f t="shared" si="6"/>
        <v>140.73846153846154</v>
      </c>
      <c r="F31" s="709"/>
    </row>
    <row r="32" spans="1:8" ht="14">
      <c r="B32" s="743" t="s">
        <v>375</v>
      </c>
      <c r="C32" s="731">
        <v>422</v>
      </c>
      <c r="D32" s="731">
        <f>-24-3</f>
        <v>-27</v>
      </c>
      <c r="E32" s="717">
        <f t="shared" si="6"/>
        <v>1662.962962962963</v>
      </c>
      <c r="F32" s="709"/>
    </row>
    <row r="33" spans="1:9" ht="14">
      <c r="B33" s="743"/>
      <c r="C33" s="731"/>
      <c r="D33" s="731"/>
      <c r="E33" s="717"/>
      <c r="F33" s="709"/>
    </row>
    <row r="34" spans="1:9" ht="19.5" customHeight="1">
      <c r="A34" s="743"/>
      <c r="B34" s="713" t="s">
        <v>352</v>
      </c>
      <c r="C34" s="801">
        <f>SUM(C24:C32)</f>
        <v>22598</v>
      </c>
      <c r="D34" s="801">
        <f>SUM(D24:D32)</f>
        <v>-35139</v>
      </c>
      <c r="E34" s="801">
        <f>IF(D34&lt;0,-((C34/D34)-1),(C34/D34)-1)*100</f>
        <v>164.31031048123168</v>
      </c>
      <c r="F34" s="726"/>
      <c r="I34" s="794"/>
    </row>
    <row r="35" spans="1:9" ht="14.5">
      <c r="A35" s="743"/>
      <c r="B35" s="726"/>
      <c r="C35" s="726"/>
      <c r="D35" s="726"/>
      <c r="E35" s="738"/>
      <c r="F35" s="726"/>
      <c r="G35" s="805"/>
      <c r="H35" s="794"/>
      <c r="I35" s="794"/>
    </row>
    <row r="36" spans="1:9" ht="14.5">
      <c r="A36" s="743"/>
      <c r="B36" s="713" t="s">
        <v>353</v>
      </c>
      <c r="C36" s="806">
        <f>C20-C34</f>
        <v>228599</v>
      </c>
      <c r="D36" s="806">
        <f>D20-D34</f>
        <v>216404</v>
      </c>
      <c r="E36" s="801">
        <f>IF(D36&lt;0,-((C36/D36)-1),(C36/D36)-1)*100</f>
        <v>5.6352932478142659</v>
      </c>
      <c r="F36" s="726"/>
      <c r="G36" s="805"/>
      <c r="H36" s="794"/>
      <c r="I36" s="794"/>
    </row>
    <row r="37" spans="1:9" ht="14.5">
      <c r="A37" s="743"/>
      <c r="B37" s="726"/>
      <c r="C37" s="726"/>
      <c r="D37" s="726"/>
      <c r="E37" s="726"/>
      <c r="F37" s="726"/>
      <c r="G37" s="805"/>
      <c r="H37" s="794"/>
      <c r="I37" s="794"/>
    </row>
    <row r="38" spans="1:9" ht="14">
      <c r="B38" s="731"/>
      <c r="C38" s="731">
        <f>+C36-'ER GA Cons Acum.'!C14</f>
        <v>0</v>
      </c>
      <c r="D38" s="731">
        <f>+D36-'ER GA Cons Acum.'!E14</f>
        <v>0</v>
      </c>
    </row>
    <row r="40" spans="1:9">
      <c r="B40" s="95" t="s">
        <v>641</v>
      </c>
      <c r="C40" s="732"/>
      <c r="D40" s="732"/>
    </row>
    <row r="41" spans="1:9">
      <c r="C41" s="732"/>
      <c r="D41" s="732"/>
    </row>
    <row r="42" spans="1:9">
      <c r="C42" s="857"/>
    </row>
  </sheetData>
  <conditionalFormatting sqref="G5:H5 G6:G18 G19:H19 G20 H23:H34">
    <cfRule type="expression" dxfId="1" priority="1">
      <formula>#REF!="Millones"</formula>
    </cfRule>
    <cfRule type="expression" dxfId="0" priority="2">
      <formula>#REF!="Miles"</formula>
    </cfRule>
  </conditionalFormatting>
  <pageMargins left="0.7" right="0.7" top="0.75" bottom="0.75" header="0.3" footer="0.3"/>
  <pageSetup paperSize="9" orientation="portrait" verticalDpi="597" r:id="rId1"/>
  <customProperties>
    <customPr name="EpmWorksheetKeyString_GUID" r:id="rId2"/>
  </customProperties>
  <ignoredErrors>
    <ignoredError sqref="C23:D23 C6:D6"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6DAE-704E-44BB-90CF-E000CDBCE9B2}">
  <dimension ref="A1:H66"/>
  <sheetViews>
    <sheetView showGridLines="0" topLeftCell="A9" zoomScale="90" zoomScaleNormal="90" workbookViewId="0">
      <selection activeCell="G1" sqref="G1"/>
    </sheetView>
  </sheetViews>
  <sheetFormatPr baseColWidth="10" defaultRowHeight="14.5"/>
  <cols>
    <col min="1" max="1" width="63.08984375" customWidth="1"/>
    <col min="2" max="2" width="8.26953125" hidden="1" customWidth="1"/>
    <col min="3" max="4" width="11.90625" bestFit="1" customWidth="1"/>
    <col min="5" max="6" width="4.7265625" hidden="1" customWidth="1"/>
  </cols>
  <sheetData>
    <row r="1" spans="1:8" ht="23">
      <c r="A1" s="872" t="s">
        <v>456</v>
      </c>
    </row>
    <row r="2" spans="1:8" ht="15">
      <c r="A2" s="873" t="s">
        <v>465</v>
      </c>
    </row>
    <row r="3" spans="1:8" ht="15">
      <c r="A3" s="979" t="s">
        <v>495</v>
      </c>
    </row>
    <row r="4" spans="1:8" ht="15" thickBot="1">
      <c r="A4" s="980" t="s">
        <v>652</v>
      </c>
    </row>
    <row r="5" spans="1:8" ht="15" thickBot="1">
      <c r="A5" s="980"/>
      <c r="B5" s="1168" t="s">
        <v>653</v>
      </c>
      <c r="C5" s="981">
        <v>2025</v>
      </c>
      <c r="D5" s="981">
        <v>2024</v>
      </c>
    </row>
    <row r="6" spans="1:8" ht="15" thickBot="1">
      <c r="A6" s="874" t="s">
        <v>376</v>
      </c>
      <c r="B6" s="1169"/>
      <c r="C6" s="808"/>
      <c r="D6" s="808"/>
    </row>
    <row r="7" spans="1:8" ht="15" thickBot="1">
      <c r="A7" s="874" t="s">
        <v>496</v>
      </c>
      <c r="B7" s="1168"/>
      <c r="C7" s="1028">
        <v>4303446</v>
      </c>
      <c r="D7" s="1171">
        <v>2808151</v>
      </c>
      <c r="E7" s="1032">
        <f>+C7-'ER GA separado Acum.'!C61</f>
        <v>0</v>
      </c>
      <c r="F7" s="1032">
        <f>+D7-'ER GA separado Acum.'!E61</f>
        <v>0</v>
      </c>
      <c r="G7" s="1032">
        <f>+C7-'ER GA separado Acum.'!C61</f>
        <v>0</v>
      </c>
      <c r="H7" s="1032">
        <f>+D7-'ER GA separado Acum.'!E61</f>
        <v>0</v>
      </c>
    </row>
    <row r="8" spans="1:8" ht="15" thickBot="1">
      <c r="A8" s="809" t="s">
        <v>416</v>
      </c>
      <c r="B8" s="1183"/>
      <c r="C8" s="1029"/>
      <c r="D8" s="1172"/>
    </row>
    <row r="9" spans="1:8">
      <c r="A9" s="819" t="s">
        <v>417</v>
      </c>
      <c r="B9" s="1173"/>
      <c r="C9" s="1030">
        <v>-158667</v>
      </c>
      <c r="D9" s="1030">
        <v>-271194</v>
      </c>
    </row>
    <row r="10" spans="1:8">
      <c r="A10" s="810" t="s">
        <v>431</v>
      </c>
      <c r="B10" s="1174"/>
      <c r="C10" s="1031">
        <v>-110220</v>
      </c>
      <c r="D10" s="1031">
        <v>354547</v>
      </c>
    </row>
    <row r="11" spans="1:8">
      <c r="A11" s="810" t="s">
        <v>466</v>
      </c>
      <c r="B11" s="1174">
        <v>21</v>
      </c>
      <c r="C11" s="1031">
        <v>-1639498</v>
      </c>
      <c r="D11" s="1031">
        <v>-3080410</v>
      </c>
    </row>
    <row r="12" spans="1:8">
      <c r="A12" s="810" t="s">
        <v>380</v>
      </c>
      <c r="B12" s="1174"/>
      <c r="C12" s="1031">
        <v>205368</v>
      </c>
      <c r="D12" s="1031">
        <v>87140</v>
      </c>
    </row>
    <row r="13" spans="1:8">
      <c r="A13" s="810" t="s">
        <v>654</v>
      </c>
      <c r="B13" s="1174"/>
      <c r="C13" s="1031">
        <v>4317</v>
      </c>
      <c r="D13" s="1031">
        <v>-172</v>
      </c>
    </row>
    <row r="14" spans="1:8">
      <c r="A14" s="810" t="s">
        <v>475</v>
      </c>
      <c r="B14" s="1174"/>
      <c r="C14" s="1031">
        <v>24</v>
      </c>
      <c r="D14" s="1031">
        <v>-79595</v>
      </c>
    </row>
    <row r="15" spans="1:8">
      <c r="A15" s="810" t="s">
        <v>655</v>
      </c>
      <c r="B15" s="1174"/>
      <c r="C15" s="1031">
        <v>-2796000</v>
      </c>
      <c r="D15" s="1031">
        <v>56609</v>
      </c>
    </row>
    <row r="16" spans="1:8">
      <c r="A16" s="807" t="s">
        <v>384</v>
      </c>
      <c r="B16" s="1174">
        <v>23</v>
      </c>
      <c r="C16" s="1031">
        <v>1928</v>
      </c>
      <c r="D16" s="1031">
        <v>2116</v>
      </c>
    </row>
    <row r="17" spans="1:6">
      <c r="A17" s="807" t="s">
        <v>418</v>
      </c>
      <c r="B17" s="1174"/>
      <c r="C17" s="1031">
        <v>1734</v>
      </c>
      <c r="D17" s="1031">
        <v>2239</v>
      </c>
    </row>
    <row r="18" spans="1:6">
      <c r="A18" s="807" t="s">
        <v>383</v>
      </c>
      <c r="B18" s="1174"/>
      <c r="C18" s="1031">
        <v>2538</v>
      </c>
      <c r="D18" s="1031">
        <v>0</v>
      </c>
    </row>
    <row r="19" spans="1:6">
      <c r="A19" s="810" t="s">
        <v>467</v>
      </c>
      <c r="B19" s="1174">
        <v>26</v>
      </c>
      <c r="C19" s="1031">
        <v>16836</v>
      </c>
      <c r="D19" s="1031">
        <v>-2834</v>
      </c>
    </row>
    <row r="20" spans="1:6">
      <c r="A20" s="810" t="s">
        <v>419</v>
      </c>
      <c r="B20" s="1174"/>
      <c r="C20" s="1031">
        <v>-3469</v>
      </c>
      <c r="D20" s="1031">
        <v>-4575</v>
      </c>
    </row>
    <row r="21" spans="1:6" ht="15" thickBot="1">
      <c r="A21" s="982"/>
      <c r="B21" s="1034"/>
      <c r="C21" s="1034">
        <f>SUM(C7:C20)</f>
        <v>-171663</v>
      </c>
      <c r="D21" s="1034">
        <f>+SUM(D7:D20)</f>
        <v>-127978</v>
      </c>
      <c r="E21" s="1032">
        <f>SUM(C7:C20)-C21</f>
        <v>0</v>
      </c>
      <c r="F21" s="1032">
        <f>SUM(D7:D20)-D21</f>
        <v>0</v>
      </c>
    </row>
    <row r="22" spans="1:6" ht="15" thickBot="1">
      <c r="A22" s="874" t="s">
        <v>386</v>
      </c>
      <c r="B22" s="1182"/>
      <c r="C22" s="1028"/>
      <c r="D22" s="1028"/>
    </row>
    <row r="23" spans="1:6">
      <c r="A23" s="810" t="s">
        <v>420</v>
      </c>
      <c r="B23" s="1174"/>
      <c r="C23" s="1031">
        <v>31956</v>
      </c>
      <c r="D23" s="1031">
        <v>-17140</v>
      </c>
    </row>
    <row r="24" spans="1:6">
      <c r="A24" s="810" t="s">
        <v>19</v>
      </c>
      <c r="B24" s="1174"/>
      <c r="C24" s="1031">
        <v>-49991</v>
      </c>
      <c r="D24" s="1031">
        <v>-10965</v>
      </c>
    </row>
    <row r="25" spans="1:6">
      <c r="A25" s="810" t="s">
        <v>276</v>
      </c>
      <c r="B25" s="1174"/>
      <c r="C25" s="1031">
        <v>-5059</v>
      </c>
      <c r="D25" s="1031">
        <v>-2098</v>
      </c>
    </row>
    <row r="26" spans="1:6">
      <c r="A26" s="810" t="s">
        <v>421</v>
      </c>
      <c r="B26" s="1174"/>
      <c r="C26" s="1031">
        <v>56012</v>
      </c>
      <c r="D26" s="1031">
        <v>11938</v>
      </c>
    </row>
    <row r="27" spans="1:6">
      <c r="A27" s="810" t="s">
        <v>432</v>
      </c>
      <c r="B27" s="1174">
        <v>15</v>
      </c>
      <c r="C27" s="1031">
        <v>-55</v>
      </c>
      <c r="D27" s="1031">
        <v>-30</v>
      </c>
    </row>
    <row r="28" spans="1:6" ht="15" thickBot="1">
      <c r="A28" s="815" t="s">
        <v>279</v>
      </c>
      <c r="B28" s="1184"/>
      <c r="C28" s="1035">
        <v>-19881</v>
      </c>
      <c r="D28" s="1035">
        <v>-7351</v>
      </c>
    </row>
    <row r="29" spans="1:6" ht="15" thickBot="1">
      <c r="A29" s="874" t="s">
        <v>497</v>
      </c>
      <c r="B29" s="1182"/>
      <c r="C29" s="1028">
        <f>+SUM(C21:C28)</f>
        <v>-158681</v>
      </c>
      <c r="D29" s="1028">
        <f>+SUM(D21:D28)</f>
        <v>-153624</v>
      </c>
      <c r="E29" s="1178">
        <f>SUM(C21:C28)-C29</f>
        <v>0</v>
      </c>
      <c r="F29" s="1178">
        <f>SUM(D21:D28)-D29</f>
        <v>0</v>
      </c>
    </row>
    <row r="30" spans="1:6">
      <c r="A30" s="810" t="s">
        <v>468</v>
      </c>
      <c r="B30" s="1174">
        <v>6</v>
      </c>
      <c r="C30" s="1031">
        <v>713404</v>
      </c>
      <c r="D30" s="1031">
        <v>491859</v>
      </c>
    </row>
    <row r="31" spans="1:6" ht="15" thickBot="1">
      <c r="A31" s="815" t="s">
        <v>656</v>
      </c>
      <c r="B31" s="1184"/>
      <c r="C31" s="1035">
        <v>-226552</v>
      </c>
      <c r="D31" s="1035">
        <v>18404</v>
      </c>
    </row>
    <row r="32" spans="1:6" ht="15" thickBot="1">
      <c r="A32" s="875" t="s">
        <v>422</v>
      </c>
      <c r="B32" s="1182"/>
      <c r="C32" s="1028">
        <f>+C29+C30+C31</f>
        <v>328171</v>
      </c>
      <c r="D32" s="1028">
        <f>+D29+D30+D31</f>
        <v>356639</v>
      </c>
      <c r="E32" s="1179">
        <f>SUM(C29:C31)-C32</f>
        <v>0</v>
      </c>
      <c r="F32" s="1179">
        <f>SUM(D29:D31)-D32</f>
        <v>0</v>
      </c>
    </row>
    <row r="33" spans="1:4" ht="15" thickBot="1">
      <c r="A33" s="875"/>
      <c r="B33" s="1170"/>
      <c r="C33" s="1028"/>
      <c r="D33" s="1028"/>
    </row>
    <row r="34" spans="1:4" ht="15" thickBot="1">
      <c r="A34" s="874" t="s">
        <v>391</v>
      </c>
      <c r="B34" s="1170"/>
      <c r="C34" s="1028"/>
      <c r="D34" s="1028"/>
    </row>
    <row r="35" spans="1:4">
      <c r="A35" s="810" t="s">
        <v>392</v>
      </c>
      <c r="B35" s="1175"/>
      <c r="C35" s="1031">
        <v>36683</v>
      </c>
      <c r="D35" s="1031">
        <v>81878</v>
      </c>
    </row>
    <row r="36" spans="1:4">
      <c r="A36" s="810" t="s">
        <v>469</v>
      </c>
      <c r="B36" s="1174"/>
      <c r="C36" s="1031">
        <v>0</v>
      </c>
      <c r="D36" s="1031">
        <v>-308</v>
      </c>
    </row>
    <row r="37" spans="1:4" hidden="1">
      <c r="A37" s="810" t="s">
        <v>657</v>
      </c>
      <c r="B37" s="1174"/>
      <c r="C37" s="1031">
        <v>0</v>
      </c>
      <c r="D37" s="1031">
        <v>0</v>
      </c>
    </row>
    <row r="38" spans="1:4">
      <c r="A38" s="810" t="s">
        <v>498</v>
      </c>
      <c r="B38" s="1185">
        <v>10</v>
      </c>
      <c r="C38" s="1031">
        <v>-4535</v>
      </c>
      <c r="D38" s="1031">
        <v>-4947</v>
      </c>
    </row>
    <row r="39" spans="1:4" hidden="1">
      <c r="A39" s="810" t="s">
        <v>658</v>
      </c>
      <c r="B39" s="1186">
        <v>11</v>
      </c>
      <c r="C39" s="1031">
        <v>0</v>
      </c>
      <c r="D39" s="1031">
        <v>0</v>
      </c>
    </row>
    <row r="40" spans="1:4">
      <c r="A40" s="814" t="s">
        <v>423</v>
      </c>
      <c r="B40" s="1174" t="s">
        <v>665</v>
      </c>
      <c r="C40" s="1031">
        <v>0</v>
      </c>
      <c r="D40" s="1031">
        <v>123532</v>
      </c>
    </row>
    <row r="41" spans="1:4">
      <c r="A41" s="814" t="s">
        <v>513</v>
      </c>
      <c r="B41" s="1174"/>
      <c r="C41" s="1031">
        <v>-1750</v>
      </c>
      <c r="D41" s="1031">
        <v>0</v>
      </c>
    </row>
    <row r="42" spans="1:4">
      <c r="A42" s="810" t="s">
        <v>499</v>
      </c>
      <c r="B42" s="1174"/>
      <c r="C42" s="1031">
        <v>15315</v>
      </c>
      <c r="D42" s="1031">
        <v>0</v>
      </c>
    </row>
    <row r="43" spans="1:4">
      <c r="A43" s="810" t="s">
        <v>401</v>
      </c>
      <c r="B43" s="1174"/>
      <c r="C43" s="1031">
        <v>-6</v>
      </c>
      <c r="D43" s="1031">
        <v>-470837</v>
      </c>
    </row>
    <row r="44" spans="1:4">
      <c r="A44" s="810" t="s">
        <v>402</v>
      </c>
      <c r="B44" s="1174"/>
      <c r="C44" s="1031">
        <v>118972</v>
      </c>
      <c r="D44" s="1031">
        <v>125274</v>
      </c>
    </row>
    <row r="45" spans="1:4">
      <c r="A45" s="810" t="s">
        <v>538</v>
      </c>
      <c r="B45" s="1174"/>
      <c r="C45" s="1031">
        <v>-6333</v>
      </c>
      <c r="D45" s="1031"/>
    </row>
    <row r="46" spans="1:4">
      <c r="A46" s="810" t="s">
        <v>659</v>
      </c>
      <c r="B46" s="807"/>
      <c r="C46" s="1187">
        <v>6333</v>
      </c>
      <c r="D46" s="1031">
        <v>10930</v>
      </c>
    </row>
    <row r="47" spans="1:4">
      <c r="A47" s="810" t="s">
        <v>660</v>
      </c>
      <c r="B47" s="807"/>
      <c r="C47" s="1187">
        <v>0</v>
      </c>
      <c r="D47" s="1187">
        <v>13474</v>
      </c>
    </row>
    <row r="48" spans="1:4" ht="15" thickBot="1">
      <c r="A48" s="983" t="s">
        <v>661</v>
      </c>
      <c r="B48" s="1176"/>
      <c r="C48" s="1034">
        <f>+SUM(C35:C47)</f>
        <v>164679</v>
      </c>
      <c r="D48" s="1034">
        <f>+SUM(D35:D47)</f>
        <v>-121004</v>
      </c>
    </row>
    <row r="49" spans="1:6" ht="15" thickBot="1">
      <c r="A49" s="874" t="s">
        <v>403</v>
      </c>
      <c r="B49" s="1177"/>
      <c r="C49" s="1035"/>
      <c r="D49" s="1035"/>
      <c r="E49" s="1178">
        <f>SUM(C35:C47)-C48</f>
        <v>0</v>
      </c>
      <c r="F49" s="1178">
        <f>SUM(D35:D47)-D48</f>
        <v>0</v>
      </c>
    </row>
    <row r="50" spans="1:6">
      <c r="A50" s="814" t="s">
        <v>457</v>
      </c>
      <c r="B50" s="1180">
        <v>26</v>
      </c>
      <c r="C50" s="1031">
        <v>-87803</v>
      </c>
      <c r="D50" s="1031">
        <v>-101543</v>
      </c>
    </row>
    <row r="51" spans="1:6">
      <c r="A51" s="814" t="s">
        <v>458</v>
      </c>
      <c r="B51" s="1180">
        <v>26</v>
      </c>
      <c r="C51" s="1031">
        <v>-9000</v>
      </c>
      <c r="D51" s="1031">
        <v>-13421</v>
      </c>
    </row>
    <row r="52" spans="1:6">
      <c r="A52" s="810" t="s">
        <v>500</v>
      </c>
      <c r="B52" s="1174">
        <v>40</v>
      </c>
      <c r="C52" s="1031">
        <v>-176423</v>
      </c>
      <c r="D52" s="1031">
        <v>-135062</v>
      </c>
    </row>
    <row r="53" spans="1:6">
      <c r="A53" s="810" t="s">
        <v>405</v>
      </c>
      <c r="B53" s="1174" t="s">
        <v>662</v>
      </c>
      <c r="C53" s="1031">
        <v>1502650</v>
      </c>
      <c r="D53" s="1031">
        <v>1107721</v>
      </c>
    </row>
    <row r="54" spans="1:6">
      <c r="A54" s="810" t="s">
        <v>406</v>
      </c>
      <c r="B54" s="1174" t="s">
        <v>662</v>
      </c>
      <c r="C54" s="1031">
        <v>-1132604</v>
      </c>
      <c r="D54" s="1031">
        <v>-927219</v>
      </c>
    </row>
    <row r="55" spans="1:6">
      <c r="A55" s="810" t="s">
        <v>407</v>
      </c>
      <c r="B55" s="1174" t="s">
        <v>662</v>
      </c>
      <c r="C55" s="1031">
        <v>-1566</v>
      </c>
      <c r="D55" s="1031">
        <v>-642</v>
      </c>
    </row>
    <row r="56" spans="1:6">
      <c r="A56" s="814" t="s">
        <v>408</v>
      </c>
      <c r="B56" s="1174">
        <v>16</v>
      </c>
      <c r="C56" s="1031">
        <v>-16665</v>
      </c>
      <c r="D56" s="1031">
        <v>-14608</v>
      </c>
    </row>
    <row r="57" spans="1:6">
      <c r="A57" s="810" t="s">
        <v>412</v>
      </c>
      <c r="B57" s="1174">
        <v>29</v>
      </c>
      <c r="C57" s="1031">
        <v>-315541</v>
      </c>
      <c r="D57" s="1031">
        <v>-299854</v>
      </c>
    </row>
    <row r="58" spans="1:6">
      <c r="A58" s="814" t="s">
        <v>413</v>
      </c>
      <c r="B58" s="1174">
        <v>29</v>
      </c>
      <c r="C58" s="1031">
        <v>-104427</v>
      </c>
      <c r="D58" s="1031">
        <v>-96235</v>
      </c>
    </row>
    <row r="59" spans="1:6">
      <c r="A59" s="810" t="s">
        <v>414</v>
      </c>
      <c r="B59" s="1174" t="s">
        <v>662</v>
      </c>
      <c r="C59" s="1031">
        <v>-150106</v>
      </c>
      <c r="D59" s="1031">
        <v>-170363</v>
      </c>
    </row>
    <row r="60" spans="1:6" ht="15" hidden="1" thickBot="1">
      <c r="A60" s="815" t="s">
        <v>415</v>
      </c>
      <c r="B60" s="1181"/>
      <c r="C60" s="1035" t="s">
        <v>186</v>
      </c>
      <c r="D60" s="1035" t="s">
        <v>186</v>
      </c>
    </row>
    <row r="61" spans="1:6" ht="15" thickBot="1">
      <c r="A61" s="983" t="s">
        <v>501</v>
      </c>
      <c r="B61" s="1182" t="s">
        <v>662</v>
      </c>
      <c r="C61" s="1028">
        <f>+SUM(C50:C60)</f>
        <v>-491485</v>
      </c>
      <c r="D61" s="1028">
        <f>+SUM(D50:D60)</f>
        <v>-651226</v>
      </c>
    </row>
    <row r="62" spans="1:6" ht="15" thickBot="1">
      <c r="A62" s="875" t="s">
        <v>663</v>
      </c>
      <c r="B62" s="1176"/>
      <c r="C62" s="1034">
        <f>+C61+C48+C32</f>
        <v>1365</v>
      </c>
      <c r="D62" s="1034">
        <f>+D61+D48+D32</f>
        <v>-415591</v>
      </c>
      <c r="E62" s="1179">
        <f>SUM(C50:C60)-C61</f>
        <v>0</v>
      </c>
      <c r="F62" s="1179">
        <f>SUM(D50:D60)-D61</f>
        <v>0</v>
      </c>
    </row>
    <row r="63" spans="1:6">
      <c r="A63" s="810" t="s">
        <v>424</v>
      </c>
      <c r="B63" s="1180">
        <v>6</v>
      </c>
      <c r="C63" s="1031">
        <v>17737</v>
      </c>
      <c r="D63" s="1031">
        <v>410865</v>
      </c>
    </row>
    <row r="64" spans="1:6" ht="23.5" thickBot="1">
      <c r="A64" s="876" t="s">
        <v>425</v>
      </c>
      <c r="B64" s="1177"/>
      <c r="C64" s="1035">
        <v>-448</v>
      </c>
      <c r="D64" s="1035">
        <v>8859</v>
      </c>
    </row>
    <row r="65" spans="1:8" ht="15" thickBot="1">
      <c r="A65" s="874" t="s">
        <v>664</v>
      </c>
      <c r="B65" s="1182">
        <v>6</v>
      </c>
      <c r="C65" s="1028">
        <f>+C62+C63+C64</f>
        <v>18654</v>
      </c>
      <c r="D65" s="1028">
        <f>+D62+D63+D64</f>
        <v>4133</v>
      </c>
      <c r="G65" s="1036">
        <f>+C65-'ESF GA Separado Q'!BM10</f>
        <v>0</v>
      </c>
      <c r="H65" s="1036">
        <f>+D65-'ESF GA Separado Q'!BH10</f>
        <v>0</v>
      </c>
    </row>
    <row r="66" spans="1:8">
      <c r="A66" s="877" t="s">
        <v>502</v>
      </c>
    </row>
  </sheetData>
  <pageMargins left="0.7" right="0.7" top="0.75" bottom="0.75" header="0.3" footer="0.3"/>
  <customProperties>
    <customPr name="EpmWorksheetKeyString_GU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37748-1F9A-49A1-B7C0-0E1F7D7EC7FC}">
  <dimension ref="A1:F77"/>
  <sheetViews>
    <sheetView showGridLines="0" tabSelected="1" workbookViewId="0">
      <selection activeCell="E7" sqref="E7"/>
    </sheetView>
  </sheetViews>
  <sheetFormatPr baseColWidth="10" defaultRowHeight="14.5"/>
  <cols>
    <col min="2" max="2" width="47.90625" customWidth="1"/>
  </cols>
  <sheetData>
    <row r="1" spans="1:6" ht="23">
      <c r="A1" s="1110" t="s">
        <v>583</v>
      </c>
    </row>
    <row r="2" spans="1:6" ht="18">
      <c r="A2" s="1008" t="s">
        <v>518</v>
      </c>
    </row>
    <row r="3" spans="1:6">
      <c r="A3" s="980" t="s">
        <v>675</v>
      </c>
    </row>
    <row r="4" spans="1:6" ht="15" thickBot="1"/>
    <row r="5" spans="1:6" ht="15" thickBot="1">
      <c r="B5" s="1009"/>
      <c r="C5" s="1010">
        <v>2025</v>
      </c>
      <c r="D5" s="1011">
        <v>2024</v>
      </c>
    </row>
    <row r="6" spans="1:6" ht="15" thickBot="1">
      <c r="B6" s="1012" t="s">
        <v>376</v>
      </c>
      <c r="C6" s="1013"/>
      <c r="D6" s="1111"/>
    </row>
    <row r="7" spans="1:6" ht="15" thickTop="1">
      <c r="B7" s="1014" t="s">
        <v>377</v>
      </c>
      <c r="C7" s="1112">
        <v>4110285</v>
      </c>
      <c r="D7" s="1113">
        <v>7339618</v>
      </c>
      <c r="E7" s="1036">
        <f>+C7-'ER GA Cons Acum.'!C60</f>
        <v>0</v>
      </c>
      <c r="F7" s="1036">
        <f>+D7-'ER GA Cons Acum.'!E60</f>
        <v>0</v>
      </c>
    </row>
    <row r="8" spans="1:6">
      <c r="B8" s="984" t="s">
        <v>378</v>
      </c>
      <c r="C8" s="1021"/>
      <c r="D8" s="1022"/>
    </row>
    <row r="9" spans="1:6">
      <c r="B9" s="984" t="s">
        <v>379</v>
      </c>
      <c r="C9" s="1114">
        <v>-3879</v>
      </c>
      <c r="D9" s="1115">
        <v>-21729</v>
      </c>
    </row>
    <row r="10" spans="1:6" ht="20">
      <c r="B10" s="984" t="s">
        <v>459</v>
      </c>
      <c r="C10" s="1114">
        <v>1486321</v>
      </c>
      <c r="D10" s="1115">
        <v>1327349</v>
      </c>
    </row>
    <row r="11" spans="1:6">
      <c r="B11" s="1015" t="s">
        <v>519</v>
      </c>
      <c r="C11" s="1114">
        <v>-228599</v>
      </c>
      <c r="D11" s="1115">
        <v>-2630751</v>
      </c>
    </row>
    <row r="12" spans="1:6">
      <c r="B12" s="984" t="s">
        <v>380</v>
      </c>
      <c r="C12" s="1114">
        <v>724389</v>
      </c>
      <c r="D12" s="1115">
        <v>1034812</v>
      </c>
    </row>
    <row r="13" spans="1:6" ht="20">
      <c r="B13" s="984" t="s">
        <v>381</v>
      </c>
      <c r="C13" s="1114">
        <v>18240</v>
      </c>
      <c r="D13" s="1115">
        <v>29187</v>
      </c>
    </row>
    <row r="14" spans="1:6">
      <c r="B14" s="984" t="s">
        <v>520</v>
      </c>
      <c r="C14" s="1114">
        <v>-4607578</v>
      </c>
      <c r="D14" s="1115">
        <v>-5873002</v>
      </c>
    </row>
    <row r="15" spans="1:6">
      <c r="B15" s="984" t="s">
        <v>521</v>
      </c>
      <c r="C15" s="1114">
        <v>-129340</v>
      </c>
      <c r="D15" s="1115">
        <v>23520</v>
      </c>
    </row>
    <row r="16" spans="1:6">
      <c r="B16" s="984" t="s">
        <v>382</v>
      </c>
      <c r="C16" s="1114">
        <v>33784</v>
      </c>
      <c r="D16" s="1115">
        <v>17084</v>
      </c>
    </row>
    <row r="17" spans="2:4">
      <c r="B17" s="984" t="s">
        <v>383</v>
      </c>
      <c r="C17" s="1114">
        <v>75755</v>
      </c>
      <c r="D17" s="1115">
        <v>8867</v>
      </c>
    </row>
    <row r="18" spans="2:4">
      <c r="B18" s="984" t="s">
        <v>384</v>
      </c>
      <c r="C18" s="1114">
        <v>661877</v>
      </c>
      <c r="D18" s="1115">
        <v>649634</v>
      </c>
    </row>
    <row r="19" spans="2:4" ht="20">
      <c r="B19" s="984" t="s">
        <v>460</v>
      </c>
      <c r="C19" s="1114">
        <v>-128245</v>
      </c>
      <c r="D19" s="1115">
        <v>-41817</v>
      </c>
    </row>
    <row r="20" spans="2:4">
      <c r="B20" s="1015" t="s">
        <v>385</v>
      </c>
      <c r="C20" s="1114">
        <v>-4276</v>
      </c>
      <c r="D20" s="1115">
        <v>-69289</v>
      </c>
    </row>
    <row r="21" spans="2:4" ht="15" thickBot="1">
      <c r="B21" s="1016"/>
      <c r="C21" s="1116">
        <v>2008734</v>
      </c>
      <c r="D21" s="1117">
        <v>1793483</v>
      </c>
    </row>
    <row r="22" spans="2:4">
      <c r="B22" s="1014" t="s">
        <v>386</v>
      </c>
      <c r="C22" s="1021"/>
      <c r="D22" s="1022"/>
    </row>
    <row r="23" spans="2:4">
      <c r="B23" s="984" t="s">
        <v>420</v>
      </c>
      <c r="C23" s="1114">
        <v>495986</v>
      </c>
      <c r="D23" s="1115">
        <v>-396710</v>
      </c>
    </row>
    <row r="24" spans="2:4">
      <c r="B24" s="984" t="s">
        <v>19</v>
      </c>
      <c r="C24" s="1114">
        <v>10473</v>
      </c>
      <c r="D24" s="1115">
        <v>325885</v>
      </c>
    </row>
    <row r="25" spans="2:4">
      <c r="B25" s="984" t="s">
        <v>276</v>
      </c>
      <c r="C25" s="1114">
        <v>-206510</v>
      </c>
      <c r="D25" s="1115">
        <v>99048</v>
      </c>
    </row>
    <row r="26" spans="2:4">
      <c r="B26" s="984" t="s">
        <v>278</v>
      </c>
      <c r="C26" s="1114">
        <v>-568958</v>
      </c>
      <c r="D26" s="1115">
        <v>-31405</v>
      </c>
    </row>
    <row r="27" spans="2:4">
      <c r="B27" s="984" t="s">
        <v>279</v>
      </c>
      <c r="C27" s="1114">
        <v>64299</v>
      </c>
      <c r="D27" s="1115">
        <v>22787</v>
      </c>
    </row>
    <row r="28" spans="2:4" ht="15" thickBot="1">
      <c r="B28" s="1017" t="s">
        <v>387</v>
      </c>
      <c r="C28" s="1116">
        <v>1804024</v>
      </c>
      <c r="D28" s="1117">
        <v>1813088</v>
      </c>
    </row>
    <row r="29" spans="2:4">
      <c r="B29" s="984" t="s">
        <v>388</v>
      </c>
      <c r="C29" s="1114">
        <v>-557114</v>
      </c>
      <c r="D29" s="1115">
        <v>-199966</v>
      </c>
    </row>
    <row r="30" spans="2:4">
      <c r="B30" s="984" t="s">
        <v>389</v>
      </c>
      <c r="C30" s="1114">
        <v>274258</v>
      </c>
      <c r="D30" s="1115">
        <v>280083</v>
      </c>
    </row>
    <row r="31" spans="2:4" ht="21.5" thickBot="1">
      <c r="B31" s="1017" t="s">
        <v>390</v>
      </c>
      <c r="C31" s="1116">
        <v>1521168</v>
      </c>
      <c r="D31" s="1117">
        <v>1893205</v>
      </c>
    </row>
    <row r="32" spans="2:4" ht="15" thickBot="1">
      <c r="B32" s="1012" t="s">
        <v>391</v>
      </c>
      <c r="C32" s="1118"/>
      <c r="D32" s="1012"/>
    </row>
    <row r="33" spans="2:4" ht="15" thickTop="1">
      <c r="B33" s="984" t="s">
        <v>392</v>
      </c>
      <c r="C33" s="1114">
        <v>382023</v>
      </c>
      <c r="D33" s="1115">
        <v>202709</v>
      </c>
    </row>
    <row r="34" spans="2:4">
      <c r="B34" s="984" t="s">
        <v>393</v>
      </c>
      <c r="C34" s="1114">
        <v>-819079</v>
      </c>
      <c r="D34" s="1115">
        <v>-1240136</v>
      </c>
    </row>
    <row r="35" spans="2:4">
      <c r="B35" s="984" t="s">
        <v>394</v>
      </c>
      <c r="C35" s="1114">
        <v>34273</v>
      </c>
      <c r="D35" s="1115">
        <v>31704</v>
      </c>
    </row>
    <row r="36" spans="2:4">
      <c r="B36" s="984" t="s">
        <v>395</v>
      </c>
      <c r="C36" s="1114">
        <v>-4535</v>
      </c>
      <c r="D36" s="1115">
        <v>-5543</v>
      </c>
    </row>
    <row r="37" spans="2:4">
      <c r="B37" s="984" t="s">
        <v>584</v>
      </c>
      <c r="C37" s="1021">
        <v>3149</v>
      </c>
      <c r="D37" s="1115">
        <v>17</v>
      </c>
    </row>
    <row r="38" spans="2:4">
      <c r="B38" s="984" t="s">
        <v>396</v>
      </c>
      <c r="C38" s="1114">
        <v>-15068</v>
      </c>
      <c r="D38" s="1115">
        <v>-6949</v>
      </c>
    </row>
    <row r="39" spans="2:4">
      <c r="B39" s="984" t="s">
        <v>397</v>
      </c>
      <c r="C39" s="1114">
        <v>383</v>
      </c>
      <c r="D39" s="1115">
        <v>1186</v>
      </c>
    </row>
    <row r="40" spans="2:4">
      <c r="B40" s="984" t="s">
        <v>398</v>
      </c>
      <c r="C40" s="1114">
        <v>-43799</v>
      </c>
      <c r="D40" s="1115">
        <v>-30</v>
      </c>
    </row>
    <row r="41" spans="2:4">
      <c r="B41" s="984" t="s">
        <v>399</v>
      </c>
      <c r="C41" s="1114">
        <v>12155</v>
      </c>
      <c r="D41" s="1115">
        <v>8448</v>
      </c>
    </row>
    <row r="42" spans="2:4">
      <c r="B42" s="984" t="s">
        <v>433</v>
      </c>
      <c r="C42" s="1191">
        <v>0</v>
      </c>
      <c r="D42" s="1115">
        <v>18716</v>
      </c>
    </row>
    <row r="43" spans="2:4">
      <c r="B43" s="984" t="s">
        <v>585</v>
      </c>
      <c r="C43" s="1114">
        <v>-137319</v>
      </c>
      <c r="D43" s="1115">
        <v>-202281</v>
      </c>
    </row>
    <row r="44" spans="2:4">
      <c r="B44" s="984" t="s">
        <v>400</v>
      </c>
      <c r="C44" s="1021">
        <v>452087</v>
      </c>
      <c r="D44" s="1115">
        <v>2404252</v>
      </c>
    </row>
    <row r="45" spans="2:4" ht="30">
      <c r="B45" s="984" t="s">
        <v>522</v>
      </c>
      <c r="C45" s="1114">
        <v>-286330</v>
      </c>
      <c r="D45" s="1115">
        <v>-15631</v>
      </c>
    </row>
    <row r="46" spans="2:4" ht="30">
      <c r="B46" s="984" t="s">
        <v>523</v>
      </c>
      <c r="C46" s="1114">
        <v>12068944</v>
      </c>
      <c r="D46" s="1115">
        <v>1269</v>
      </c>
    </row>
    <row r="47" spans="2:4">
      <c r="B47" s="984" t="s">
        <v>401</v>
      </c>
      <c r="C47" s="1114">
        <v>-8457272</v>
      </c>
      <c r="D47" s="1115">
        <v>-842302</v>
      </c>
    </row>
    <row r="48" spans="2:4">
      <c r="B48" s="984" t="s">
        <v>402</v>
      </c>
      <c r="C48" s="1114">
        <v>368333</v>
      </c>
      <c r="D48" s="1115">
        <v>259073</v>
      </c>
    </row>
    <row r="49" spans="2:4">
      <c r="B49" s="984" t="s">
        <v>503</v>
      </c>
      <c r="C49" s="1191">
        <v>0</v>
      </c>
      <c r="D49" s="1115">
        <v>15000</v>
      </c>
    </row>
    <row r="50" spans="2:4">
      <c r="B50" s="984" t="s">
        <v>586</v>
      </c>
      <c r="C50" s="1114">
        <v>1838</v>
      </c>
      <c r="D50" s="1115">
        <v>73774</v>
      </c>
    </row>
    <row r="51" spans="2:4">
      <c r="B51" s="984" t="s">
        <v>587</v>
      </c>
      <c r="C51" s="1114">
        <v>8563</v>
      </c>
      <c r="D51" s="1192">
        <v>0</v>
      </c>
    </row>
    <row r="52" spans="2:4" ht="21.5" thickBot="1">
      <c r="B52" s="1016" t="s">
        <v>524</v>
      </c>
      <c r="C52" s="1116">
        <v>3568346</v>
      </c>
      <c r="D52" s="1117">
        <v>703276</v>
      </c>
    </row>
    <row r="53" spans="2:4" ht="15" thickBot="1"/>
    <row r="54" spans="2:4" ht="15" thickBot="1">
      <c r="B54" s="1018" t="s">
        <v>403</v>
      </c>
      <c r="C54" s="1119">
        <v>2025</v>
      </c>
      <c r="D54" s="1120">
        <v>2024</v>
      </c>
    </row>
    <row r="55" spans="2:4">
      <c r="B55" s="984" t="s">
        <v>525</v>
      </c>
      <c r="C55" s="1114">
        <v>11</v>
      </c>
      <c r="D55" s="1115">
        <v>12</v>
      </c>
    </row>
    <row r="56" spans="2:4">
      <c r="B56" s="984" t="s">
        <v>461</v>
      </c>
      <c r="C56" s="1114">
        <v>-293124</v>
      </c>
      <c r="D56" s="1115">
        <v>-423651</v>
      </c>
    </row>
    <row r="57" spans="2:4">
      <c r="B57" s="984" t="s">
        <v>676</v>
      </c>
      <c r="C57" s="1191">
        <v>0</v>
      </c>
      <c r="D57" s="1115">
        <v>5000</v>
      </c>
    </row>
    <row r="58" spans="2:4">
      <c r="B58" s="984" t="s">
        <v>404</v>
      </c>
      <c r="C58" s="1114">
        <v>-470020</v>
      </c>
      <c r="D58" s="1115">
        <v>-363442</v>
      </c>
    </row>
    <row r="59" spans="2:4">
      <c r="B59" s="984" t="s">
        <v>526</v>
      </c>
      <c r="C59" s="1114">
        <v>3249863</v>
      </c>
      <c r="D59" s="1115">
        <v>3783407</v>
      </c>
    </row>
    <row r="60" spans="2:4">
      <c r="B60" s="984" t="s">
        <v>527</v>
      </c>
      <c r="C60" s="1114">
        <v>-2473637</v>
      </c>
      <c r="D60" s="1115">
        <v>-3507881</v>
      </c>
    </row>
    <row r="61" spans="2:4">
      <c r="B61" s="984" t="s">
        <v>407</v>
      </c>
      <c r="C61" s="1114">
        <v>-59845</v>
      </c>
      <c r="D61" s="1115">
        <v>-58541</v>
      </c>
    </row>
    <row r="62" spans="2:4" ht="20">
      <c r="B62" s="984" t="s">
        <v>408</v>
      </c>
      <c r="C62" s="1114">
        <v>-138305</v>
      </c>
      <c r="D62" s="1115">
        <v>-967</v>
      </c>
    </row>
    <row r="63" spans="2:4">
      <c r="B63" s="984" t="s">
        <v>409</v>
      </c>
      <c r="C63" s="1114">
        <v>-68427</v>
      </c>
      <c r="D63" s="1115">
        <v>-177028</v>
      </c>
    </row>
    <row r="64" spans="2:4">
      <c r="B64" s="984" t="s">
        <v>410</v>
      </c>
      <c r="C64" s="1114">
        <v>1984</v>
      </c>
      <c r="D64" s="1115">
        <v>6840</v>
      </c>
    </row>
    <row r="65" spans="2:6">
      <c r="B65" s="984" t="s">
        <v>411</v>
      </c>
      <c r="C65" s="1191">
        <v>0</v>
      </c>
      <c r="D65" s="1115">
        <v>13525</v>
      </c>
    </row>
    <row r="66" spans="2:6">
      <c r="B66" s="984" t="s">
        <v>412</v>
      </c>
      <c r="C66" s="1114">
        <v>-824236</v>
      </c>
      <c r="D66" s="1115">
        <v>-582764</v>
      </c>
    </row>
    <row r="67" spans="2:6">
      <c r="B67" s="984" t="s">
        <v>413</v>
      </c>
      <c r="C67" s="1114">
        <v>-104652</v>
      </c>
      <c r="D67" s="1115">
        <v>-120592</v>
      </c>
    </row>
    <row r="68" spans="2:6">
      <c r="B68" s="984" t="s">
        <v>414</v>
      </c>
      <c r="C68" s="1114">
        <v>-851807</v>
      </c>
      <c r="D68" s="1115">
        <v>-1099993</v>
      </c>
    </row>
    <row r="69" spans="2:6">
      <c r="B69" s="1015" t="s">
        <v>415</v>
      </c>
      <c r="C69" s="1114">
        <v>-59159</v>
      </c>
      <c r="D69" s="1115">
        <v>-57930</v>
      </c>
    </row>
    <row r="70" spans="2:6" ht="21.5" thickBot="1">
      <c r="B70" s="1017" t="s">
        <v>470</v>
      </c>
      <c r="C70" s="1116">
        <v>-2091354</v>
      </c>
      <c r="D70" s="1117">
        <v>-2584005</v>
      </c>
    </row>
    <row r="71" spans="2:6" ht="21.5" thickBot="1">
      <c r="B71" s="1012" t="s">
        <v>528</v>
      </c>
      <c r="C71" s="1121">
        <v>2998160</v>
      </c>
      <c r="D71" s="1122">
        <v>12476</v>
      </c>
    </row>
    <row r="72" spans="2:6" ht="20.5" thickTop="1">
      <c r="B72" s="1019" t="s">
        <v>434</v>
      </c>
      <c r="C72" s="1123">
        <v>1594457</v>
      </c>
      <c r="D72" s="1124">
        <v>2203464</v>
      </c>
    </row>
    <row r="73" spans="2:6" ht="20">
      <c r="B73" s="1019" t="s">
        <v>529</v>
      </c>
      <c r="C73" s="1125">
        <v>-133962</v>
      </c>
      <c r="D73" s="1126">
        <v>136114</v>
      </c>
    </row>
    <row r="74" spans="2:6" ht="32" thickBot="1">
      <c r="B74" s="1020" t="s">
        <v>435</v>
      </c>
      <c r="C74" s="1127">
        <v>4458655</v>
      </c>
      <c r="D74" s="1128">
        <v>2352054</v>
      </c>
    </row>
    <row r="75" spans="2:6" ht="20.5" thickTop="1">
      <c r="B75" s="1019" t="s">
        <v>436</v>
      </c>
      <c r="C75" s="1123">
        <v>529</v>
      </c>
      <c r="D75" s="1124">
        <v>678</v>
      </c>
    </row>
    <row r="76" spans="2:6" ht="42.5" thickBot="1">
      <c r="B76" s="1020" t="s">
        <v>437</v>
      </c>
      <c r="C76" s="1127">
        <v>4458126</v>
      </c>
      <c r="D76" s="1128">
        <v>2351376</v>
      </c>
      <c r="E76" s="1036">
        <f>+C76-'ESF GA Consol Q'!BO10</f>
        <v>0</v>
      </c>
      <c r="F76" s="1036">
        <f>+D76-'ESF GA Consol Q'!BJ10</f>
        <v>0</v>
      </c>
    </row>
    <row r="77" spans="2:6" ht="15" thickTop="1"/>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D308-287F-4EFF-849B-BF3DDE90996F}">
  <sheetPr>
    <tabColor rgb="FF00B0F0"/>
  </sheetPr>
  <dimension ref="A1:K17"/>
  <sheetViews>
    <sheetView workbookViewId="0">
      <selection activeCell="J4" sqref="J4"/>
    </sheetView>
  </sheetViews>
  <sheetFormatPr baseColWidth="10" defaultRowHeight="14.5"/>
  <cols>
    <col min="1" max="1" width="21.81640625" customWidth="1"/>
  </cols>
  <sheetData>
    <row r="1" spans="1:11" ht="16">
      <c r="A1" s="1057" t="s">
        <v>631</v>
      </c>
    </row>
    <row r="3" spans="1:11" ht="15" thickBot="1">
      <c r="A3" s="1076">
        <f>+'Resultados separados'!E5</f>
        <v>45901</v>
      </c>
      <c r="B3" s="1077" t="s">
        <v>561</v>
      </c>
      <c r="C3" s="1077" t="s">
        <v>562</v>
      </c>
      <c r="D3" s="1077" t="s">
        <v>563</v>
      </c>
      <c r="E3" s="1077" t="s">
        <v>564</v>
      </c>
      <c r="F3" s="1077" t="s">
        <v>565</v>
      </c>
      <c r="G3" s="1077" t="s">
        <v>566</v>
      </c>
      <c r="H3" s="1078" t="s">
        <v>567</v>
      </c>
      <c r="J3" s="1063" t="s">
        <v>570</v>
      </c>
      <c r="K3" s="1063" t="s">
        <v>571</v>
      </c>
    </row>
    <row r="4" spans="1:11">
      <c r="A4" s="1073" t="s">
        <v>568</v>
      </c>
      <c r="B4" s="1069">
        <f>+'Segmentos Sep'!C13</f>
        <v>3873645</v>
      </c>
      <c r="C4" s="1069">
        <f>+'Segmentos Sep'!F13</f>
        <v>4058091</v>
      </c>
      <c r="D4" s="1069">
        <f>+'Segmentos Sep'!J13</f>
        <v>173011</v>
      </c>
      <c r="E4" s="1069">
        <f>+'Segmentos Sep'!M13</f>
        <v>48035</v>
      </c>
      <c r="F4" s="1069">
        <f>+'Segmentos Sep'!U13</f>
        <v>279655</v>
      </c>
      <c r="G4" s="1069">
        <f>+'Segmentos Sep'!R13+'Segmentos Sep'!X13</f>
        <v>502263</v>
      </c>
      <c r="H4" s="1079">
        <f t="shared" ref="H4:H9" si="0">+SUM(B4:G4)</f>
        <v>8934700</v>
      </c>
      <c r="J4" s="1067">
        <f>+H4-'Segmentos Sep'!AA13</f>
        <v>0</v>
      </c>
      <c r="K4" s="1067">
        <f>+H4-'ER GA Cons Acum.'!C10</f>
        <v>0</v>
      </c>
    </row>
    <row r="5" spans="1:11">
      <c r="A5" s="1073" t="s">
        <v>132</v>
      </c>
      <c r="B5" s="1069">
        <f>+'Segmentos Sep'!C15</f>
        <v>1067370</v>
      </c>
      <c r="C5" s="1069">
        <f>+'Segmentos Sep'!F15</f>
        <v>1253253</v>
      </c>
      <c r="D5" s="1069">
        <f>+'Segmentos Sep'!J15</f>
        <v>128098</v>
      </c>
      <c r="E5" s="1069">
        <f>+'Segmentos Sep'!M15</f>
        <v>-6285</v>
      </c>
      <c r="F5" s="1069">
        <f>+'Segmentos Sep'!U15</f>
        <v>263521</v>
      </c>
      <c r="G5" s="1069">
        <f>+'Segmentos Sep'!R15+'Segmentos Sep'!X15</f>
        <v>-66532</v>
      </c>
      <c r="H5" s="1079">
        <f t="shared" si="0"/>
        <v>2639425</v>
      </c>
      <c r="J5" s="1067">
        <f>+H5-'Segmentos Sep'!AA15</f>
        <v>0</v>
      </c>
      <c r="K5" s="1067">
        <f>+H5-'ER GA Cons Acum.'!C24</f>
        <v>0</v>
      </c>
    </row>
    <row r="6" spans="1:11">
      <c r="A6" s="1073" t="s">
        <v>569</v>
      </c>
      <c r="B6" s="1069">
        <f>+'Segmentos Sep'!C18</f>
        <v>541161</v>
      </c>
      <c r="C6" s="1069">
        <f>+'Segmentos Sep'!F18</f>
        <v>940148</v>
      </c>
      <c r="D6" s="1069">
        <f>+'Segmentos Sep'!J18</f>
        <v>61738</v>
      </c>
      <c r="E6" s="1069">
        <f>+'Segmentos Sep'!M18</f>
        <v>-98739</v>
      </c>
      <c r="F6" s="1069">
        <f>+'Segmentos Sep'!U18</f>
        <v>197410</v>
      </c>
      <c r="G6" s="1069">
        <f>+'Segmentos Sep'!R18+'Segmentos Sep'!X18</f>
        <v>6448</v>
      </c>
      <c r="H6" s="1079">
        <f t="shared" si="0"/>
        <v>1648166</v>
      </c>
      <c r="J6" s="1067">
        <f>+H6-'Segmentos Sep'!AA18</f>
        <v>0</v>
      </c>
      <c r="K6" s="1067">
        <f>+H6-'ER GA Cons Acum.'!C40</f>
        <v>0</v>
      </c>
    </row>
    <row r="7" spans="1:11">
      <c r="A7" s="1073" t="s">
        <v>547</v>
      </c>
      <c r="B7" s="1069">
        <f>+'Segmentos Sep'!C21</f>
        <v>865746</v>
      </c>
      <c r="C7" s="1069">
        <f>+'Segmentos Sep'!F21</f>
        <v>1268815</v>
      </c>
      <c r="D7" s="1069">
        <f>+'Segmentos Sep'!J21</f>
        <v>62310</v>
      </c>
      <c r="E7" s="1069">
        <f>+'Segmentos Sep'!M21</f>
        <v>-95429</v>
      </c>
      <c r="F7" s="1069">
        <f>+'Segmentos Sep'!U21</f>
        <v>198985</v>
      </c>
      <c r="G7" s="1069">
        <f>+'Segmentos Sep'!R21+'Segmentos Sep'!X21</f>
        <v>9616</v>
      </c>
      <c r="H7" s="1079">
        <f t="shared" si="0"/>
        <v>2310043</v>
      </c>
      <c r="J7" s="1067">
        <f>+H7-'Segmentos Sep'!AA21</f>
        <v>0</v>
      </c>
      <c r="K7" s="1067">
        <f>+H7-'ER GA Cons Acum.'!C43</f>
        <v>0</v>
      </c>
    </row>
    <row r="8" spans="1:11">
      <c r="A8" s="1073" t="s">
        <v>152</v>
      </c>
      <c r="B8" s="1069">
        <f>+'Segmentos Sep'!C24</f>
        <v>2563131</v>
      </c>
      <c r="C8" s="1069">
        <f>+'Segmentos Sep'!F24</f>
        <v>302781</v>
      </c>
      <c r="D8" s="1069">
        <f>+'Segmentos Sep'!J24</f>
        <v>-141102</v>
      </c>
      <c r="E8" s="1069">
        <f>+'Segmentos Sep'!M24</f>
        <v>1195223</v>
      </c>
      <c r="F8" s="1069">
        <f>+'Segmentos Sep'!U24</f>
        <v>180297</v>
      </c>
      <c r="G8" s="1069">
        <f>+'Segmentos Sep'!R24+'Segmentos Sep'!X24</f>
        <v>9955</v>
      </c>
      <c r="H8" s="1079">
        <f t="shared" si="0"/>
        <v>4110285</v>
      </c>
      <c r="J8" s="1067">
        <f>+H8-'Segmentos Sep'!AA24</f>
        <v>0</v>
      </c>
      <c r="K8" s="1067">
        <f>+H8-'ER GA Cons Acum.'!C60</f>
        <v>0</v>
      </c>
    </row>
    <row r="9" spans="1:11">
      <c r="A9" s="1073" t="s">
        <v>155</v>
      </c>
      <c r="B9" s="1069">
        <f>+'Segmentos Sep'!C27</f>
        <v>1363684</v>
      </c>
      <c r="C9" s="1069">
        <f>+'Segmentos Sep'!F27</f>
        <v>101198</v>
      </c>
      <c r="D9" s="1069">
        <f>+'Segmentos Sep'!J27</f>
        <v>-141102</v>
      </c>
      <c r="E9" s="1069">
        <f>+'Segmentos Sep'!M27</f>
        <v>1129997</v>
      </c>
      <c r="F9" s="1069">
        <f>+'Segmentos Sep'!U27</f>
        <v>180103</v>
      </c>
      <c r="G9" s="1069">
        <f>+'Segmentos Sep'!R27+'Segmentos Sep'!X27</f>
        <v>9871</v>
      </c>
      <c r="H9" s="1079">
        <f t="shared" si="0"/>
        <v>2643751</v>
      </c>
      <c r="J9" s="1067">
        <f>+H9-'Segmentos Sep'!AA27</f>
        <v>0</v>
      </c>
      <c r="K9" s="1067">
        <f>+H9-'ER GA Cons Acum.'!C65</f>
        <v>0</v>
      </c>
    </row>
    <row r="10" spans="1:11">
      <c r="A10" s="1074"/>
      <c r="B10" s="1074"/>
      <c r="C10" s="1074"/>
      <c r="D10" s="1074"/>
      <c r="E10" s="1074"/>
      <c r="F10" s="1074"/>
      <c r="G10" s="1074"/>
      <c r="H10" s="1074"/>
    </row>
    <row r="11" spans="1:11" ht="15" thickBot="1">
      <c r="A11" s="1076">
        <f>+'Resultados separados'!F5</f>
        <v>45536</v>
      </c>
      <c r="B11" s="1077" t="s">
        <v>561</v>
      </c>
      <c r="C11" s="1077" t="s">
        <v>562</v>
      </c>
      <c r="D11" s="1077" t="s">
        <v>563</v>
      </c>
      <c r="E11" s="1077" t="s">
        <v>564</v>
      </c>
      <c r="F11" s="1077" t="s">
        <v>565</v>
      </c>
      <c r="G11" s="1077" t="s">
        <v>566</v>
      </c>
      <c r="H11" s="1078" t="s">
        <v>567</v>
      </c>
    </row>
    <row r="12" spans="1:11">
      <c r="A12" s="1073" t="s">
        <v>568</v>
      </c>
      <c r="B12" s="1080">
        <f>+'Segmentos Sep'!D13</f>
        <v>3973717</v>
      </c>
      <c r="C12" s="1080">
        <f>+'Segmentos Sep'!G13</f>
        <v>4703016</v>
      </c>
      <c r="D12" s="1080">
        <f>+'Segmentos Sep'!K13</f>
        <v>67940</v>
      </c>
      <c r="E12" s="1080">
        <f>+'Segmentos Sep'!N13</f>
        <v>28700</v>
      </c>
      <c r="F12" s="1080">
        <f>+'Segmentos Sep'!V13</f>
        <v>197039</v>
      </c>
      <c r="G12" s="1080">
        <f>+'Segmentos Sep'!S13+'Segmentos Sep'!Z13</f>
        <v>130389</v>
      </c>
      <c r="H12" s="1081">
        <f t="shared" ref="H12:H17" si="1">+SUM(B12:G12)</f>
        <v>9100801</v>
      </c>
      <c r="J12" s="1067">
        <f>+H12-'Segmentos Sep'!AB13</f>
        <v>0</v>
      </c>
      <c r="K12" s="1067">
        <f>+H12-'ER GA Cons Acum.'!E10</f>
        <v>0</v>
      </c>
    </row>
    <row r="13" spans="1:11">
      <c r="A13" s="1073" t="s">
        <v>132</v>
      </c>
      <c r="B13" s="1080">
        <f>+'Segmentos Sep'!D15</f>
        <v>1021862</v>
      </c>
      <c r="C13" s="1080">
        <f>+'Segmentos Sep'!G15</f>
        <v>1116440</v>
      </c>
      <c r="D13" s="1080">
        <f>+'Segmentos Sep'!K15</f>
        <v>4731</v>
      </c>
      <c r="E13" s="1080">
        <f>+'Segmentos Sep'!N15</f>
        <v>-2965</v>
      </c>
      <c r="F13" s="1080">
        <f>+'Segmentos Sep'!V15</f>
        <v>194920</v>
      </c>
      <c r="G13" s="1080">
        <f>+'Segmentos Sep'!S15+'Segmentos Sep'!Z15</f>
        <v>84558</v>
      </c>
      <c r="H13" s="1081">
        <f t="shared" si="1"/>
        <v>2419546</v>
      </c>
      <c r="J13" s="1067">
        <f>+H13-'Segmentos Sep'!AB15</f>
        <v>0</v>
      </c>
      <c r="K13" s="1067">
        <f>+H13-'ER GA Cons Acum.'!E24</f>
        <v>0</v>
      </c>
    </row>
    <row r="14" spans="1:11">
      <c r="A14" s="1073" t="s">
        <v>569</v>
      </c>
      <c r="B14" s="1080">
        <f>+'Segmentos Sep'!D18</f>
        <v>525397</v>
      </c>
      <c r="C14" s="1080">
        <f>+'Segmentos Sep'!G18</f>
        <v>790060</v>
      </c>
      <c r="D14" s="1080">
        <f>+'Segmentos Sep'!K18</f>
        <v>-46993</v>
      </c>
      <c r="E14" s="1080">
        <f>+'Segmentos Sep'!N18</f>
        <v>-40844</v>
      </c>
      <c r="F14" s="1080">
        <f>+'Segmentos Sep'!V18</f>
        <v>132350</v>
      </c>
      <c r="G14" s="1080">
        <f>+'Segmentos Sep'!S18+'Segmentos Sep'!Z18</f>
        <v>77773</v>
      </c>
      <c r="H14" s="1081">
        <f t="shared" si="1"/>
        <v>1437743</v>
      </c>
      <c r="J14" s="1067">
        <f>+H14-'Segmentos Sep'!AB18</f>
        <v>0</v>
      </c>
      <c r="K14" s="1067">
        <f>+H14-'ER GA Cons Acum.'!E40</f>
        <v>0</v>
      </c>
    </row>
    <row r="15" spans="1:11">
      <c r="A15" s="1073" t="s">
        <v>547</v>
      </c>
      <c r="B15" s="1080">
        <f>+'Segmentos Sep'!D21</f>
        <v>874091</v>
      </c>
      <c r="C15" s="1080">
        <f>+'Segmentos Sep'!G21</f>
        <v>1082143</v>
      </c>
      <c r="D15" s="1080">
        <f>+'Segmentos Sep'!K21</f>
        <v>-46380</v>
      </c>
      <c r="E15" s="1080">
        <f>+'Segmentos Sep'!N21</f>
        <v>-38477</v>
      </c>
      <c r="F15" s="1080">
        <f>+'Segmentos Sep'!V21</f>
        <v>134573</v>
      </c>
      <c r="G15" s="1080">
        <f>+'Segmentos Sep'!S21+'Segmentos Sep'!Z21</f>
        <v>81426</v>
      </c>
      <c r="H15" s="1081">
        <f t="shared" si="1"/>
        <v>2087376</v>
      </c>
      <c r="J15" s="1067">
        <f>+H15-'Segmentos Sep'!AB21</f>
        <v>0</v>
      </c>
      <c r="K15" s="1067">
        <f>+H15-'ER GA Cons Acum.'!E43</f>
        <v>0</v>
      </c>
    </row>
    <row r="16" spans="1:11">
      <c r="A16" s="1073" t="s">
        <v>152</v>
      </c>
      <c r="B16" s="1080">
        <f>+'Segmentos Sep'!D24</f>
        <v>5538664</v>
      </c>
      <c r="C16" s="1080">
        <f>+'Segmentos Sep'!G24</f>
        <v>280191</v>
      </c>
      <c r="D16" s="1080">
        <f>+'Segmentos Sep'!K24</f>
        <v>-173787</v>
      </c>
      <c r="E16" s="1080">
        <f>+'Segmentos Sep'!N24</f>
        <v>1557889</v>
      </c>
      <c r="F16" s="1080">
        <f>+'Segmentos Sep'!V24</f>
        <v>115863</v>
      </c>
      <c r="G16" s="1080">
        <f>+'Segmentos Sep'!S24+'Segmentos Sep'!Z24</f>
        <v>20798</v>
      </c>
      <c r="H16" s="1081">
        <f t="shared" si="1"/>
        <v>7339618</v>
      </c>
      <c r="J16" s="1067">
        <f>+H16-'Segmentos Sep'!AB24</f>
        <v>0</v>
      </c>
      <c r="K16" s="1067">
        <f>+H16-'ER GA Cons Acum.'!E60</f>
        <v>0</v>
      </c>
    </row>
    <row r="17" spans="1:11">
      <c r="A17" s="1073" t="s">
        <v>155</v>
      </c>
      <c r="B17" s="1080">
        <f>+'Segmentos Sep'!D27</f>
        <v>2838921</v>
      </c>
      <c r="C17" s="1080">
        <f>+'Segmentos Sep'!G27</f>
        <v>104289</v>
      </c>
      <c r="D17" s="1080">
        <f>+'Segmentos Sep'!K27</f>
        <v>-173787</v>
      </c>
      <c r="E17" s="1080">
        <f>+'Segmentos Sep'!N27</f>
        <v>1405497</v>
      </c>
      <c r="F17" s="1080">
        <f>+'Segmentos Sep'!V27</f>
        <v>115695</v>
      </c>
      <c r="G17" s="1080">
        <f>+'Segmentos Sep'!S27+'Segmentos Sep'!Z27</f>
        <v>20685</v>
      </c>
      <c r="H17" s="1081">
        <f t="shared" si="1"/>
        <v>4311300</v>
      </c>
      <c r="J17" s="1067">
        <f>+H17-'Segmentos Sep'!AB27</f>
        <v>0</v>
      </c>
      <c r="K17" s="1067">
        <f>+H17-'ER GA Cons Acum.'!E65</f>
        <v>0</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F39D-998B-4A45-B909-C17298BBE2FA}">
  <sheetPr>
    <tabColor rgb="FF00B0F0"/>
  </sheetPr>
  <dimension ref="A1:J56"/>
  <sheetViews>
    <sheetView workbookViewId="0">
      <selection activeCell="A20" sqref="A20"/>
    </sheetView>
  </sheetViews>
  <sheetFormatPr baseColWidth="10" defaultRowHeight="14.5"/>
  <cols>
    <col min="1" max="1" width="21.81640625" customWidth="1"/>
    <col min="10" max="10" width="12.7265625" bestFit="1" customWidth="1"/>
  </cols>
  <sheetData>
    <row r="1" spans="1:10" ht="16">
      <c r="A1" s="1057" t="s">
        <v>638</v>
      </c>
    </row>
    <row r="3" spans="1:10" ht="15" thickBot="1">
      <c r="A3" s="1076">
        <f>+'ER GA Consol Q'!CF8</f>
        <v>45901</v>
      </c>
      <c r="B3" s="1077" t="s">
        <v>561</v>
      </c>
      <c r="C3" s="1077" t="s">
        <v>562</v>
      </c>
      <c r="D3" s="1077" t="s">
        <v>563</v>
      </c>
      <c r="E3" s="1077" t="s">
        <v>564</v>
      </c>
      <c r="F3" s="1077" t="s">
        <v>565</v>
      </c>
      <c r="G3" s="1077" t="s">
        <v>566</v>
      </c>
      <c r="H3" s="1078" t="s">
        <v>567</v>
      </c>
      <c r="J3" s="1063" t="s">
        <v>637</v>
      </c>
    </row>
    <row r="4" spans="1:10">
      <c r="A4" s="1073" t="s">
        <v>568</v>
      </c>
      <c r="B4" s="1069">
        <f>+'Segmentos Sep'!C13-'Segmentos Jun'!C13</f>
        <v>1365552</v>
      </c>
      <c r="C4" s="1069">
        <f>+'Segmentos Sep'!F13-'Segmentos Jun'!F13</f>
        <v>1295236</v>
      </c>
      <c r="D4" s="1069">
        <f>+'Segmentos Sep'!J13-'Segmentos Jun'!J13</f>
        <v>63539</v>
      </c>
      <c r="E4" s="1069">
        <f>+'Segmentos Sep'!M13-'Segmentos Jun'!M13</f>
        <v>20616</v>
      </c>
      <c r="F4" s="1069">
        <f>+'Segmentos Sep'!U13-'Segmentos Jun'!U13</f>
        <v>118468</v>
      </c>
      <c r="G4" s="1069">
        <f>+'Segmentos Sep'!R13+'Segmentos Sep'!X13-'Segmentos Jun'!R13-'Segmentos Jun'!X13</f>
        <v>479618</v>
      </c>
      <c r="H4" s="1079">
        <f t="shared" ref="H4:H9" si="0">+SUM(B4:G4)</f>
        <v>3343029</v>
      </c>
      <c r="J4" s="1067">
        <f>+H4-'ER GA Consol Q'!CF10</f>
        <v>0</v>
      </c>
    </row>
    <row r="5" spans="1:10">
      <c r="A5" s="1073" t="s">
        <v>132</v>
      </c>
      <c r="B5" s="1069">
        <f>+'Segmentos Sep'!C15-'Segmentos Jun'!C15</f>
        <v>407800</v>
      </c>
      <c r="C5" s="1069">
        <f>+'Segmentos Sep'!F15-'Segmentos Jun'!F15</f>
        <v>366612</v>
      </c>
      <c r="D5" s="1069">
        <f>+'Segmentos Sep'!J15-'Segmentos Jun'!J15</f>
        <v>46163</v>
      </c>
      <c r="E5" s="1069">
        <f>+'Segmentos Sep'!M15-'Segmentos Jun'!M15</f>
        <v>-2213</v>
      </c>
      <c r="F5" s="1069">
        <f>+'Segmentos Sep'!U15-'Segmentos Jun'!U15</f>
        <v>113563</v>
      </c>
      <c r="G5" s="1069">
        <f>+'Segmentos Sep'!R15+'Segmentos Sep'!X15-'Segmentos Jun'!R15-'Segmentos Jun'!X15</f>
        <v>-68587</v>
      </c>
      <c r="H5" s="1079">
        <f t="shared" si="0"/>
        <v>863338</v>
      </c>
      <c r="J5" s="1067">
        <f>+H5-'ER GA Consol Q'!CF24</f>
        <v>0</v>
      </c>
    </row>
    <row r="6" spans="1:10">
      <c r="A6" s="1073" t="s">
        <v>569</v>
      </c>
      <c r="B6" s="1069">
        <f>+'Segmentos Sep'!C18-'Segmentos Jun'!C18</f>
        <v>260700</v>
      </c>
      <c r="C6" s="1069">
        <f>+'Segmentos Sep'!F18-'Segmentos Jun'!F18</f>
        <v>263314</v>
      </c>
      <c r="D6" s="1069">
        <f>+'Segmentos Sep'!J18-'Segmentos Jun'!J18</f>
        <v>38585</v>
      </c>
      <c r="E6" s="1069">
        <f>+'Segmentos Sep'!M18-'Segmentos Jun'!M18</f>
        <v>-36306</v>
      </c>
      <c r="F6" s="1069">
        <f>+'Segmentos Sep'!U18-'Segmentos Jun'!U18</f>
        <v>94691</v>
      </c>
      <c r="G6" s="1069">
        <f>+'Segmentos Sep'!R18+'Segmentos Sep'!X18-'Segmentos Jun'!R18-'Segmentos Jun'!X18</f>
        <v>8868</v>
      </c>
      <c r="H6" s="1079">
        <f t="shared" si="0"/>
        <v>629852</v>
      </c>
      <c r="J6" s="1067">
        <f>+H6-'ER GA Consol Q'!CF38</f>
        <v>0</v>
      </c>
    </row>
    <row r="7" spans="1:10">
      <c r="A7" s="1073" t="s">
        <v>547</v>
      </c>
      <c r="B7" s="1069">
        <f>+'Segmentos Sep'!C21-'Segmentos Jun'!C21</f>
        <v>365838</v>
      </c>
      <c r="C7" s="1069">
        <f>+'Segmentos Sep'!F21-'Segmentos Jun'!F21</f>
        <v>375934</v>
      </c>
      <c r="D7" s="1069">
        <f>+'Segmentos Sep'!J21-'Segmentos Jun'!J21</f>
        <v>38761</v>
      </c>
      <c r="E7" s="1069">
        <f>+'Segmentos Sep'!M21-'Segmentos Jun'!M21</f>
        <v>-35108</v>
      </c>
      <c r="F7" s="1069">
        <f>+'Segmentos Sep'!U21-'Segmentos Jun'!U21</f>
        <v>95234</v>
      </c>
      <c r="G7" s="1069">
        <f>+'Segmentos Sep'!R21+'Segmentos Sep'!X21-'Segmentos Jun'!R21-'Segmentos Jun'!X21</f>
        <v>9797</v>
      </c>
      <c r="H7" s="1079">
        <f t="shared" si="0"/>
        <v>850456</v>
      </c>
      <c r="J7" s="1067">
        <f>+H7-'ER GA Consol Q'!CF42</f>
        <v>0</v>
      </c>
    </row>
    <row r="8" spans="1:10">
      <c r="A8" s="1073" t="s">
        <v>152</v>
      </c>
      <c r="B8" s="1069">
        <f>+'Segmentos Sep'!C24-'Segmentos Jun'!C24</f>
        <v>284237</v>
      </c>
      <c r="C8" s="1069">
        <f>+'Segmentos Sep'!F24-'Segmentos Jun'!F24</f>
        <v>81370</v>
      </c>
      <c r="D8" s="1069">
        <f>+'Segmentos Sep'!J24-'Segmentos Jun'!J24</f>
        <v>-142568</v>
      </c>
      <c r="E8" s="1069">
        <f>+'Segmentos Sep'!M24-'Segmentos Jun'!M24</f>
        <v>1359501</v>
      </c>
      <c r="F8" s="1069">
        <f>+'Segmentos Sep'!U24-'Segmentos Jun'!U24</f>
        <v>90369</v>
      </c>
      <c r="G8" s="1069">
        <f>+'Segmentos Sep'!R24+'Segmentos Sep'!X24-'Segmentos Jun'!R24-'Segmentos Jun'!X24</f>
        <v>3703</v>
      </c>
      <c r="H8" s="1079">
        <f t="shared" si="0"/>
        <v>1676612</v>
      </c>
      <c r="J8" s="1067">
        <f>+H8-'ER GA Consol Q'!CF59</f>
        <v>0</v>
      </c>
    </row>
    <row r="9" spans="1:10">
      <c r="A9" s="1073" t="s">
        <v>155</v>
      </c>
      <c r="B9" s="1069">
        <f>+'Segmentos Sep'!C27-'Segmentos Jun'!C27</f>
        <v>143443</v>
      </c>
      <c r="C9" s="1069">
        <f>+'Segmentos Sep'!F27-'Segmentos Jun'!F27</f>
        <v>33100</v>
      </c>
      <c r="D9" s="1069">
        <f>+'Segmentos Sep'!J27-'Segmentos Jun'!J27</f>
        <v>-142568</v>
      </c>
      <c r="E9" s="1069">
        <f>+'Segmentos Sep'!M27-'Segmentos Jun'!M27</f>
        <v>1291140</v>
      </c>
      <c r="F9" s="1069">
        <f>+'Segmentos Sep'!U27-'Segmentos Jun'!U27</f>
        <v>90285</v>
      </c>
      <c r="G9" s="1069">
        <f>+'Segmentos Sep'!R27+'Segmentos Sep'!X27-'Segmentos Jun'!R27-'Segmentos Jun'!X27</f>
        <v>3668</v>
      </c>
      <c r="H9" s="1079">
        <f t="shared" si="0"/>
        <v>1419068</v>
      </c>
      <c r="J9" s="1067">
        <f>+H9-'ER GA Consol Q'!CF65</f>
        <v>0</v>
      </c>
    </row>
    <row r="10" spans="1:10">
      <c r="A10" s="1074"/>
      <c r="B10" s="1074"/>
      <c r="C10" s="1074"/>
      <c r="D10" s="1074"/>
      <c r="E10" s="1074"/>
      <c r="F10" s="1074"/>
      <c r="G10" s="1074"/>
      <c r="H10" s="1074"/>
    </row>
    <row r="11" spans="1:10" ht="15" thickBot="1">
      <c r="A11" s="1076" t="str">
        <f>+'ER GA Consol Q'!CA8</f>
        <v>Sep. 24 (*)</v>
      </c>
      <c r="B11" s="1077" t="s">
        <v>561</v>
      </c>
      <c r="C11" s="1077" t="s">
        <v>562</v>
      </c>
      <c r="D11" s="1077" t="s">
        <v>563</v>
      </c>
      <c r="E11" s="1077" t="s">
        <v>564</v>
      </c>
      <c r="F11" s="1077" t="s">
        <v>565</v>
      </c>
      <c r="G11" s="1077" t="s">
        <v>566</v>
      </c>
      <c r="H11" s="1078" t="s">
        <v>567</v>
      </c>
    </row>
    <row r="12" spans="1:10">
      <c r="A12" s="1073" t="s">
        <v>568</v>
      </c>
      <c r="B12" s="1080">
        <f>+'Segmentos Sep'!D13-'Segmentos Jun'!D13</f>
        <v>1330264</v>
      </c>
      <c r="C12" s="1080">
        <f>+'Segmentos Sep'!G13-'Segmentos Jun'!G13</f>
        <v>1406082</v>
      </c>
      <c r="D12" s="1080">
        <f>+'Segmentos Sep'!K13-'Segmentos Jun'!K13</f>
        <v>48503</v>
      </c>
      <c r="E12" s="1080">
        <f>+'Segmentos Sep'!N13-'Segmentos Jun'!N13</f>
        <v>9994</v>
      </c>
      <c r="F12" s="1080">
        <f>+'Segmentos Sep'!V13-'Segmentos Jun'!V13</f>
        <v>101668</v>
      </c>
      <c r="G12" s="1080">
        <f>+'Segmentos Sep'!S13+'Segmentos Sep'!Z13-'Segmentos Jun'!S13-'Segmentos Jun'!Z13</f>
        <v>49325</v>
      </c>
      <c r="H12" s="1081">
        <f t="shared" ref="H12:H17" si="1">+SUM(B12:G12)</f>
        <v>2945836</v>
      </c>
      <c r="J12" s="1067">
        <f>+H12-'ER GA Consol Q'!CA10</f>
        <v>0</v>
      </c>
    </row>
    <row r="13" spans="1:10">
      <c r="A13" s="1073" t="s">
        <v>132</v>
      </c>
      <c r="B13" s="1080">
        <f>+'Segmentos Sep'!D15-'Segmentos Jun'!D15</f>
        <v>360469</v>
      </c>
      <c r="C13" s="1080">
        <f>+'Segmentos Sep'!G15-'Segmentos Jun'!G15</f>
        <v>332056</v>
      </c>
      <c r="D13" s="1080">
        <f>+'Segmentos Sep'!K15-'Segmentos Jun'!K15</f>
        <v>25919</v>
      </c>
      <c r="E13" s="1080">
        <f>+'Segmentos Sep'!N15-'Segmentos Jun'!N15</f>
        <v>-2673</v>
      </c>
      <c r="F13" s="1080">
        <f>+'Segmentos Sep'!V15-'Segmentos Jun'!V15</f>
        <v>100990</v>
      </c>
      <c r="G13" s="1080">
        <f>+'Segmentos Sep'!S15+'Segmentos Sep'!Z15-'Segmentos Jun'!S15-'Segmentos Jun'!Z15</f>
        <v>37349</v>
      </c>
      <c r="H13" s="1081">
        <f t="shared" si="1"/>
        <v>854110</v>
      </c>
      <c r="J13" s="1067">
        <f>+H13-'ER GA Consol Q'!CA24</f>
        <v>0</v>
      </c>
    </row>
    <row r="14" spans="1:10">
      <c r="A14" s="1073" t="s">
        <v>569</v>
      </c>
      <c r="B14" s="1080">
        <f>+'Segmentos Sep'!D18-'Segmentos Jun'!D18</f>
        <v>186316</v>
      </c>
      <c r="C14" s="1080">
        <f>+'Segmentos Sep'!G18-'Segmentos Jun'!G18</f>
        <v>258250</v>
      </c>
      <c r="D14" s="1080">
        <f>+'Segmentos Sep'!K18-'Segmentos Jun'!K18</f>
        <v>16741</v>
      </c>
      <c r="E14" s="1080">
        <f>+'Segmentos Sep'!N18-'Segmentos Jun'!N18</f>
        <v>-29253</v>
      </c>
      <c r="F14" s="1080">
        <f>+'Segmentos Sep'!V18-'Segmentos Jun'!V18</f>
        <v>74771</v>
      </c>
      <c r="G14" s="1080">
        <f>+'Segmentos Sep'!S18+'Segmentos Sep'!Z18-'Segmentos Jun'!S18-'Segmentos Jun'!Z18</f>
        <v>34659</v>
      </c>
      <c r="H14" s="1081">
        <f t="shared" si="1"/>
        <v>541484</v>
      </c>
      <c r="J14" s="1067">
        <f>+H14-'ER GA Consol Q'!CA38</f>
        <v>0</v>
      </c>
    </row>
    <row r="15" spans="1:10">
      <c r="A15" s="1073" t="s">
        <v>547</v>
      </c>
      <c r="B15" s="1080">
        <f>+'Segmentos Sep'!D21-'Segmentos Jun'!D21</f>
        <v>316188</v>
      </c>
      <c r="C15" s="1080">
        <f>+'Segmentos Sep'!G21-'Segmentos Jun'!G21</f>
        <v>356717</v>
      </c>
      <c r="D15" s="1080">
        <f>+'Segmentos Sep'!K21-'Segmentos Jun'!K21</f>
        <v>16943</v>
      </c>
      <c r="E15" s="1080">
        <f>+'Segmentos Sep'!N21-'Segmentos Jun'!N21</f>
        <v>-28367</v>
      </c>
      <c r="F15" s="1080">
        <f>+'Segmentos Sep'!V21-'Segmentos Jun'!V21</f>
        <v>75380</v>
      </c>
      <c r="G15" s="1080">
        <f>+'Segmentos Sep'!S21+'Segmentos Sep'!Z21-'Segmentos Jun'!S21-'Segmentos Jun'!Z21</f>
        <v>35926</v>
      </c>
      <c r="H15" s="1081">
        <f t="shared" si="1"/>
        <v>772787</v>
      </c>
      <c r="J15" s="1067">
        <f>+H15-'ER GA Consol Q'!CA42</f>
        <v>0</v>
      </c>
    </row>
    <row r="16" spans="1:10">
      <c r="A16" s="1073" t="s">
        <v>152</v>
      </c>
      <c r="B16" s="1080">
        <f>+'Segmentos Sep'!D24-'Segmentos Jun'!D24</f>
        <v>142447</v>
      </c>
      <c r="C16" s="1080">
        <f>+'Segmentos Sep'!G24-'Segmentos Jun'!G24</f>
        <v>110521</v>
      </c>
      <c r="D16" s="1080">
        <f>+'Segmentos Sep'!K24-'Segmentos Jun'!K24</f>
        <v>15174</v>
      </c>
      <c r="E16" s="1080">
        <f>+'Segmentos Sep'!N24-'Segmentos Jun'!N24</f>
        <v>150019</v>
      </c>
      <c r="F16" s="1080">
        <f>+'Segmentos Sep'!V24-'Segmentos Jun'!V24</f>
        <v>69833</v>
      </c>
      <c r="G16" s="1080">
        <f>+'Segmentos Sep'!S24+'Segmentos Sep'!Z24-'Segmentos Jun'!S24-'Segmentos Jun'!Z24</f>
        <v>5563</v>
      </c>
      <c r="H16" s="1081">
        <f t="shared" si="1"/>
        <v>493557</v>
      </c>
      <c r="J16" s="1067">
        <f>+H16-'ER GA Consol Q'!CA59</f>
        <v>0</v>
      </c>
    </row>
    <row r="17" spans="1:10">
      <c r="A17" s="1073" t="s">
        <v>155</v>
      </c>
      <c r="B17" s="1080">
        <f>+'Segmentos Sep'!D27-'Segmentos Jun'!D27</f>
        <v>66449</v>
      </c>
      <c r="C17" s="1080">
        <f>+'Segmentos Sep'!G27-'Segmentos Jun'!G27</f>
        <v>40117</v>
      </c>
      <c r="D17" s="1080">
        <f>+'Segmentos Sep'!K27-'Segmentos Jun'!K27</f>
        <v>15174</v>
      </c>
      <c r="E17" s="1080">
        <f>+'Segmentos Sep'!N27-'Segmentos Jun'!N27</f>
        <v>134606</v>
      </c>
      <c r="F17" s="1080">
        <f>+'Segmentos Sep'!V27-'Segmentos Jun'!V27</f>
        <v>69733</v>
      </c>
      <c r="G17" s="1080">
        <f>+'Segmentos Sep'!S27+'Segmentos Sep'!Z27-'Segmentos Jun'!S27-'Segmentos Jun'!Z27</f>
        <v>5541</v>
      </c>
      <c r="H17" s="1081">
        <f t="shared" si="1"/>
        <v>331620</v>
      </c>
      <c r="J17" s="1067">
        <f>+H17-'ER GA Consol Q'!CA65</f>
        <v>0</v>
      </c>
    </row>
    <row r="20" spans="1:10" ht="15" thickBot="1">
      <c r="A20" s="1076">
        <f>+'ER GA Consol Q'!CE8</f>
        <v>45809</v>
      </c>
      <c r="B20" s="1077" t="s">
        <v>561</v>
      </c>
      <c r="C20" s="1077" t="s">
        <v>562</v>
      </c>
      <c r="D20" s="1077" t="s">
        <v>563</v>
      </c>
      <c r="E20" s="1077" t="s">
        <v>564</v>
      </c>
      <c r="F20" s="1077" t="s">
        <v>565</v>
      </c>
      <c r="G20" s="1077" t="s">
        <v>566</v>
      </c>
      <c r="H20" s="1078" t="s">
        <v>567</v>
      </c>
      <c r="J20" s="1063" t="s">
        <v>637</v>
      </c>
    </row>
    <row r="21" spans="1:10">
      <c r="A21" s="1073" t="s">
        <v>568</v>
      </c>
      <c r="B21" s="1069">
        <f>+'Segmentos Jun'!C13-'Segmentos Mar'!C13</f>
        <v>1282712</v>
      </c>
      <c r="C21" s="1069">
        <f>+'Segmentos Jun'!F13-'Segmentos Mar'!F13</f>
        <v>1314220</v>
      </c>
      <c r="D21" s="1069">
        <f>+'Segmentos Jun'!J13-'Segmentos Mar'!J13</f>
        <v>56974</v>
      </c>
      <c r="E21" s="1069">
        <f>+'Segmentos Jun'!M13-'Segmentos Mar'!M13</f>
        <v>9938</v>
      </c>
      <c r="F21" s="1069">
        <f>+'Segmentos Jun'!U13-'Segmentos Mar'!U13</f>
        <v>28855</v>
      </c>
      <c r="G21" s="1069">
        <f>+'Segmentos Jun'!R13+'Segmentos Jun'!X13-'Segmentos Mar'!R13-'Segmentos Mar'!X13</f>
        <v>-4157</v>
      </c>
      <c r="H21" s="1079">
        <f t="shared" ref="H21:H26" si="2">+SUM(B21:G21)</f>
        <v>2688542</v>
      </c>
      <c r="J21" s="1067">
        <f>+H21-'ER GA Consol Q'!CE10</f>
        <v>0</v>
      </c>
    </row>
    <row r="22" spans="1:10">
      <c r="A22" s="1073" t="s">
        <v>132</v>
      </c>
      <c r="B22" s="1069">
        <f>+'Segmentos Jun'!C15-'Segmentos Mar'!C15</f>
        <v>343231</v>
      </c>
      <c r="C22" s="1069">
        <f>+'Segmentos Jun'!F15-'Segmentos Mar'!F15</f>
        <v>423410</v>
      </c>
      <c r="D22" s="1069">
        <f>+'Segmentos Jun'!J15-'Segmentos Mar'!J15</f>
        <v>40310</v>
      </c>
      <c r="E22" s="1069">
        <f>+'Segmentos Jun'!M15-'Segmentos Mar'!M15</f>
        <v>-2396</v>
      </c>
      <c r="F22" s="1069">
        <f>+'Segmentos Jun'!U15-'Segmentos Mar'!U15</f>
        <v>22553</v>
      </c>
      <c r="G22" s="1069">
        <f>+'Segmentos Jun'!R15+'Segmentos Jun'!X15-'Segmentos Mar'!R15-'Segmentos Mar'!X15</f>
        <v>-1935</v>
      </c>
      <c r="H22" s="1079">
        <f t="shared" si="2"/>
        <v>825173</v>
      </c>
      <c r="J22" s="1067">
        <f>+H22-'ER GA Consol Q'!CE24</f>
        <v>0</v>
      </c>
    </row>
    <row r="23" spans="1:10">
      <c r="A23" s="1073" t="s">
        <v>569</v>
      </c>
      <c r="B23" s="1069">
        <f>+'Segmentos Jun'!C18-'Segmentos Mar'!C18</f>
        <v>127732</v>
      </c>
      <c r="C23" s="1069">
        <f>+'Segmentos Jun'!F18-'Segmentos Mar'!F18</f>
        <v>321640</v>
      </c>
      <c r="D23" s="1069">
        <f>+'Segmentos Jun'!J18-'Segmentos Mar'!J18</f>
        <v>20902</v>
      </c>
      <c r="E23" s="1069">
        <f>+'Segmentos Jun'!M18-'Segmentos Mar'!M18</f>
        <v>-33874</v>
      </c>
      <c r="F23" s="1069">
        <f>+'Segmentos Jun'!U18-'Segmentos Mar'!U18</f>
        <v>-7673</v>
      </c>
      <c r="G23" s="1069">
        <f>+'Segmentos Jun'!R18+'Segmentos Jun'!X18-'Segmentos Mar'!R18-'Segmentos Mar'!X18</f>
        <v>-3961</v>
      </c>
      <c r="H23" s="1079">
        <f t="shared" si="2"/>
        <v>424766</v>
      </c>
      <c r="J23" s="1067">
        <f>+H23-'ER GA Consol Q'!CE38</f>
        <v>0</v>
      </c>
    </row>
    <row r="24" spans="1:10">
      <c r="A24" s="1073" t="s">
        <v>547</v>
      </c>
      <c r="B24" s="1069">
        <f>+'Segmentos Jun'!C21-'Segmentos Mar'!C21</f>
        <v>238203</v>
      </c>
      <c r="C24" s="1069">
        <f>+'Segmentos Jun'!F21-'Segmentos Mar'!F21</f>
        <v>434639</v>
      </c>
      <c r="D24" s="1069">
        <f>+'Segmentos Jun'!J21-'Segmentos Mar'!J21</f>
        <v>21101</v>
      </c>
      <c r="E24" s="1069">
        <f>+'Segmentos Jun'!M21-'Segmentos Mar'!M21</f>
        <v>-33145</v>
      </c>
      <c r="F24" s="1069">
        <f>+'Segmentos Jun'!U21-'Segmentos Mar'!U21</f>
        <v>-7137</v>
      </c>
      <c r="G24" s="1069">
        <f>+'Segmentos Jun'!R21+'Segmentos Jun'!X21-'Segmentos Mar'!R21-'Segmentos Mar'!X21</f>
        <v>-2851</v>
      </c>
      <c r="H24" s="1079">
        <f t="shared" si="2"/>
        <v>650810</v>
      </c>
      <c r="J24" s="1067">
        <f>+H24-'ER GA Consol Q'!CE42</f>
        <v>0</v>
      </c>
    </row>
    <row r="25" spans="1:10">
      <c r="A25" s="1073" t="s">
        <v>152</v>
      </c>
      <c r="B25" s="1069">
        <f>+'Segmentos Jun'!C24-'Segmentos Mar'!C24</f>
        <v>174582</v>
      </c>
      <c r="C25" s="1069">
        <f>+'Segmentos Jun'!F24-'Segmentos Mar'!F24</f>
        <v>112476</v>
      </c>
      <c r="D25" s="1069">
        <f>+'Segmentos Jun'!J24-'Segmentos Mar'!J24</f>
        <v>11504</v>
      </c>
      <c r="E25" s="1069">
        <f>+'Segmentos Jun'!M24-'Segmentos Mar'!M24</f>
        <v>-90343</v>
      </c>
      <c r="F25" s="1069">
        <f>+'Segmentos Jun'!U24-'Segmentos Mar'!U24</f>
        <v>-10713</v>
      </c>
      <c r="G25" s="1069">
        <f>+'Segmentos Jun'!R24+'Segmentos Jun'!X24-'Segmentos Mar'!R24-'Segmentos Mar'!X24</f>
        <v>2520</v>
      </c>
      <c r="H25" s="1079">
        <f t="shared" si="2"/>
        <v>200026</v>
      </c>
      <c r="J25" s="1067">
        <f>+H25-'ER GA Consol Q'!CE59</f>
        <v>0</v>
      </c>
    </row>
    <row r="26" spans="1:10">
      <c r="A26" s="1073" t="s">
        <v>155</v>
      </c>
      <c r="B26" s="1069">
        <f>+'Segmentos Jun'!C27-'Segmentos Mar'!C27</f>
        <v>87582</v>
      </c>
      <c r="C26" s="1069">
        <f>+'Segmentos Jun'!F27-'Segmentos Mar'!F27</f>
        <v>36151</v>
      </c>
      <c r="D26" s="1069">
        <f>+'Segmentos Jun'!J27-'Segmentos Mar'!J27</f>
        <v>11504</v>
      </c>
      <c r="E26" s="1069">
        <f>+'Segmentos Jun'!M27-'Segmentos Mar'!M27</f>
        <v>-88120</v>
      </c>
      <c r="F26" s="1069">
        <f>+'Segmentos Jun'!U27-'Segmentos Mar'!U27</f>
        <v>-10733</v>
      </c>
      <c r="G26" s="1069">
        <f>+'Segmentos Jun'!R27+'Segmentos Jun'!X27-'Segmentos Mar'!R27-'Segmentos Mar'!X27</f>
        <v>2501</v>
      </c>
      <c r="H26" s="1079">
        <f t="shared" si="2"/>
        <v>38885</v>
      </c>
      <c r="J26" s="1067">
        <f>+H26-'ER GA Consol Q'!CE65</f>
        <v>0</v>
      </c>
    </row>
    <row r="27" spans="1:10">
      <c r="A27" s="1074"/>
      <c r="B27" s="1074"/>
      <c r="C27" s="1074"/>
      <c r="D27" s="1074"/>
      <c r="E27" s="1074"/>
      <c r="F27" s="1074"/>
      <c r="G27" s="1074"/>
      <c r="H27" s="1074"/>
    </row>
    <row r="28" spans="1:10" ht="15" thickBot="1">
      <c r="A28" s="1076" t="str">
        <f>+'ER GA Consol Q'!BY8</f>
        <v>Jun. 24 (*)</v>
      </c>
      <c r="B28" s="1077" t="s">
        <v>561</v>
      </c>
      <c r="C28" s="1077" t="s">
        <v>562</v>
      </c>
      <c r="D28" s="1077" t="s">
        <v>563</v>
      </c>
      <c r="E28" s="1077" t="s">
        <v>564</v>
      </c>
      <c r="F28" s="1077" t="s">
        <v>565</v>
      </c>
      <c r="G28" s="1077" t="s">
        <v>566</v>
      </c>
      <c r="H28" s="1078" t="s">
        <v>567</v>
      </c>
    </row>
    <row r="29" spans="1:10">
      <c r="A29" s="1073" t="s">
        <v>568</v>
      </c>
      <c r="B29" s="1080">
        <f>+'Segmentos Jun'!D13-'Segmentos Mar'!D13</f>
        <v>1340828</v>
      </c>
      <c r="C29" s="1080">
        <f>+'Segmentos Jun'!G13-'Segmentos Mar'!G13</f>
        <v>1923369</v>
      </c>
      <c r="D29" s="1080">
        <f>+'Segmentos Jun'!K13-'Segmentos Mar'!K13</f>
        <v>65541</v>
      </c>
      <c r="E29" s="1080">
        <f>+'Segmentos Jun'!N13-'Segmentos Mar'!N13</f>
        <v>8466</v>
      </c>
      <c r="F29" s="1080">
        <f>+'Segmentos Jun'!V13-'Segmentos Mar'!V13</f>
        <v>61358</v>
      </c>
      <c r="G29" s="1080">
        <f>+'Segmentos Jun'!S13+'Segmentos Jun'!Z13-'Segmentos Mar'!S13-'Segmentos Mar'!Z13</f>
        <v>37397</v>
      </c>
      <c r="H29" s="1081">
        <f t="shared" ref="H29:H34" si="3">+SUM(B29:G29)</f>
        <v>3436959</v>
      </c>
      <c r="J29" s="1067">
        <f>+H29-'ER GA Consol Q'!BY10</f>
        <v>0</v>
      </c>
    </row>
    <row r="30" spans="1:10">
      <c r="A30" s="1073" t="s">
        <v>132</v>
      </c>
      <c r="B30" s="1080">
        <f>+'Segmentos Jun'!D15-'Segmentos Mar'!D15</f>
        <v>329371</v>
      </c>
      <c r="C30" s="1080">
        <f>+'Segmentos Jun'!G15-'Segmentos Mar'!G15</f>
        <v>467435</v>
      </c>
      <c r="D30" s="1080">
        <f>+'Segmentos Jun'!K15-'Segmentos Mar'!K15</f>
        <v>41265</v>
      </c>
      <c r="E30" s="1080">
        <f>+'Segmentos Jun'!N15-'Segmentos Mar'!N15</f>
        <v>-1716</v>
      </c>
      <c r="F30" s="1080">
        <f>+'Segmentos Jun'!V15-'Segmentos Mar'!V15</f>
        <v>60510</v>
      </c>
      <c r="G30" s="1080">
        <f>+'Segmentos Jun'!S15+'Segmentos Jun'!Z15-'Segmentos Mar'!S15-'Segmentos Mar'!Z15</f>
        <v>18109</v>
      </c>
      <c r="H30" s="1081">
        <f t="shared" si="3"/>
        <v>914974</v>
      </c>
      <c r="J30" s="1067">
        <f>+H30-'ER GA Consol Q'!BY24</f>
        <v>0</v>
      </c>
    </row>
    <row r="31" spans="1:10">
      <c r="A31" s="1073" t="s">
        <v>569</v>
      </c>
      <c r="B31" s="1080">
        <f>+'Segmentos Jun'!D18-'Segmentos Mar'!D18</f>
        <v>150832</v>
      </c>
      <c r="C31" s="1080">
        <f>+'Segmentos Jun'!G18-'Segmentos Mar'!G18</f>
        <v>332945</v>
      </c>
      <c r="D31" s="1080">
        <f>+'Segmentos Jun'!K18-'Segmentos Mar'!K18</f>
        <v>26120</v>
      </c>
      <c r="E31" s="1080">
        <f>+'Segmentos Jun'!N18-'Segmentos Mar'!N18</f>
        <v>-18332</v>
      </c>
      <c r="F31" s="1080">
        <f>+'Segmentos Jun'!V18-'Segmentos Mar'!V18</f>
        <v>42110</v>
      </c>
      <c r="G31" s="1080">
        <f>+'Segmentos Jun'!S18+'Segmentos Jun'!Z18-'Segmentos Mar'!S18-'Segmentos Mar'!Z18</f>
        <v>16061</v>
      </c>
      <c r="H31" s="1081">
        <f t="shared" si="3"/>
        <v>549736</v>
      </c>
      <c r="J31" s="1067">
        <f>+H31-'ER GA Consol Q'!BY38</f>
        <v>0</v>
      </c>
    </row>
    <row r="32" spans="1:10">
      <c r="A32" s="1073" t="s">
        <v>547</v>
      </c>
      <c r="B32" s="1080">
        <f>+'Segmentos Jun'!D21-'Segmentos Mar'!D21</f>
        <v>266590</v>
      </c>
      <c r="C32" s="1080">
        <f>+'Segmentos Jun'!G21-'Segmentos Mar'!G21</f>
        <v>429710</v>
      </c>
      <c r="D32" s="1080">
        <f>+'Segmentos Jun'!K21-'Segmentos Mar'!K21</f>
        <v>26317</v>
      </c>
      <c r="E32" s="1080">
        <f>+'Segmentos Jun'!N21-'Segmentos Mar'!N21</f>
        <v>-17596</v>
      </c>
      <c r="F32" s="1080">
        <f>+'Segmentos Jun'!V21-'Segmentos Mar'!V21</f>
        <v>42835</v>
      </c>
      <c r="G32" s="1080">
        <f>+'Segmentos Jun'!S21+'Segmentos Jun'!Z21-'Segmentos Mar'!S21-'Segmentos Mar'!Z21</f>
        <v>17235</v>
      </c>
      <c r="H32" s="1081">
        <f t="shared" si="3"/>
        <v>765091</v>
      </c>
      <c r="J32" s="1067">
        <f>+H32-'ER GA Consol Q'!BY42</f>
        <v>0</v>
      </c>
    </row>
    <row r="33" spans="1:10">
      <c r="A33" s="1073" t="s">
        <v>152</v>
      </c>
      <c r="B33" s="1080">
        <f>+'Segmentos Jun'!D24-'Segmentos Mar'!D24</f>
        <v>100187</v>
      </c>
      <c r="C33" s="1080">
        <f>+'Segmentos Jun'!G24-'Segmentos Mar'!G24</f>
        <v>140214</v>
      </c>
      <c r="D33" s="1080">
        <f>+'Segmentos Jun'!K24-'Segmentos Mar'!K24</f>
        <v>6735</v>
      </c>
      <c r="E33" s="1080">
        <f>+'Segmentos Jun'!N24-'Segmentos Mar'!N24</f>
        <v>46520</v>
      </c>
      <c r="F33" s="1080">
        <f>+'Segmentos Jun'!V24-'Segmentos Mar'!V24</f>
        <v>35665</v>
      </c>
      <c r="G33" s="1080">
        <f>+'Segmentos Jun'!S24+'Segmentos Jun'!Z24-'Segmentos Mar'!S24-'Segmentos Mar'!Z24+1</f>
        <v>7341</v>
      </c>
      <c r="H33" s="1081">
        <f t="shared" si="3"/>
        <v>336662</v>
      </c>
      <c r="J33" s="1067">
        <f>+H33-'ER GA Consol Q'!BY59</f>
        <v>0</v>
      </c>
    </row>
    <row r="34" spans="1:10">
      <c r="A34" s="1073" t="s">
        <v>155</v>
      </c>
      <c r="B34" s="1080">
        <f>+'Segmentos Jun'!D27-'Segmentos Mar'!D27</f>
        <v>44931</v>
      </c>
      <c r="C34" s="1080">
        <f>+'Segmentos Jun'!G27-'Segmentos Mar'!G27</f>
        <v>52757</v>
      </c>
      <c r="D34" s="1080">
        <f>+'Segmentos Jun'!K27-'Segmentos Mar'!K27</f>
        <v>6735</v>
      </c>
      <c r="E34" s="1080">
        <f>+'Segmentos Jun'!N27-'Segmentos Mar'!N27</f>
        <v>41617</v>
      </c>
      <c r="F34" s="1080">
        <f>+'Segmentos Jun'!V27-'Segmentos Mar'!V27</f>
        <v>35612</v>
      </c>
      <c r="G34" s="1080">
        <f>+'Segmentos Jun'!S27+'Segmentos Jun'!Z27-'Segmentos Mar'!S27-'Segmentos Mar'!Z27+1</f>
        <v>7303</v>
      </c>
      <c r="H34" s="1081">
        <f t="shared" si="3"/>
        <v>188955</v>
      </c>
      <c r="J34" s="1067">
        <f>+H34-'ER GA Consol Q'!BY65</f>
        <v>0</v>
      </c>
    </row>
    <row r="37" spans="1:10" ht="15" thickBot="1">
      <c r="A37" s="1076">
        <f>+'ER GA Consol Q'!CD8</f>
        <v>45717</v>
      </c>
      <c r="B37" s="1077" t="s">
        <v>561</v>
      </c>
      <c r="C37" s="1077" t="s">
        <v>562</v>
      </c>
      <c r="D37" s="1077" t="s">
        <v>563</v>
      </c>
      <c r="E37" s="1077" t="s">
        <v>564</v>
      </c>
      <c r="F37" s="1077" t="s">
        <v>565</v>
      </c>
      <c r="G37" s="1077" t="s">
        <v>566</v>
      </c>
      <c r="H37" s="1078" t="s">
        <v>567</v>
      </c>
      <c r="J37" s="1063" t="s">
        <v>637</v>
      </c>
    </row>
    <row r="38" spans="1:10">
      <c r="A38" s="1073" t="s">
        <v>568</v>
      </c>
      <c r="B38" s="1069">
        <f>+'Segmentos Mar'!C13</f>
        <v>1225381</v>
      </c>
      <c r="C38" s="1069">
        <f>+'Segmentos Mar'!F13</f>
        <v>1448635</v>
      </c>
      <c r="D38" s="1069">
        <f>+'Segmentos Mar'!J13</f>
        <v>52498</v>
      </c>
      <c r="E38" s="1069">
        <f>+'Segmentos Mar'!M13</f>
        <v>17481</v>
      </c>
      <c r="F38" s="1069">
        <f>+'Segmentos Mar'!U13</f>
        <v>132332</v>
      </c>
      <c r="G38" s="1069">
        <f>+'Segmentos Mar'!R13+'Segmentos Mar'!X13</f>
        <v>26802</v>
      </c>
      <c r="H38" s="1079">
        <f t="shared" ref="H38:H43" si="4">+SUM(B38:G38)</f>
        <v>2903129</v>
      </c>
      <c r="J38" s="1067">
        <f>+H38-'ER GA Consol Q'!CD10</f>
        <v>0</v>
      </c>
    </row>
    <row r="39" spans="1:10">
      <c r="A39" s="1073" t="s">
        <v>132</v>
      </c>
      <c r="B39" s="1069">
        <f>+'Segmentos Mar'!C15</f>
        <v>316339</v>
      </c>
      <c r="C39" s="1069">
        <f>+'Segmentos Mar'!F15</f>
        <v>463231</v>
      </c>
      <c r="D39" s="1069">
        <f>+'Segmentos Mar'!J15</f>
        <v>41625</v>
      </c>
      <c r="E39" s="1069">
        <f>+'Segmentos Mar'!M15</f>
        <v>-1676</v>
      </c>
      <c r="F39" s="1069">
        <f>+'Segmentos Mar'!U15</f>
        <v>127405</v>
      </c>
      <c r="G39" s="1069">
        <f>+'Segmentos Mar'!R15+'Segmentos Mar'!X15</f>
        <v>3990</v>
      </c>
      <c r="H39" s="1079">
        <f t="shared" si="4"/>
        <v>950914</v>
      </c>
      <c r="J39" s="1067">
        <f>+H39-'ER GA Consol Q'!CD24</f>
        <v>0</v>
      </c>
    </row>
    <row r="40" spans="1:10">
      <c r="A40" s="1073" t="s">
        <v>569</v>
      </c>
      <c r="B40" s="1069">
        <f>+'Segmentos Mar'!C18</f>
        <v>152729</v>
      </c>
      <c r="C40" s="1069">
        <f>+'Segmentos Mar'!F18</f>
        <v>355194</v>
      </c>
      <c r="D40" s="1069">
        <f>+'Segmentos Mar'!J18</f>
        <v>2251</v>
      </c>
      <c r="E40" s="1069">
        <f>+'Segmentos Mar'!M18</f>
        <v>-28559</v>
      </c>
      <c r="F40" s="1069">
        <f>+'Segmentos Mar'!U18</f>
        <v>110392</v>
      </c>
      <c r="G40" s="1069">
        <f>+'Segmentos Mar'!R18+'Segmentos Mar'!X18</f>
        <v>1541</v>
      </c>
      <c r="H40" s="1079">
        <f t="shared" si="4"/>
        <v>593548</v>
      </c>
      <c r="J40" s="1067">
        <f>+H40-'ER GA Consol Q'!CD38</f>
        <v>0</v>
      </c>
    </row>
    <row r="41" spans="1:10">
      <c r="A41" s="1073" t="s">
        <v>547</v>
      </c>
      <c r="B41" s="1069">
        <f>+'Segmentos Mar'!C21</f>
        <v>261705</v>
      </c>
      <c r="C41" s="1069">
        <f>+'Segmentos Mar'!F21</f>
        <v>458242</v>
      </c>
      <c r="D41" s="1069">
        <f>+'Segmentos Mar'!J21</f>
        <v>2448</v>
      </c>
      <c r="E41" s="1069">
        <f>+'Segmentos Mar'!M21</f>
        <v>-27176</v>
      </c>
      <c r="F41" s="1069">
        <f>+'Segmentos Mar'!U21</f>
        <v>110888</v>
      </c>
      <c r="G41" s="1069">
        <f>+'Segmentos Mar'!R21+'Segmentos Mar'!X21</f>
        <v>2670</v>
      </c>
      <c r="H41" s="1079">
        <f t="shared" si="4"/>
        <v>808777</v>
      </c>
      <c r="J41" s="1067">
        <f>+H41-'ER GA Consol Q'!CD42</f>
        <v>0</v>
      </c>
    </row>
    <row r="42" spans="1:10">
      <c r="A42" s="1073" t="s">
        <v>152</v>
      </c>
      <c r="B42" s="1069">
        <f>+'Segmentos Mar'!C24</f>
        <v>2104312</v>
      </c>
      <c r="C42" s="1069">
        <f>+'Segmentos Mar'!F24</f>
        <v>108935</v>
      </c>
      <c r="D42" s="1069">
        <f>+'Segmentos Mar'!J24</f>
        <v>-10038</v>
      </c>
      <c r="E42" s="1069">
        <f>+'Segmentos Mar'!M24</f>
        <v>-73935</v>
      </c>
      <c r="F42" s="1069">
        <f>+'Segmentos Mar'!U24</f>
        <v>100641</v>
      </c>
      <c r="G42" s="1069">
        <f>+'Segmentos Mar'!R24+'Segmentos Mar'!X24</f>
        <v>3732</v>
      </c>
      <c r="H42" s="1079">
        <f t="shared" si="4"/>
        <v>2233647</v>
      </c>
      <c r="J42" s="1067">
        <f>+H42-'ER GA Consol Q'!CD59</f>
        <v>0</v>
      </c>
    </row>
    <row r="43" spans="1:10">
      <c r="A43" s="1073" t="s">
        <v>155</v>
      </c>
      <c r="B43" s="1069">
        <f>+'Segmentos Mar'!C27</f>
        <v>1132659</v>
      </c>
      <c r="C43" s="1069">
        <f>+'Segmentos Mar'!F27</f>
        <v>31947</v>
      </c>
      <c r="D43" s="1069">
        <f>+'Segmentos Mar'!J27</f>
        <v>-10038</v>
      </c>
      <c r="E43" s="1069">
        <f>+'Segmentos Mar'!M27</f>
        <v>-73023</v>
      </c>
      <c r="F43" s="1069">
        <f>+'Segmentos Mar'!U27</f>
        <v>100551</v>
      </c>
      <c r="G43" s="1069">
        <f>+'Segmentos Mar'!R27+'Segmentos Mar'!X27</f>
        <v>3702</v>
      </c>
      <c r="H43" s="1079">
        <f t="shared" si="4"/>
        <v>1185798</v>
      </c>
      <c r="J43" s="1067">
        <f>+H43-'ER GA Consol Q'!CD65</f>
        <v>0</v>
      </c>
    </row>
    <row r="44" spans="1:10">
      <c r="A44" s="1074"/>
      <c r="B44" s="1074"/>
      <c r="C44" s="1074"/>
      <c r="D44" s="1074"/>
      <c r="E44" s="1074"/>
      <c r="F44" s="1074"/>
      <c r="G44" s="1074"/>
      <c r="H44" s="1074"/>
    </row>
    <row r="45" spans="1:10" ht="15" thickBot="1">
      <c r="A45" s="1076" t="str">
        <f>+'ER GA Consol Q'!BW8</f>
        <v>Mar. 24 (*)</v>
      </c>
      <c r="B45" s="1077" t="s">
        <v>561</v>
      </c>
      <c r="C45" s="1077" t="s">
        <v>562</v>
      </c>
      <c r="D45" s="1077" t="s">
        <v>563</v>
      </c>
      <c r="E45" s="1077" t="s">
        <v>564</v>
      </c>
      <c r="F45" s="1077" t="s">
        <v>565</v>
      </c>
      <c r="G45" s="1077" t="s">
        <v>566</v>
      </c>
      <c r="H45" s="1078" t="s">
        <v>567</v>
      </c>
    </row>
    <row r="46" spans="1:10">
      <c r="A46" s="1073" t="s">
        <v>568</v>
      </c>
      <c r="B46" s="1080">
        <f>+'Segmentos Mar'!D13</f>
        <v>1302625</v>
      </c>
      <c r="C46" s="1080">
        <f>+'Segmentos Mar'!G13</f>
        <v>1373565</v>
      </c>
      <c r="D46" s="1080">
        <f>+'Segmentos Mar'!K13</f>
        <v>-46104</v>
      </c>
      <c r="E46" s="1080">
        <f>+'Segmentos Mar'!N13</f>
        <v>10240</v>
      </c>
      <c r="F46" s="1080">
        <f>+'Segmentos Mar'!V13</f>
        <v>34013</v>
      </c>
      <c r="G46" s="1080">
        <f>+'Segmentos Mar'!S13+'Segmentos Mar'!Z13</f>
        <v>43667</v>
      </c>
      <c r="H46" s="1081">
        <f t="shared" ref="H46:H51" si="5">+SUM(B46:G46)</f>
        <v>2718006</v>
      </c>
      <c r="J46" s="1067">
        <f>+H46-'ER GA Consol Q'!BW10</f>
        <v>0</v>
      </c>
    </row>
    <row r="47" spans="1:10">
      <c r="A47" s="1073" t="s">
        <v>132</v>
      </c>
      <c r="B47" s="1080">
        <f>+'Segmentos Mar'!D15</f>
        <v>332022</v>
      </c>
      <c r="C47" s="1080">
        <f>+'Segmentos Mar'!G15</f>
        <v>316949</v>
      </c>
      <c r="D47" s="1080">
        <f>+'Segmentos Mar'!K15</f>
        <v>-62453</v>
      </c>
      <c r="E47" s="1080">
        <f>+'Segmentos Mar'!N15</f>
        <v>1424</v>
      </c>
      <c r="F47" s="1080">
        <f>+'Segmentos Mar'!V15</f>
        <v>33420</v>
      </c>
      <c r="G47" s="1080">
        <f>+'Segmentos Mar'!S15+'Segmentos Mar'!Z15</f>
        <v>29100</v>
      </c>
      <c r="H47" s="1081">
        <f t="shared" si="5"/>
        <v>650462</v>
      </c>
      <c r="J47" s="1067">
        <f>+H47-'ER GA Consol Q'!BW24</f>
        <v>0</v>
      </c>
    </row>
    <row r="48" spans="1:10">
      <c r="A48" s="1073" t="s">
        <v>569</v>
      </c>
      <c r="B48" s="1080">
        <f>+'Segmentos Mar'!D18</f>
        <v>188249</v>
      </c>
      <c r="C48" s="1080">
        <f>+'Segmentos Mar'!G18</f>
        <v>198865</v>
      </c>
      <c r="D48" s="1080">
        <f>+'Segmentos Mar'!K18</f>
        <v>-89854</v>
      </c>
      <c r="E48" s="1080">
        <f>+'Segmentos Mar'!N18</f>
        <v>6741</v>
      </c>
      <c r="F48" s="1080">
        <f>+'Segmentos Mar'!V18</f>
        <v>15469</v>
      </c>
      <c r="G48" s="1080">
        <f>+'Segmentos Mar'!S18+'Segmentos Mar'!Z18</f>
        <v>27053</v>
      </c>
      <c r="H48" s="1081">
        <f t="shared" si="5"/>
        <v>346523</v>
      </c>
      <c r="J48" s="1067">
        <f>+H48-'ER GA Consol Q'!BW38</f>
        <v>0</v>
      </c>
    </row>
    <row r="49" spans="1:10">
      <c r="A49" s="1073" t="s">
        <v>547</v>
      </c>
      <c r="B49" s="1080">
        <f>+'Segmentos Mar'!D21</f>
        <v>291313</v>
      </c>
      <c r="C49" s="1080">
        <f>+'Segmentos Mar'!G21</f>
        <v>295716</v>
      </c>
      <c r="D49" s="1080">
        <f>+'Segmentos Mar'!K21</f>
        <v>-89640</v>
      </c>
      <c r="E49" s="1080">
        <f>+'Segmentos Mar'!N21</f>
        <v>7486</v>
      </c>
      <c r="F49" s="1080">
        <f>+'Segmentos Mar'!V21</f>
        <v>16358</v>
      </c>
      <c r="G49" s="1080">
        <f>+'Segmentos Mar'!S21+'Segmentos Mar'!Z21</f>
        <v>28265</v>
      </c>
      <c r="H49" s="1081">
        <f t="shared" si="5"/>
        <v>549498</v>
      </c>
      <c r="J49" s="1067">
        <f>+H49-'ER GA Consol Q'!BW42</f>
        <v>0</v>
      </c>
    </row>
    <row r="50" spans="1:10">
      <c r="A50" s="1073" t="s">
        <v>152</v>
      </c>
      <c r="B50" s="1080">
        <f>+'Segmentos Mar'!D24</f>
        <v>5296030</v>
      </c>
      <c r="C50" s="1080">
        <f>+'Segmentos Mar'!G24</f>
        <v>29456</v>
      </c>
      <c r="D50" s="1080">
        <f>+'Segmentos Mar'!K24</f>
        <v>-195696</v>
      </c>
      <c r="E50" s="1080">
        <f>+'Segmentos Mar'!N24</f>
        <v>1361350</v>
      </c>
      <c r="F50" s="1080">
        <f>+'Segmentos Mar'!V24</f>
        <v>10365</v>
      </c>
      <c r="G50" s="1080">
        <f>+'Segmentos Mar'!S24+'Segmentos Mar'!Z24-1</f>
        <v>7894</v>
      </c>
      <c r="H50" s="1081">
        <f t="shared" si="5"/>
        <v>6509399</v>
      </c>
      <c r="J50" s="1067">
        <f>+H50-'ER GA Consol Q'!BW59</f>
        <v>0</v>
      </c>
    </row>
    <row r="51" spans="1:10">
      <c r="A51" s="1073" t="s">
        <v>155</v>
      </c>
      <c r="B51" s="1080">
        <f>+'Segmentos Mar'!D27</f>
        <v>2727541</v>
      </c>
      <c r="C51" s="1080">
        <f>+'Segmentos Mar'!G27</f>
        <v>11415</v>
      </c>
      <c r="D51" s="1080">
        <f>+'Segmentos Mar'!K27</f>
        <v>-195696</v>
      </c>
      <c r="E51" s="1080">
        <f>+'Segmentos Mar'!N27</f>
        <v>1229274</v>
      </c>
      <c r="F51" s="1080">
        <f>+'Segmentos Mar'!V27</f>
        <v>10350</v>
      </c>
      <c r="G51" s="1080">
        <f>+'Segmentos Mar'!S27+'Segmentos Mar'!Z27-1</f>
        <v>7841</v>
      </c>
      <c r="H51" s="1081">
        <f t="shared" si="5"/>
        <v>3790725</v>
      </c>
      <c r="J51" s="1067">
        <f>+H51-'ER GA Consol Q'!BW65</f>
        <v>0</v>
      </c>
    </row>
    <row r="54" spans="1:10">
      <c r="A54" t="s">
        <v>648</v>
      </c>
    </row>
    <row r="55" spans="1:10">
      <c r="A55" t="s">
        <v>649</v>
      </c>
    </row>
    <row r="56" spans="1:10">
      <c r="A56" t="s">
        <v>650</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EA56B-4576-4B87-BAAC-361FD076AA1A}">
  <sheetPr>
    <tabColor rgb="FF00B0F0"/>
  </sheetPr>
  <dimension ref="A1:D32"/>
  <sheetViews>
    <sheetView topLeftCell="A21" workbookViewId="0">
      <selection activeCell="B31" sqref="B31"/>
    </sheetView>
  </sheetViews>
  <sheetFormatPr baseColWidth="10" defaultRowHeight="14.5"/>
  <cols>
    <col min="1" max="1" width="39.90625" customWidth="1"/>
    <col min="2" max="3" width="9" bestFit="1" customWidth="1"/>
    <col min="4" max="4" width="8.453125" bestFit="1" customWidth="1"/>
  </cols>
  <sheetData>
    <row r="1" spans="1:4" ht="19">
      <c r="A1" s="1047" t="s">
        <v>572</v>
      </c>
    </row>
    <row r="3" spans="1:4">
      <c r="A3" s="1082" t="s">
        <v>573</v>
      </c>
    </row>
    <row r="4" spans="1:4">
      <c r="A4" s="1066"/>
    </row>
    <row r="5" spans="1:4" ht="15" thickBot="1">
      <c r="A5" s="1037" t="s">
        <v>574</v>
      </c>
      <c r="B5" s="1039">
        <f>+'Resultados separados'!E5</f>
        <v>45901</v>
      </c>
      <c r="C5" s="1039">
        <f>+'Resultados separados'!F5</f>
        <v>45536</v>
      </c>
      <c r="D5" s="1038" t="s">
        <v>540</v>
      </c>
    </row>
    <row r="6" spans="1:4">
      <c r="A6" s="1043" t="s">
        <v>576</v>
      </c>
      <c r="B6" s="1055">
        <f>+'Dividendos GA separado'!C9</f>
        <v>0</v>
      </c>
      <c r="C6" s="1087">
        <f>+'Dividendos GA separado'!D9</f>
        <v>2871</v>
      </c>
      <c r="D6" s="1083">
        <f>+(B6-C6)/C6</f>
        <v>-1</v>
      </c>
    </row>
    <row r="7" spans="1:4" ht="15" thickBot="1">
      <c r="A7" s="1043" t="s">
        <v>566</v>
      </c>
      <c r="B7" s="1085">
        <f>+'Dividendos GA separado'!C8+'Dividendos GA separado'!C19</f>
        <v>16339</v>
      </c>
      <c r="C7" s="1087">
        <f>+'Dividendos GA separado'!D8+'Dividendos GA separado'!D19</f>
        <v>30993</v>
      </c>
      <c r="D7" s="1083">
        <f>+(B7-C7)/C7</f>
        <v>-0.4728164424224825</v>
      </c>
    </row>
    <row r="8" spans="1:4" ht="15" thickBot="1">
      <c r="A8" s="1052" t="s">
        <v>341</v>
      </c>
      <c r="B8" s="1086">
        <f>+SUM(B6:B7)</f>
        <v>16339</v>
      </c>
      <c r="C8" s="1088">
        <f>+SUM(C6:C7)</f>
        <v>33864</v>
      </c>
      <c r="D8" s="1084">
        <f>+(B8-C8)/C8</f>
        <v>-0.51751122135601224</v>
      </c>
    </row>
    <row r="10" spans="1:4">
      <c r="A10" s="713" t="s">
        <v>577</v>
      </c>
    </row>
    <row r="12" spans="1:4">
      <c r="A12" s="1043" t="s">
        <v>575</v>
      </c>
      <c r="B12" s="1085">
        <f>+'Dividendos GA separado'!C25</f>
        <v>142328</v>
      </c>
      <c r="C12" s="1087">
        <f>+'Dividendos GA separado'!D25</f>
        <v>237330</v>
      </c>
      <c r="D12" s="1083">
        <f>+(B12-C12)/C12</f>
        <v>-0.40029494796275228</v>
      </c>
    </row>
    <row r="14" spans="1:4">
      <c r="A14" s="1082" t="s">
        <v>578</v>
      </c>
    </row>
    <row r="16" spans="1:4" ht="15" thickBot="1">
      <c r="A16" s="1037" t="s">
        <v>574</v>
      </c>
      <c r="B16" s="1039">
        <f>+'Resultados separados'!E5</f>
        <v>45901</v>
      </c>
      <c r="C16" s="1039">
        <f>+'Resultados separados'!F5</f>
        <v>45536</v>
      </c>
      <c r="D16" s="1038" t="s">
        <v>540</v>
      </c>
    </row>
    <row r="17" spans="1:4">
      <c r="A17" s="1043" t="s">
        <v>343</v>
      </c>
      <c r="B17" s="1044">
        <f>+'Dividendos GA separado'!C29</f>
        <v>381015</v>
      </c>
      <c r="C17" s="1045">
        <f>+'Dividendos GA separado'!D29</f>
        <v>141552</v>
      </c>
      <c r="D17" s="1050">
        <f>+(B17-C17)/C17</f>
        <v>1.6916963377416072</v>
      </c>
    </row>
    <row r="18" spans="1:4">
      <c r="A18" s="1043" t="s">
        <v>575</v>
      </c>
      <c r="B18" s="1044">
        <f>+'Dividendos GA separado'!C30</f>
        <v>201317</v>
      </c>
      <c r="C18" s="1045">
        <f>+'Dividendos GA separado'!D30</f>
        <v>157976</v>
      </c>
      <c r="D18" s="1050">
        <f t="shared" ref="D18:D29" si="0">+(B18-C18)/C18</f>
        <v>0.27435180027345923</v>
      </c>
    </row>
    <row r="19" spans="1:4">
      <c r="A19" s="1043" t="s">
        <v>485</v>
      </c>
      <c r="B19" s="1044">
        <f>+'Dividendos GA separado'!C31</f>
        <v>95432</v>
      </c>
      <c r="C19" s="1045">
        <f>+'Dividendos GA separado'!D31</f>
        <v>127856</v>
      </c>
      <c r="D19" s="1050">
        <f t="shared" si="0"/>
        <v>-0.25359779752221251</v>
      </c>
    </row>
    <row r="20" spans="1:4">
      <c r="A20" s="1043" t="s">
        <v>348</v>
      </c>
      <c r="B20" s="1044">
        <f>+'Dividendos GA separado'!C32</f>
        <v>22682</v>
      </c>
      <c r="C20" s="1045">
        <f>+'Dividendos GA separado'!D32</f>
        <v>26590</v>
      </c>
      <c r="D20" s="1050">
        <f t="shared" ref="D20:D21" si="1">+(B20-C20)/C20</f>
        <v>-0.14697254606995111</v>
      </c>
    </row>
    <row r="21" spans="1:4">
      <c r="A21" s="1043" t="s">
        <v>340</v>
      </c>
      <c r="B21" s="1044">
        <f>+'Dividendos GA separado'!C33</f>
        <v>3504</v>
      </c>
      <c r="C21" s="1045">
        <f>+'Dividendos GA separado'!D33</f>
        <v>4956</v>
      </c>
      <c r="D21" s="1050">
        <f t="shared" si="1"/>
        <v>-0.29297820823244553</v>
      </c>
    </row>
    <row r="22" spans="1:4">
      <c r="A22" s="1043" t="s">
        <v>339</v>
      </c>
      <c r="B22" s="1044">
        <f>+'Dividendos GA separado'!C34</f>
        <v>5739</v>
      </c>
      <c r="C22" s="1045">
        <f>+'Dividendos GA separado'!D34</f>
        <v>18994</v>
      </c>
      <c r="D22" s="1050">
        <f t="shared" ref="D22:D25" si="2">+(B22-C22)/C22</f>
        <v>-0.69785195324839422</v>
      </c>
    </row>
    <row r="23" spans="1:4">
      <c r="A23" s="1043" t="s">
        <v>428</v>
      </c>
      <c r="B23" s="1044">
        <f>+'Dividendos GA separado'!C35</f>
        <v>2900</v>
      </c>
      <c r="C23" s="1045">
        <f>+'Dividendos GA separado'!D35</f>
        <v>5371</v>
      </c>
      <c r="D23" s="1050">
        <f t="shared" si="2"/>
        <v>-0.46006330292310554</v>
      </c>
    </row>
    <row r="24" spans="1:4">
      <c r="A24" s="1043" t="s">
        <v>472</v>
      </c>
      <c r="B24" s="1044">
        <f>+'Dividendos GA separado'!C36</f>
        <v>790</v>
      </c>
      <c r="C24" s="1045">
        <f>+'Dividendos GA separado'!D36</f>
        <v>1530</v>
      </c>
      <c r="D24" s="1050"/>
    </row>
    <row r="25" spans="1:4">
      <c r="A25" s="1043" t="s">
        <v>533</v>
      </c>
      <c r="B25" s="1044">
        <f>+'Dividendos GA separado'!C37</f>
        <v>25</v>
      </c>
      <c r="C25" s="1045">
        <f>+'Dividendos GA separado'!D37</f>
        <v>43</v>
      </c>
      <c r="D25" s="1050">
        <f t="shared" si="2"/>
        <v>-0.41860465116279072</v>
      </c>
    </row>
    <row r="26" spans="1:4">
      <c r="A26" s="1043" t="s">
        <v>336</v>
      </c>
      <c r="B26" s="1044">
        <f>+'Dividendos GA separado'!C38</f>
        <v>0</v>
      </c>
      <c r="C26" s="1045">
        <f>+'Dividendos GA separado'!D38</f>
        <v>4364</v>
      </c>
      <c r="D26" s="1050">
        <f t="shared" si="0"/>
        <v>-1</v>
      </c>
    </row>
    <row r="27" spans="1:4">
      <c r="A27" s="1043" t="s">
        <v>576</v>
      </c>
      <c r="B27" s="1044">
        <f>+'Dividendos GA separado'!C39</f>
        <v>0</v>
      </c>
      <c r="C27" s="1045">
        <f>+'Dividendos GA separado'!D39</f>
        <v>2610</v>
      </c>
      <c r="D27" s="1050">
        <f t="shared" si="0"/>
        <v>-1</v>
      </c>
    </row>
    <row r="28" spans="1:4" ht="15" thickBot="1">
      <c r="A28" s="1089" t="s">
        <v>580</v>
      </c>
      <c r="B28" s="1092">
        <f>+'Dividendos GA separado'!C40</f>
        <v>0</v>
      </c>
      <c r="C28" s="1045">
        <f>+'Dividendos GA separado'!D40</f>
        <v>17</v>
      </c>
      <c r="D28" s="1090">
        <f t="shared" si="0"/>
        <v>-1</v>
      </c>
    </row>
    <row r="29" spans="1:4" ht="15" thickBot="1">
      <c r="A29" s="1052" t="s">
        <v>579</v>
      </c>
      <c r="B29" s="1070">
        <f>+SUM(B17:B28)</f>
        <v>713404</v>
      </c>
      <c r="C29" s="1071">
        <f>+SUM(C17:C28)</f>
        <v>491859</v>
      </c>
      <c r="D29" s="1072">
        <f t="shared" si="0"/>
        <v>0.45042380031675744</v>
      </c>
    </row>
    <row r="31" spans="1:4">
      <c r="B31" s="1091">
        <f>+B29-'Dividendos GA separado'!C41</f>
        <v>0</v>
      </c>
      <c r="C31" s="1091">
        <f>+C29-'Dividendos GA separado'!D41</f>
        <v>0</v>
      </c>
    </row>
    <row r="32" spans="1:4">
      <c r="B32" s="1091">
        <f>+B29-'EFE GA separado'!C30</f>
        <v>0</v>
      </c>
      <c r="C32" s="1091">
        <f>+C29-'EFE GA separado'!D30</f>
        <v>0</v>
      </c>
    </row>
  </sheetData>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B4B8-B0FA-4855-B56D-94AF9DC8F6CC}">
  <dimension ref="A1:BS115"/>
  <sheetViews>
    <sheetView showGridLines="0" zoomScale="86" zoomScaleNormal="86" workbookViewId="0">
      <pane xSplit="2" ySplit="9" topLeftCell="BH10" activePane="bottomRight" state="frozen"/>
      <selection pane="topRight" activeCell="C1" sqref="C1"/>
      <selection pane="bottomLeft" activeCell="A10" sqref="A10"/>
      <selection pane="bottomRight" activeCell="BJ10" sqref="BJ10"/>
    </sheetView>
  </sheetViews>
  <sheetFormatPr baseColWidth="10" defaultColWidth="13" defaultRowHeight="12.5"/>
  <cols>
    <col min="1" max="1" width="13" style="2"/>
    <col min="2" max="2" width="39.453125" style="2" bestFit="1" customWidth="1"/>
    <col min="3" max="3" width="11.81640625" style="2" hidden="1" customWidth="1"/>
    <col min="4" max="4" width="1.54296875" style="2" hidden="1" customWidth="1"/>
    <col min="5" max="8" width="11.81640625" style="10" hidden="1" customWidth="1"/>
    <col min="9" max="9" width="1.54296875" style="2" hidden="1" customWidth="1"/>
    <col min="10" max="10" width="11.81640625" style="37" hidden="1" customWidth="1"/>
    <col min="11" max="13" width="11.81640625" style="2" hidden="1" customWidth="1"/>
    <col min="14" max="14" width="14.453125" style="2" hidden="1" customWidth="1"/>
    <col min="15" max="15" width="1.54296875" style="2" hidden="1" customWidth="1"/>
    <col min="16" max="16" width="11.81640625" style="2" hidden="1" customWidth="1"/>
    <col min="17" max="17" width="14.7265625" style="2" hidden="1" customWidth="1"/>
    <col min="18" max="18" width="11.81640625" style="2" hidden="1" customWidth="1"/>
    <col min="19" max="19" width="14.1796875" style="2" hidden="1" customWidth="1"/>
    <col min="20" max="20" width="11.81640625" style="2" hidden="1" customWidth="1"/>
    <col min="21" max="21" width="14.1796875" style="2" hidden="1" customWidth="1"/>
    <col min="22" max="22" width="0" style="2" hidden="1" customWidth="1"/>
    <col min="23" max="23" width="1.54296875" style="2" hidden="1" customWidth="1"/>
    <col min="24" max="27" width="0" style="2" hidden="1" customWidth="1"/>
    <col min="28" max="28" width="1.54296875" style="2" hidden="1" customWidth="1"/>
    <col min="29" max="33" width="0" style="2" hidden="1" customWidth="1"/>
    <col min="34" max="34" width="1.54296875" style="2" hidden="1" customWidth="1"/>
    <col min="35" max="38" width="0" style="2" hidden="1" customWidth="1"/>
    <col min="39" max="39" width="1.7265625" style="2" hidden="1" customWidth="1"/>
    <col min="40" max="43" width="0" style="2" hidden="1" customWidth="1"/>
    <col min="44" max="44" width="1.54296875" style="2" hidden="1" customWidth="1"/>
    <col min="45" max="48" width="0" style="2" hidden="1" customWidth="1"/>
    <col min="49" max="49" width="1.453125" style="2" hidden="1" customWidth="1"/>
    <col min="50" max="53" width="0" style="2" hidden="1" customWidth="1"/>
    <col min="54" max="54" width="1.453125" style="2" hidden="1" customWidth="1"/>
    <col min="55" max="58" width="0" style="2" hidden="1" customWidth="1"/>
    <col min="59" max="59" width="1.453125" style="2" hidden="1" customWidth="1"/>
    <col min="60" max="63" width="13" style="2"/>
    <col min="64" max="64" width="1.453125" style="2" customWidth="1"/>
    <col min="65" max="16384" width="13" style="2"/>
  </cols>
  <sheetData>
    <row r="1" spans="2:69" ht="13">
      <c r="B1" s="1193" t="s">
        <v>0</v>
      </c>
      <c r="C1" s="1193"/>
      <c r="D1" s="1193"/>
      <c r="E1" s="1193"/>
      <c r="F1" s="1193"/>
      <c r="G1" s="1193"/>
      <c r="H1" s="1193"/>
      <c r="I1" s="1193"/>
      <c r="J1" s="1193"/>
      <c r="K1" s="1193"/>
      <c r="L1" s="1193"/>
      <c r="M1" s="1"/>
      <c r="N1" s="1"/>
    </row>
    <row r="2" spans="2:69" ht="12.75" customHeight="1">
      <c r="B2" s="1193" t="s">
        <v>1</v>
      </c>
      <c r="C2" s="1193"/>
      <c r="D2" s="1193"/>
      <c r="E2" s="1193"/>
      <c r="F2" s="1193"/>
      <c r="G2" s="1193"/>
      <c r="H2" s="1193"/>
      <c r="I2" s="1193"/>
      <c r="J2" s="1193"/>
      <c r="K2" s="1193"/>
      <c r="L2" s="1193"/>
      <c r="M2" s="1"/>
      <c r="N2" s="1"/>
    </row>
    <row r="3" spans="2:69" ht="12.75" customHeight="1">
      <c r="B3" s="1194" t="s">
        <v>2</v>
      </c>
      <c r="C3" s="1194"/>
      <c r="D3" s="1194"/>
      <c r="E3" s="1194"/>
      <c r="F3" s="1194"/>
      <c r="G3" s="1194"/>
      <c r="H3" s="1194"/>
      <c r="I3" s="1194"/>
      <c r="J3" s="1194"/>
      <c r="K3" s="1194"/>
      <c r="L3" s="1194"/>
      <c r="M3" s="3"/>
      <c r="N3" s="3"/>
    </row>
    <row r="4" spans="2:69" ht="12.75" customHeight="1">
      <c r="B4" s="1"/>
      <c r="C4" s="1"/>
      <c r="D4" s="1"/>
      <c r="E4" s="1"/>
      <c r="F4" s="1"/>
      <c r="G4" s="1"/>
      <c r="H4" s="1"/>
      <c r="I4" s="1"/>
      <c r="J4" s="1"/>
      <c r="K4" s="1"/>
    </row>
    <row r="6" spans="2:69" ht="21.75" customHeight="1">
      <c r="C6" s="4">
        <v>2013</v>
      </c>
      <c r="E6" s="1195" t="s">
        <v>3</v>
      </c>
      <c r="F6" s="1196"/>
      <c r="G6" s="1196"/>
      <c r="H6" s="1196"/>
      <c r="J6" s="1195" t="s">
        <v>4</v>
      </c>
      <c r="K6" s="1196"/>
      <c r="L6" s="1196"/>
      <c r="M6" s="1196"/>
      <c r="N6" s="1196"/>
      <c r="P6" s="1199" t="s">
        <v>5</v>
      </c>
      <c r="Q6" s="1199"/>
      <c r="R6" s="1199"/>
      <c r="S6" s="1199"/>
      <c r="T6" s="1199"/>
      <c r="U6" s="1199"/>
      <c r="V6" s="1199"/>
      <c r="X6" s="1200" t="s">
        <v>6</v>
      </c>
      <c r="Y6" s="1199"/>
      <c r="Z6" s="1199"/>
      <c r="AA6" s="1199"/>
      <c r="AB6" s="6"/>
      <c r="AC6" s="1200" t="s">
        <v>7</v>
      </c>
      <c r="AD6" s="1199"/>
      <c r="AE6" s="1199"/>
      <c r="AF6" s="1199"/>
      <c r="AG6" s="5"/>
      <c r="AI6" s="1200" t="s">
        <v>8</v>
      </c>
      <c r="AJ6" s="1199"/>
      <c r="AK6" s="1199"/>
      <c r="AL6" s="1199"/>
      <c r="AN6" s="1200">
        <v>2020</v>
      </c>
      <c r="AO6" s="1199"/>
      <c r="AP6" s="1199"/>
      <c r="AQ6" s="1199"/>
      <c r="AS6" s="1200" t="s">
        <v>9</v>
      </c>
      <c r="AT6" s="1199"/>
      <c r="AU6" s="1199"/>
      <c r="AV6" s="1199"/>
      <c r="AX6" s="1200">
        <v>2022</v>
      </c>
      <c r="AY6" s="1199"/>
      <c r="AZ6" s="1199"/>
      <c r="BA6" s="1199"/>
      <c r="BC6" s="1199" t="s">
        <v>438</v>
      </c>
      <c r="BD6" s="1199"/>
      <c r="BE6" s="1199"/>
      <c r="BF6" s="1199"/>
      <c r="BG6" s="6"/>
      <c r="BH6" s="1200" t="s">
        <v>480</v>
      </c>
      <c r="BI6" s="1199"/>
      <c r="BJ6" s="1199"/>
      <c r="BK6" s="1199"/>
      <c r="BL6" s="6"/>
      <c r="BM6" s="1200" t="s">
        <v>504</v>
      </c>
      <c r="BN6" s="1199"/>
      <c r="BO6" s="1199"/>
    </row>
    <row r="7" spans="2:69" ht="4.5" customHeight="1" thickBot="1">
      <c r="E7" s="2"/>
      <c r="F7" s="2"/>
      <c r="G7" s="2"/>
      <c r="H7" s="2"/>
      <c r="J7" s="2"/>
    </row>
    <row r="8" spans="2:69" ht="27.75" customHeight="1" thickTop="1" thickBot="1">
      <c r="C8" s="7">
        <v>41609</v>
      </c>
      <c r="E8" s="7">
        <v>41699</v>
      </c>
      <c r="F8" s="7">
        <v>41791</v>
      </c>
      <c r="G8" s="7">
        <v>41883</v>
      </c>
      <c r="H8" s="7">
        <v>41974</v>
      </c>
      <c r="J8" s="7">
        <v>42064</v>
      </c>
      <c r="K8" s="7">
        <v>42156</v>
      </c>
      <c r="L8" s="7">
        <v>42248</v>
      </c>
      <c r="M8" s="7">
        <v>42339</v>
      </c>
      <c r="N8" s="7" t="s">
        <v>10</v>
      </c>
      <c r="P8" s="7">
        <v>42430</v>
      </c>
      <c r="Q8" s="7" t="s">
        <v>11</v>
      </c>
      <c r="R8" s="7">
        <v>42522</v>
      </c>
      <c r="S8" s="7" t="s">
        <v>12</v>
      </c>
      <c r="T8" s="7">
        <v>42614</v>
      </c>
      <c r="U8" s="7" t="s">
        <v>13</v>
      </c>
      <c r="V8" s="7">
        <v>42705</v>
      </c>
      <c r="X8" s="7">
        <v>42795</v>
      </c>
      <c r="Y8" s="7">
        <v>42887</v>
      </c>
      <c r="Z8" s="7">
        <v>42979</v>
      </c>
      <c r="AA8" s="7">
        <v>43070</v>
      </c>
      <c r="AB8" s="8"/>
      <c r="AC8" s="7">
        <v>43160</v>
      </c>
      <c r="AD8" s="7">
        <v>43252</v>
      </c>
      <c r="AE8" s="7">
        <v>43344</v>
      </c>
      <c r="AF8" s="7">
        <v>43435</v>
      </c>
      <c r="AG8" s="9" t="s">
        <v>14</v>
      </c>
      <c r="AI8" s="7">
        <v>43525</v>
      </c>
      <c r="AJ8" s="7">
        <v>43617</v>
      </c>
      <c r="AK8" s="7">
        <v>43709</v>
      </c>
      <c r="AL8" s="7">
        <v>43800</v>
      </c>
      <c r="AN8" s="7">
        <v>43891</v>
      </c>
      <c r="AO8" s="7">
        <v>43983</v>
      </c>
      <c r="AP8" s="7">
        <v>44075</v>
      </c>
      <c r="AQ8" s="7">
        <v>44166</v>
      </c>
      <c r="AS8" s="7">
        <v>44256</v>
      </c>
      <c r="AT8" s="7">
        <v>44348</v>
      </c>
      <c r="AU8" s="7">
        <v>44440</v>
      </c>
      <c r="AV8" s="7">
        <v>44531</v>
      </c>
      <c r="AX8" s="7">
        <v>44621</v>
      </c>
      <c r="AY8" s="7">
        <v>44713</v>
      </c>
      <c r="AZ8" s="7">
        <v>44805</v>
      </c>
      <c r="BA8" s="7">
        <v>44896</v>
      </c>
      <c r="BC8" s="7">
        <v>44986</v>
      </c>
      <c r="BD8" s="7">
        <v>45078</v>
      </c>
      <c r="BE8" s="7">
        <v>45170</v>
      </c>
      <c r="BF8" s="7">
        <v>45261</v>
      </c>
      <c r="BG8" s="8"/>
      <c r="BH8" s="7">
        <v>45352</v>
      </c>
      <c r="BI8" s="7">
        <v>45444</v>
      </c>
      <c r="BJ8" s="7">
        <v>45536</v>
      </c>
      <c r="BK8" s="7">
        <v>45627</v>
      </c>
      <c r="BL8" s="8"/>
      <c r="BM8" s="7">
        <v>45717</v>
      </c>
      <c r="BN8" s="7">
        <v>45809</v>
      </c>
      <c r="BO8" s="7">
        <v>45901</v>
      </c>
    </row>
    <row r="9" spans="2:69" ht="3.75" customHeight="1" thickTop="1">
      <c r="C9" s="10"/>
      <c r="D9" s="10"/>
      <c r="J9" s="10"/>
      <c r="K9" s="10"/>
    </row>
    <row r="10" spans="2:69" ht="16.5" customHeight="1">
      <c r="B10" s="11" t="s">
        <v>15</v>
      </c>
      <c r="C10" s="12">
        <v>731275</v>
      </c>
      <c r="D10" s="12"/>
      <c r="E10" s="12">
        <v>559273</v>
      </c>
      <c r="F10" s="12">
        <v>391924</v>
      </c>
      <c r="G10" s="12">
        <v>1049937</v>
      </c>
      <c r="H10" s="12">
        <v>995507</v>
      </c>
      <c r="J10" s="12">
        <v>1072937</v>
      </c>
      <c r="K10" s="12">
        <v>585852</v>
      </c>
      <c r="L10" s="12">
        <v>1464840</v>
      </c>
      <c r="M10" s="12">
        <f>1628603+43215</f>
        <v>1671818</v>
      </c>
      <c r="N10" s="12">
        <f>1685187+155132</f>
        <v>1840319</v>
      </c>
      <c r="P10" s="13">
        <v>1519586</v>
      </c>
      <c r="Q10" s="13">
        <v>1519586</v>
      </c>
      <c r="R10" s="13">
        <v>1266602</v>
      </c>
      <c r="S10" s="13">
        <v>1266602</v>
      </c>
      <c r="T10" s="13">
        <v>1585276</v>
      </c>
      <c r="U10" s="13">
        <v>1910581</v>
      </c>
      <c r="V10" s="13">
        <f>1774072+147400</f>
        <v>1921472</v>
      </c>
      <c r="X10" s="13">
        <v>2450429</v>
      </c>
      <c r="Y10" s="13">
        <v>2422442</v>
      </c>
      <c r="Z10" s="13">
        <v>2356012</v>
      </c>
      <c r="AA10" s="13">
        <v>2625892</v>
      </c>
      <c r="AB10" s="13"/>
      <c r="AC10" s="13">
        <v>2492791</v>
      </c>
      <c r="AD10" s="13">
        <v>2591478</v>
      </c>
      <c r="AE10" s="13">
        <v>2498186</v>
      </c>
      <c r="AF10" s="13">
        <v>2647532</v>
      </c>
      <c r="AG10" s="13">
        <v>2647532</v>
      </c>
      <c r="AI10" s="13">
        <v>2404519</v>
      </c>
      <c r="AJ10" s="13">
        <v>2335279</v>
      </c>
      <c r="AK10" s="13">
        <v>2662535</v>
      </c>
      <c r="AL10" s="13">
        <v>2474008</v>
      </c>
      <c r="AM10" s="13"/>
      <c r="AN10" s="13">
        <v>3103516</v>
      </c>
      <c r="AO10" s="13">
        <v>3290226</v>
      </c>
      <c r="AP10" s="13">
        <v>2996482</v>
      </c>
      <c r="AQ10" s="13">
        <v>2701096</v>
      </c>
      <c r="AR10" s="14"/>
      <c r="AS10" s="13">
        <v>2660351</v>
      </c>
      <c r="AT10" s="13">
        <v>2557910</v>
      </c>
      <c r="AU10" s="13">
        <v>2511583</v>
      </c>
      <c r="AV10" s="13">
        <v>2683143</v>
      </c>
      <c r="AW10" s="14"/>
      <c r="AX10" s="13">
        <v>2765035</v>
      </c>
      <c r="AY10" s="13">
        <v>2035259</v>
      </c>
      <c r="AZ10" s="13">
        <v>1397754</v>
      </c>
      <c r="BA10" s="13">
        <v>1429105</v>
      </c>
      <c r="BB10" s="14"/>
      <c r="BC10" s="13">
        <v>1262462</v>
      </c>
      <c r="BD10" s="13">
        <v>1764595</v>
      </c>
      <c r="BE10" s="13">
        <v>1786867</v>
      </c>
      <c r="BF10" s="13">
        <v>2201475</v>
      </c>
      <c r="BG10" s="13"/>
      <c r="BH10" s="13">
        <v>3227547</v>
      </c>
      <c r="BI10" s="13">
        <v>3288376</v>
      </c>
      <c r="BJ10" s="13">
        <v>2351376</v>
      </c>
      <c r="BK10" s="13">
        <v>1593758</v>
      </c>
      <c r="BL10" s="13"/>
      <c r="BM10" s="13">
        <v>12739119</v>
      </c>
      <c r="BN10" s="13">
        <v>12032923</v>
      </c>
      <c r="BO10" s="13">
        <v>4458126</v>
      </c>
      <c r="BP10" s="14">
        <f>+BO10-'ESF GA Cons Acum.'!C8</f>
        <v>0</v>
      </c>
      <c r="BQ10" s="14">
        <f>+BK10-'ESF GA Cons Acum.'!E8</f>
        <v>0</v>
      </c>
    </row>
    <row r="11" spans="2:69" ht="16.5" customHeight="1">
      <c r="B11" s="11" t="s">
        <v>16</v>
      </c>
      <c r="C11" s="12">
        <v>2681</v>
      </c>
      <c r="D11" s="12"/>
      <c r="E11" s="12">
        <v>5597</v>
      </c>
      <c r="F11" s="12">
        <v>0</v>
      </c>
      <c r="G11" s="12">
        <v>4906</v>
      </c>
      <c r="H11" s="12">
        <v>23067</v>
      </c>
      <c r="J11" s="12">
        <v>2696</v>
      </c>
      <c r="K11" s="12">
        <v>1184</v>
      </c>
      <c r="L11" s="12">
        <v>17393</v>
      </c>
      <c r="M11" s="12">
        <v>38054</v>
      </c>
      <c r="N11" s="12">
        <v>38054</v>
      </c>
      <c r="P11" s="13">
        <v>17830</v>
      </c>
      <c r="Q11" s="13">
        <v>17830</v>
      </c>
      <c r="R11" s="13">
        <v>18728</v>
      </c>
      <c r="S11" s="13">
        <v>18728</v>
      </c>
      <c r="T11" s="13">
        <v>14068</v>
      </c>
      <c r="U11" s="13">
        <v>14068</v>
      </c>
      <c r="V11" s="13">
        <v>1420</v>
      </c>
      <c r="X11" s="13">
        <v>7884</v>
      </c>
      <c r="Y11" s="13">
        <v>98</v>
      </c>
      <c r="Z11" s="13">
        <v>157</v>
      </c>
      <c r="AA11" s="13">
        <v>176</v>
      </c>
      <c r="AB11" s="13"/>
      <c r="AC11" s="13">
        <v>0</v>
      </c>
      <c r="AD11" s="13">
        <v>12735</v>
      </c>
      <c r="AE11" s="13">
        <v>14919</v>
      </c>
      <c r="AF11" s="13">
        <v>10392</v>
      </c>
      <c r="AG11" s="13">
        <v>10392</v>
      </c>
      <c r="AI11" s="13">
        <v>10528</v>
      </c>
      <c r="AJ11" s="13">
        <v>18719</v>
      </c>
      <c r="AK11" s="13">
        <v>20360</v>
      </c>
      <c r="AL11" s="13">
        <v>5786</v>
      </c>
      <c r="AM11" s="13"/>
      <c r="AN11" s="13">
        <v>113734</v>
      </c>
      <c r="AO11" s="13">
        <v>16135</v>
      </c>
      <c r="AP11" s="13">
        <v>29317</v>
      </c>
      <c r="AQ11" s="13">
        <v>6354</v>
      </c>
      <c r="AR11" s="14"/>
      <c r="AS11" s="13">
        <v>24970</v>
      </c>
      <c r="AT11" s="13">
        <v>16681</v>
      </c>
      <c r="AU11" s="13">
        <v>18905</v>
      </c>
      <c r="AV11" s="13">
        <v>20856</v>
      </c>
      <c r="AW11" s="14"/>
      <c r="AX11" s="13">
        <v>5534</v>
      </c>
      <c r="AY11" s="13">
        <v>34986</v>
      </c>
      <c r="AZ11" s="13">
        <v>62187</v>
      </c>
      <c r="BA11" s="13">
        <v>70236</v>
      </c>
      <c r="BB11" s="14"/>
      <c r="BC11" s="13">
        <v>36640</v>
      </c>
      <c r="BD11" s="13">
        <v>4971</v>
      </c>
      <c r="BE11" s="13">
        <v>8599</v>
      </c>
      <c r="BF11" s="13">
        <v>159018</v>
      </c>
      <c r="BG11" s="13"/>
      <c r="BH11" s="13">
        <v>143951</v>
      </c>
      <c r="BI11" s="13">
        <v>131137</v>
      </c>
      <c r="BJ11" s="13">
        <v>59759</v>
      </c>
      <c r="BK11" s="13">
        <v>12733</v>
      </c>
      <c r="BL11" s="13"/>
      <c r="BM11" s="13">
        <v>31278</v>
      </c>
      <c r="BN11" s="13">
        <v>19119</v>
      </c>
      <c r="BO11" s="13">
        <v>94272</v>
      </c>
      <c r="BP11" s="14">
        <f>+BO11-'ESF GA Cons Acum.'!C9</f>
        <v>0</v>
      </c>
      <c r="BQ11" s="14">
        <f>+BK11-'ESF GA Cons Acum.'!E9</f>
        <v>0</v>
      </c>
    </row>
    <row r="12" spans="2:69" ht="16.5" customHeight="1">
      <c r="B12" s="11" t="s">
        <v>17</v>
      </c>
      <c r="C12" s="12">
        <v>764104</v>
      </c>
      <c r="D12" s="12"/>
      <c r="E12" s="12">
        <v>1145546</v>
      </c>
      <c r="F12" s="12">
        <v>967407</v>
      </c>
      <c r="G12" s="12">
        <v>680829</v>
      </c>
      <c r="H12" s="12">
        <v>332545</v>
      </c>
      <c r="J12" s="12">
        <v>371179</v>
      </c>
      <c r="K12" s="12">
        <v>210459</v>
      </c>
      <c r="L12" s="12">
        <v>117563</v>
      </c>
      <c r="M12" s="12">
        <v>212681</v>
      </c>
      <c r="N12" s="12">
        <f>199338-155132</f>
        <v>44206</v>
      </c>
      <c r="P12" s="13">
        <v>246961</v>
      </c>
      <c r="Q12" s="13">
        <v>246961</v>
      </c>
      <c r="R12" s="13">
        <v>376377</v>
      </c>
      <c r="S12" s="13">
        <v>376377</v>
      </c>
      <c r="T12" s="13">
        <v>360910</v>
      </c>
      <c r="U12" s="13">
        <v>35605</v>
      </c>
      <c r="V12" s="13">
        <f>149703-147400</f>
        <v>2303</v>
      </c>
      <c r="X12" s="13">
        <v>22702</v>
      </c>
      <c r="Y12" s="13">
        <v>47722</v>
      </c>
      <c r="Z12" s="13">
        <v>197273</v>
      </c>
      <c r="AA12" s="13">
        <v>45371</v>
      </c>
      <c r="AB12" s="13"/>
      <c r="AC12" s="13">
        <v>19983</v>
      </c>
      <c r="AD12" s="13">
        <v>3799</v>
      </c>
      <c r="AE12" s="13">
        <v>4943</v>
      </c>
      <c r="AF12" s="13">
        <f>72949-1</f>
        <v>72948</v>
      </c>
      <c r="AG12" s="13">
        <f>72949-1</f>
        <v>72948</v>
      </c>
      <c r="AI12" s="13">
        <v>125616</v>
      </c>
      <c r="AJ12" s="13">
        <v>83448</v>
      </c>
      <c r="AK12" s="13">
        <v>90718</v>
      </c>
      <c r="AL12" s="13">
        <v>123626</v>
      </c>
      <c r="AM12" s="13"/>
      <c r="AN12" s="13">
        <v>79674</v>
      </c>
      <c r="AO12" s="13">
        <v>55744</v>
      </c>
      <c r="AP12" s="13">
        <v>1494</v>
      </c>
      <c r="AQ12" s="13">
        <v>0</v>
      </c>
      <c r="AR12" s="14"/>
      <c r="AS12" s="13">
        <v>0</v>
      </c>
      <c r="AT12" s="13">
        <v>0</v>
      </c>
      <c r="AU12" s="13">
        <v>665</v>
      </c>
      <c r="AV12" s="13">
        <v>869849</v>
      </c>
      <c r="AW12" s="14"/>
      <c r="AX12" s="13">
        <v>24720</v>
      </c>
      <c r="AY12" s="13">
        <v>279147</v>
      </c>
      <c r="AZ12" s="13">
        <v>269711</v>
      </c>
      <c r="BA12" s="13">
        <v>763678</v>
      </c>
      <c r="BB12" s="14"/>
      <c r="BC12" s="13">
        <v>576822</v>
      </c>
      <c r="BD12" s="13">
        <v>268410</v>
      </c>
      <c r="BE12" s="13">
        <v>216481</v>
      </c>
      <c r="BF12" s="13">
        <v>45233</v>
      </c>
      <c r="BG12" s="13"/>
      <c r="BH12" s="13">
        <v>674739</v>
      </c>
      <c r="BI12" s="13">
        <v>8582</v>
      </c>
      <c r="BJ12" s="13">
        <v>96733</v>
      </c>
      <c r="BK12" s="13">
        <v>17858</v>
      </c>
      <c r="BL12" s="13"/>
      <c r="BM12" s="13">
        <v>28978</v>
      </c>
      <c r="BN12" s="13">
        <v>31889</v>
      </c>
      <c r="BO12" s="13">
        <v>7800921</v>
      </c>
      <c r="BP12" s="14">
        <f>+BO12-'ESF GA Cons Acum.'!C10</f>
        <v>0</v>
      </c>
      <c r="BQ12" s="14">
        <f>+BK12-'ESF GA Cons Acum.'!E10</f>
        <v>0</v>
      </c>
    </row>
    <row r="13" spans="2:69" ht="25">
      <c r="B13" s="11" t="s">
        <v>18</v>
      </c>
      <c r="C13" s="12">
        <v>1061400</v>
      </c>
      <c r="D13" s="12"/>
      <c r="E13" s="12">
        <v>1666893</v>
      </c>
      <c r="F13" s="12">
        <v>1854819</v>
      </c>
      <c r="G13" s="12">
        <v>1923085</v>
      </c>
      <c r="H13" s="12">
        <v>1530058</v>
      </c>
      <c r="J13" s="12">
        <f>1910745-1</f>
        <v>1910744</v>
      </c>
      <c r="K13" s="12">
        <v>2093723</v>
      </c>
      <c r="L13" s="12">
        <f>2560289</f>
        <v>2560289</v>
      </c>
      <c r="M13" s="12">
        <f>2552232-43215-38611</f>
        <v>2470406</v>
      </c>
      <c r="N13" s="12">
        <f>2472144-35475</f>
        <v>2436669</v>
      </c>
      <c r="P13" s="13">
        <v>2948749</v>
      </c>
      <c r="Q13" s="13">
        <v>2908175</v>
      </c>
      <c r="R13" s="13">
        <v>2901854</v>
      </c>
      <c r="S13" s="13">
        <v>2850973</v>
      </c>
      <c r="T13" s="13">
        <v>2963994</v>
      </c>
      <c r="U13" s="13">
        <v>2901161</v>
      </c>
      <c r="V13" s="13">
        <f>2760967-53535</f>
        <v>2707432</v>
      </c>
      <c r="X13" s="13">
        <v>2937936</v>
      </c>
      <c r="Y13" s="13">
        <v>2915690</v>
      </c>
      <c r="Z13" s="13">
        <v>2877677</v>
      </c>
      <c r="AA13" s="13">
        <v>2713849</v>
      </c>
      <c r="AB13" s="13"/>
      <c r="AC13" s="13">
        <v>2595584</v>
      </c>
      <c r="AD13" s="13">
        <v>2628419</v>
      </c>
      <c r="AE13" s="13">
        <v>2576149</v>
      </c>
      <c r="AF13" s="13">
        <v>2534821</v>
      </c>
      <c r="AG13" s="15">
        <v>2507790</v>
      </c>
      <c r="AI13" s="13">
        <v>2590350</v>
      </c>
      <c r="AJ13" s="13">
        <v>2744064</v>
      </c>
      <c r="AK13" s="13">
        <v>2962859</v>
      </c>
      <c r="AL13" s="13">
        <v>2988955</v>
      </c>
      <c r="AM13" s="13"/>
      <c r="AN13" s="13">
        <v>3488219</v>
      </c>
      <c r="AO13" s="13">
        <v>3339823</v>
      </c>
      <c r="AP13" s="13">
        <v>2863952</v>
      </c>
      <c r="AQ13" s="13">
        <v>2255887</v>
      </c>
      <c r="AR13" s="14"/>
      <c r="AS13" s="13">
        <v>2782499</v>
      </c>
      <c r="AT13" s="13">
        <v>2855680</v>
      </c>
      <c r="AU13" s="13">
        <v>2919020</v>
      </c>
      <c r="AV13" s="13">
        <v>2746524</v>
      </c>
      <c r="AW13" s="14"/>
      <c r="AX13" s="13">
        <v>3091220</v>
      </c>
      <c r="AY13" s="13">
        <v>2934931</v>
      </c>
      <c r="AZ13" s="13">
        <v>3076175</v>
      </c>
      <c r="BA13" s="13">
        <v>2993918</v>
      </c>
      <c r="BB13" s="14"/>
      <c r="BC13" s="13">
        <v>3224310</v>
      </c>
      <c r="BD13" s="13">
        <v>3207176</v>
      </c>
      <c r="BE13" s="13">
        <v>3748725</v>
      </c>
      <c r="BF13" s="13">
        <v>3521505</v>
      </c>
      <c r="BG13" s="13"/>
      <c r="BH13" s="13">
        <v>3236444</v>
      </c>
      <c r="BI13" s="13">
        <v>3477603</v>
      </c>
      <c r="BJ13" s="13">
        <v>3314007</v>
      </c>
      <c r="BK13" s="13">
        <v>3705327</v>
      </c>
      <c r="BL13" s="13"/>
      <c r="BM13" s="13">
        <v>3922951</v>
      </c>
      <c r="BN13" s="13">
        <v>3777443</v>
      </c>
      <c r="BO13" s="13">
        <v>3417943</v>
      </c>
      <c r="BP13" s="14">
        <f>+BO13-'ESF GA Cons Acum.'!C11</f>
        <v>0</v>
      </c>
      <c r="BQ13" s="14">
        <f>+BK13-'ESF GA Cons Acum.'!E11</f>
        <v>0</v>
      </c>
    </row>
    <row r="14" spans="2:69" ht="16.5" customHeight="1">
      <c r="B14" s="11" t="s">
        <v>19</v>
      </c>
      <c r="C14" s="12">
        <v>457370</v>
      </c>
      <c r="D14" s="12"/>
      <c r="E14" s="12">
        <v>592168</v>
      </c>
      <c r="F14" s="12">
        <v>647365</v>
      </c>
      <c r="G14" s="12">
        <v>658829</v>
      </c>
      <c r="H14" s="12">
        <v>650462</v>
      </c>
      <c r="J14" s="12">
        <v>766184</v>
      </c>
      <c r="K14" s="12">
        <v>828060</v>
      </c>
      <c r="L14" s="12">
        <v>908413</v>
      </c>
      <c r="M14" s="12">
        <v>902218</v>
      </c>
      <c r="N14" s="12">
        <v>902218</v>
      </c>
      <c r="P14" s="13">
        <v>913588</v>
      </c>
      <c r="Q14" s="13">
        <v>913588</v>
      </c>
      <c r="R14" s="13">
        <v>997376</v>
      </c>
      <c r="S14" s="13">
        <v>997376</v>
      </c>
      <c r="T14" s="13">
        <v>1010407</v>
      </c>
      <c r="U14" s="13">
        <v>1004900</v>
      </c>
      <c r="V14" s="13">
        <v>1069615</v>
      </c>
      <c r="X14" s="13">
        <v>1161858</v>
      </c>
      <c r="Y14" s="13">
        <v>1227443</v>
      </c>
      <c r="Z14" s="13">
        <v>1151664</v>
      </c>
      <c r="AA14" s="13">
        <v>1086669</v>
      </c>
      <c r="AB14" s="13"/>
      <c r="AC14" s="13">
        <v>1134852</v>
      </c>
      <c r="AD14" s="13">
        <v>1155422</v>
      </c>
      <c r="AE14" s="13">
        <v>1122947</v>
      </c>
      <c r="AF14" s="13">
        <v>1291909</v>
      </c>
      <c r="AG14" s="13">
        <v>1291909</v>
      </c>
      <c r="AI14" s="13">
        <v>1334905</v>
      </c>
      <c r="AJ14" s="13">
        <v>1428587</v>
      </c>
      <c r="AK14" s="13">
        <v>1383694</v>
      </c>
      <c r="AL14" s="13">
        <v>1252938</v>
      </c>
      <c r="AM14" s="13"/>
      <c r="AN14" s="13">
        <v>1508333</v>
      </c>
      <c r="AO14" s="13">
        <v>1451377</v>
      </c>
      <c r="AP14" s="13">
        <v>1498599</v>
      </c>
      <c r="AQ14" s="13">
        <v>1237080</v>
      </c>
      <c r="AR14" s="14"/>
      <c r="AS14" s="13">
        <v>1304750</v>
      </c>
      <c r="AT14" s="13">
        <v>1296513</v>
      </c>
      <c r="AU14" s="13">
        <v>1351758</v>
      </c>
      <c r="AV14" s="13">
        <v>1376345</v>
      </c>
      <c r="AW14" s="14"/>
      <c r="AX14" s="13">
        <v>1479055</v>
      </c>
      <c r="AY14" s="13">
        <v>1625181</v>
      </c>
      <c r="AZ14" s="13">
        <v>1805867</v>
      </c>
      <c r="BA14" s="13">
        <v>1924803</v>
      </c>
      <c r="BB14" s="14"/>
      <c r="BC14" s="13">
        <v>1911793</v>
      </c>
      <c r="BD14" s="13">
        <v>1914339</v>
      </c>
      <c r="BE14" s="13">
        <v>1804744</v>
      </c>
      <c r="BF14" s="13">
        <v>1658803</v>
      </c>
      <c r="BG14" s="13"/>
      <c r="BH14" s="13">
        <v>1186148</v>
      </c>
      <c r="BI14" s="13">
        <v>1338544</v>
      </c>
      <c r="BJ14" s="13">
        <v>1358016</v>
      </c>
      <c r="BK14" s="13">
        <v>1250085</v>
      </c>
      <c r="BL14" s="13"/>
      <c r="BM14" s="13">
        <v>1796786</v>
      </c>
      <c r="BN14" s="13">
        <v>1802915</v>
      </c>
      <c r="BO14" s="13">
        <v>1751148</v>
      </c>
      <c r="BP14" s="14">
        <f>+BO14-'ESF GA Cons Acum.'!C12</f>
        <v>0</v>
      </c>
      <c r="BQ14" s="14">
        <f>+BK14-'ESF GA Cons Acum.'!E12</f>
        <v>0</v>
      </c>
    </row>
    <row r="15" spans="2:69" ht="16.5" customHeight="1">
      <c r="B15" s="11" t="s">
        <v>20</v>
      </c>
      <c r="C15" s="12">
        <v>0</v>
      </c>
      <c r="D15" s="12"/>
      <c r="E15" s="12">
        <v>0</v>
      </c>
      <c r="F15" s="12">
        <v>19249</v>
      </c>
      <c r="G15" s="12">
        <v>0</v>
      </c>
      <c r="H15" s="12">
        <v>304</v>
      </c>
      <c r="J15" s="12">
        <v>0</v>
      </c>
      <c r="K15" s="12">
        <v>0</v>
      </c>
      <c r="L15" s="12">
        <v>0</v>
      </c>
      <c r="M15" s="13">
        <v>0</v>
      </c>
      <c r="N15" s="16">
        <v>0</v>
      </c>
      <c r="P15" s="13">
        <v>0</v>
      </c>
      <c r="Q15" s="13">
        <v>0</v>
      </c>
      <c r="R15" s="13">
        <v>0</v>
      </c>
      <c r="S15" s="13">
        <v>0</v>
      </c>
      <c r="T15" s="13">
        <v>0</v>
      </c>
      <c r="U15" s="13">
        <v>0</v>
      </c>
      <c r="V15" s="13">
        <v>0</v>
      </c>
      <c r="X15" s="13">
        <v>0</v>
      </c>
      <c r="Y15" s="13">
        <v>0</v>
      </c>
      <c r="Z15" s="13">
        <v>0</v>
      </c>
      <c r="AA15" s="13">
        <v>134</v>
      </c>
      <c r="AB15" s="13"/>
      <c r="AC15" s="13">
        <v>137</v>
      </c>
      <c r="AD15" s="13">
        <v>140</v>
      </c>
      <c r="AE15" s="13">
        <v>9269</v>
      </c>
      <c r="AF15" s="13">
        <v>9360</v>
      </c>
      <c r="AG15" s="13">
        <v>9360</v>
      </c>
      <c r="AI15" s="13">
        <v>9607</v>
      </c>
      <c r="AJ15" s="13">
        <v>8911</v>
      </c>
      <c r="AK15" s="13">
        <v>8339</v>
      </c>
      <c r="AL15" s="13">
        <v>9157</v>
      </c>
      <c r="AM15" s="13"/>
      <c r="AN15" s="13">
        <v>7273</v>
      </c>
      <c r="AO15" s="13">
        <v>6911</v>
      </c>
      <c r="AP15" s="13">
        <v>5932</v>
      </c>
      <c r="AQ15" s="13">
        <v>5634</v>
      </c>
      <c r="AR15" s="14"/>
      <c r="AS15" s="13">
        <v>5367</v>
      </c>
      <c r="AT15" s="13">
        <v>5652</v>
      </c>
      <c r="AU15" s="13">
        <v>5613</v>
      </c>
      <c r="AV15" s="13">
        <v>4312</v>
      </c>
      <c r="AW15" s="14"/>
      <c r="AX15" s="13">
        <v>4626</v>
      </c>
      <c r="AY15" s="13">
        <v>4657</v>
      </c>
      <c r="AZ15" s="13">
        <v>4592</v>
      </c>
      <c r="BA15" s="13">
        <v>5112</v>
      </c>
      <c r="BB15" s="14"/>
      <c r="BC15" s="13">
        <v>5507</v>
      </c>
      <c r="BD15" s="13">
        <v>5497</v>
      </c>
      <c r="BE15" s="13">
        <v>5284</v>
      </c>
      <c r="BF15" s="13">
        <v>5892</v>
      </c>
      <c r="BG15" s="13"/>
      <c r="BH15" s="13">
        <v>6005</v>
      </c>
      <c r="BI15" s="13">
        <v>4994</v>
      </c>
      <c r="BJ15" s="13">
        <v>5129</v>
      </c>
      <c r="BK15" s="13">
        <v>5430</v>
      </c>
      <c r="BL15" s="13"/>
      <c r="BM15" s="13">
        <v>5764</v>
      </c>
      <c r="BN15" s="13">
        <v>5467</v>
      </c>
      <c r="BO15" s="13">
        <v>5828</v>
      </c>
      <c r="BP15" s="14">
        <f>+BO15-'ESF GA Cons Acum.'!C13</f>
        <v>0</v>
      </c>
      <c r="BQ15" s="14">
        <f>+BK15-'ESF GA Cons Acum.'!E13</f>
        <v>0</v>
      </c>
    </row>
    <row r="16" spans="2:69" ht="25">
      <c r="B16" s="11" t="s">
        <v>21</v>
      </c>
      <c r="C16" s="12">
        <v>152440</v>
      </c>
      <c r="D16" s="12"/>
      <c r="E16" s="12">
        <v>180774</v>
      </c>
      <c r="F16" s="12">
        <v>210045</v>
      </c>
      <c r="G16" s="12">
        <v>185072</v>
      </c>
      <c r="H16" s="12">
        <v>196951</v>
      </c>
      <c r="J16" s="12">
        <v>249741</v>
      </c>
      <c r="K16" s="12">
        <v>170172</v>
      </c>
      <c r="L16" s="12">
        <v>281991</v>
      </c>
      <c r="M16" s="12">
        <f>229301+38611</f>
        <v>267912</v>
      </c>
      <c r="N16" s="12">
        <f>266056-6515</f>
        <v>259541</v>
      </c>
      <c r="P16" s="13">
        <v>262726</v>
      </c>
      <c r="Q16" s="13">
        <v>303300</v>
      </c>
      <c r="R16" s="13">
        <v>218973</v>
      </c>
      <c r="S16" s="13">
        <v>269853</v>
      </c>
      <c r="T16" s="13">
        <v>248181</v>
      </c>
      <c r="U16" s="13">
        <v>311014</v>
      </c>
      <c r="V16" s="13">
        <f>204993-6515</f>
        <v>198478</v>
      </c>
      <c r="X16" s="13">
        <v>159853</v>
      </c>
      <c r="Y16" s="13">
        <v>191360</v>
      </c>
      <c r="Z16" s="13">
        <v>287373</v>
      </c>
      <c r="AA16" s="13">
        <v>228103</v>
      </c>
      <c r="AB16" s="13"/>
      <c r="AC16" s="13">
        <v>213725</v>
      </c>
      <c r="AD16" s="13">
        <v>250434</v>
      </c>
      <c r="AE16" s="13">
        <v>259758</v>
      </c>
      <c r="AF16" s="13">
        <v>244963</v>
      </c>
      <c r="AG16" s="13">
        <v>244963</v>
      </c>
      <c r="AI16" s="13">
        <v>248254</v>
      </c>
      <c r="AJ16" s="13">
        <v>296924</v>
      </c>
      <c r="AK16" s="13">
        <v>263730</v>
      </c>
      <c r="AL16" s="13">
        <v>195625</v>
      </c>
      <c r="AM16" s="13"/>
      <c r="AN16" s="13">
        <v>212748</v>
      </c>
      <c r="AO16" s="13">
        <v>218638</v>
      </c>
      <c r="AP16" s="13">
        <v>277186</v>
      </c>
      <c r="AQ16" s="13">
        <v>212046</v>
      </c>
      <c r="AR16" s="14"/>
      <c r="AS16" s="13">
        <v>213140</v>
      </c>
      <c r="AT16" s="13">
        <v>187324</v>
      </c>
      <c r="AU16" s="13">
        <v>230313</v>
      </c>
      <c r="AV16" s="13">
        <v>229924</v>
      </c>
      <c r="AW16" s="14"/>
      <c r="AX16" s="13">
        <v>222443</v>
      </c>
      <c r="AY16" s="13">
        <v>225275</v>
      </c>
      <c r="AZ16" s="13">
        <v>337379</v>
      </c>
      <c r="BA16" s="13">
        <v>336957</v>
      </c>
      <c r="BB16" s="14"/>
      <c r="BC16" s="13">
        <v>285725</v>
      </c>
      <c r="BD16" s="13">
        <v>257952</v>
      </c>
      <c r="BE16" s="13">
        <v>365699</v>
      </c>
      <c r="BF16" s="13">
        <v>334380</v>
      </c>
      <c r="BG16" s="13"/>
      <c r="BH16" s="13">
        <v>191503</v>
      </c>
      <c r="BI16" s="13">
        <v>195418</v>
      </c>
      <c r="BJ16" s="13">
        <v>269145</v>
      </c>
      <c r="BK16" s="13">
        <v>298388</v>
      </c>
      <c r="BL16" s="13"/>
      <c r="BM16" s="13">
        <v>248579</v>
      </c>
      <c r="BN16" s="13">
        <v>244457</v>
      </c>
      <c r="BO16" s="13">
        <v>256878</v>
      </c>
      <c r="BP16" s="14">
        <f>+BO16-'ESF GA Cons Acum.'!C14</f>
        <v>0</v>
      </c>
      <c r="BQ16" s="14">
        <f>+BK16-'ESF GA Cons Acum.'!E14</f>
        <v>0</v>
      </c>
    </row>
    <row r="17" spans="2:69" ht="17.25" customHeight="1">
      <c r="B17" s="11" t="s">
        <v>22</v>
      </c>
      <c r="C17" s="12">
        <v>15097</v>
      </c>
      <c r="D17" s="12"/>
      <c r="E17" s="12">
        <v>518</v>
      </c>
      <c r="F17" s="12">
        <v>159</v>
      </c>
      <c r="G17" s="12">
        <v>159</v>
      </c>
      <c r="H17" s="12">
        <v>7725</v>
      </c>
      <c r="J17" s="12">
        <v>622</v>
      </c>
      <c r="K17" s="12">
        <v>116777</v>
      </c>
      <c r="L17" s="12">
        <v>2541</v>
      </c>
      <c r="M17" s="16">
        <v>104882</v>
      </c>
      <c r="N17" s="16">
        <v>10142</v>
      </c>
      <c r="P17" s="13">
        <v>106221</v>
      </c>
      <c r="Q17" s="13">
        <v>11481</v>
      </c>
      <c r="R17" s="13">
        <v>105940</v>
      </c>
      <c r="S17" s="13">
        <v>11200</v>
      </c>
      <c r="T17" s="13">
        <v>103504</v>
      </c>
      <c r="U17" s="13">
        <v>8763</v>
      </c>
      <c r="V17" s="13">
        <v>350872</v>
      </c>
      <c r="X17" s="13">
        <v>340810</v>
      </c>
      <c r="Y17" s="13">
        <v>8346</v>
      </c>
      <c r="Z17" s="13">
        <v>8187</v>
      </c>
      <c r="AA17" s="13">
        <v>49925</v>
      </c>
      <c r="AB17" s="13"/>
      <c r="AC17" s="13">
        <v>49884</v>
      </c>
      <c r="AD17" s="13">
        <v>49797</v>
      </c>
      <c r="AE17" s="13">
        <v>63665</v>
      </c>
      <c r="AF17" s="13">
        <v>40030</v>
      </c>
      <c r="AG17" s="13">
        <v>40030</v>
      </c>
      <c r="AI17" s="13">
        <v>40088</v>
      </c>
      <c r="AJ17" s="13">
        <v>25003</v>
      </c>
      <c r="AK17" s="13">
        <v>1853</v>
      </c>
      <c r="AL17" s="13">
        <v>76744</v>
      </c>
      <c r="AM17" s="13"/>
      <c r="AN17" s="13">
        <v>30801</v>
      </c>
      <c r="AO17" s="13">
        <v>31241</v>
      </c>
      <c r="AP17" s="13">
        <v>30323</v>
      </c>
      <c r="AQ17" s="13">
        <v>247954</v>
      </c>
      <c r="AR17" s="14"/>
      <c r="AS17" s="13">
        <v>260293</v>
      </c>
      <c r="AT17" s="13">
        <v>250306</v>
      </c>
      <c r="AU17" s="13">
        <v>246530</v>
      </c>
      <c r="AV17" s="13">
        <v>58304</v>
      </c>
      <c r="AW17" s="14"/>
      <c r="AX17" s="13">
        <v>56598</v>
      </c>
      <c r="AY17" s="13">
        <v>165764</v>
      </c>
      <c r="AZ17" s="13">
        <v>3022011</v>
      </c>
      <c r="BA17" s="13">
        <v>6169569</v>
      </c>
      <c r="BB17" s="14"/>
      <c r="BC17" s="13">
        <v>5958909</v>
      </c>
      <c r="BD17" s="13">
        <v>4834246</v>
      </c>
      <c r="BE17" s="13">
        <v>4646205</v>
      </c>
      <c r="BF17" s="13">
        <v>2112245</v>
      </c>
      <c r="BG17" s="13"/>
      <c r="BH17" s="13">
        <v>75578</v>
      </c>
      <c r="BI17" s="13">
        <v>253067</v>
      </c>
      <c r="BJ17" s="13">
        <v>225543</v>
      </c>
      <c r="BK17" s="13">
        <v>9337964</v>
      </c>
      <c r="BL17" s="13"/>
      <c r="BM17" s="13">
        <v>11602542</v>
      </c>
      <c r="BN17" s="13">
        <v>11582715</v>
      </c>
      <c r="BO17" s="13">
        <v>139453</v>
      </c>
      <c r="BP17" s="14">
        <f>+BO17-'ESF GA Cons Acum.'!C15</f>
        <v>0</v>
      </c>
      <c r="BQ17" s="14">
        <f>+BK17-'ESF GA Cons Acum.'!E15</f>
        <v>0</v>
      </c>
    </row>
    <row r="18" spans="2:69" ht="6" customHeight="1">
      <c r="B18" s="11"/>
      <c r="C18" s="12"/>
      <c r="D18" s="12"/>
      <c r="E18" s="12"/>
      <c r="F18" s="12"/>
      <c r="G18" s="12"/>
      <c r="H18" s="12"/>
      <c r="J18" s="12"/>
      <c r="K18" s="12"/>
      <c r="L18" s="12"/>
      <c r="M18" s="12"/>
      <c r="N18" s="12"/>
      <c r="P18" s="12"/>
      <c r="Q18" s="12"/>
      <c r="R18" s="12"/>
      <c r="S18" s="12"/>
      <c r="T18" s="12"/>
      <c r="U18" s="12"/>
      <c r="V18" s="12"/>
      <c r="X18" s="12"/>
      <c r="Y18" s="12"/>
      <c r="Z18" s="12"/>
      <c r="AA18" s="12"/>
      <c r="AB18" s="12"/>
      <c r="AC18" s="12"/>
      <c r="AD18" s="12"/>
      <c r="AE18" s="12"/>
      <c r="AF18" s="12"/>
      <c r="AG18" s="12"/>
      <c r="AI18" s="12"/>
      <c r="AJ18" s="12"/>
      <c r="AK18" s="12"/>
      <c r="AL18" s="12"/>
      <c r="AM18" s="12"/>
      <c r="AN18" s="12"/>
      <c r="AO18" s="12"/>
      <c r="AP18" s="12"/>
      <c r="AQ18" s="12"/>
      <c r="AR18" s="14"/>
      <c r="AS18" s="12"/>
      <c r="AT18" s="12"/>
      <c r="AU18" s="12"/>
      <c r="AV18" s="12"/>
      <c r="AW18" s="14"/>
      <c r="AX18" s="12"/>
      <c r="AY18" s="12"/>
      <c r="AZ18" s="12"/>
      <c r="BA18" s="12"/>
      <c r="BB18" s="14"/>
      <c r="BC18" s="12"/>
      <c r="BD18" s="12"/>
      <c r="BE18" s="12"/>
      <c r="BF18" s="12"/>
      <c r="BG18" s="12"/>
      <c r="BH18" s="12"/>
      <c r="BI18" s="12"/>
      <c r="BJ18" s="12"/>
      <c r="BK18" s="12"/>
      <c r="BL18" s="12"/>
      <c r="BM18" s="12"/>
      <c r="BN18" s="12"/>
      <c r="BO18" s="12"/>
      <c r="BP18" s="14"/>
      <c r="BQ18" s="14"/>
    </row>
    <row r="19" spans="2:69" ht="13">
      <c r="B19" s="17" t="s">
        <v>23</v>
      </c>
      <c r="C19" s="18">
        <f>+SUM(C10:C17)</f>
        <v>3184367</v>
      </c>
      <c r="D19" s="18"/>
      <c r="E19" s="18">
        <f>+SUM(E10:E17)</f>
        <v>4150769</v>
      </c>
      <c r="F19" s="18">
        <f>+SUM(F10:F17)</f>
        <v>4090968</v>
      </c>
      <c r="G19" s="18">
        <f>+SUM(G10:G17)</f>
        <v>4502817</v>
      </c>
      <c r="H19" s="18">
        <f>+SUM(H10:H17)</f>
        <v>3736619</v>
      </c>
      <c r="J19" s="18">
        <f>+SUM(J10:J17)</f>
        <v>4374103</v>
      </c>
      <c r="K19" s="18">
        <f>+SUM(K10:K17)</f>
        <v>4006227</v>
      </c>
      <c r="L19" s="18">
        <f>+SUM(L10:L17)</f>
        <v>5353030</v>
      </c>
      <c r="M19" s="18">
        <f>+SUM(M10:M17)</f>
        <v>5667971</v>
      </c>
      <c r="N19" s="18">
        <f>+SUM(N10:N17)</f>
        <v>5531149</v>
      </c>
      <c r="P19" s="18">
        <f t="shared" ref="P19:V19" si="0">+SUM(P10:P17)</f>
        <v>6015661</v>
      </c>
      <c r="Q19" s="18">
        <f t="shared" si="0"/>
        <v>5920921</v>
      </c>
      <c r="R19" s="18">
        <f t="shared" si="0"/>
        <v>5885850</v>
      </c>
      <c r="S19" s="18">
        <f t="shared" si="0"/>
        <v>5791109</v>
      </c>
      <c r="T19" s="18">
        <f t="shared" si="0"/>
        <v>6286340</v>
      </c>
      <c r="U19" s="18">
        <f t="shared" si="0"/>
        <v>6186092</v>
      </c>
      <c r="V19" s="18">
        <f t="shared" si="0"/>
        <v>6251592</v>
      </c>
      <c r="X19" s="18">
        <f>+SUM(X10:X17)</f>
        <v>7081472</v>
      </c>
      <c r="Y19" s="18">
        <f t="shared" ref="Y19:AG19" si="1">+SUM(Y10:Y17)</f>
        <v>6813101</v>
      </c>
      <c r="Z19" s="18">
        <f t="shared" si="1"/>
        <v>6878343</v>
      </c>
      <c r="AA19" s="18">
        <f t="shared" si="1"/>
        <v>6750119</v>
      </c>
      <c r="AB19" s="18"/>
      <c r="AC19" s="18">
        <f t="shared" si="1"/>
        <v>6506956</v>
      </c>
      <c r="AD19" s="18">
        <f t="shared" si="1"/>
        <v>6692224</v>
      </c>
      <c r="AE19" s="18">
        <f t="shared" si="1"/>
        <v>6549836</v>
      </c>
      <c r="AF19" s="18">
        <f t="shared" si="1"/>
        <v>6851955</v>
      </c>
      <c r="AG19" s="19">
        <f t="shared" si="1"/>
        <v>6824924</v>
      </c>
      <c r="AI19" s="18">
        <f t="shared" ref="AI19:AL19" si="2">+SUM(AI10:AI17)</f>
        <v>6763867</v>
      </c>
      <c r="AJ19" s="18">
        <f t="shared" si="2"/>
        <v>6940935</v>
      </c>
      <c r="AK19" s="18">
        <f t="shared" si="2"/>
        <v>7394088</v>
      </c>
      <c r="AL19" s="18">
        <f t="shared" si="2"/>
        <v>7126839</v>
      </c>
      <c r="AM19" s="18"/>
      <c r="AN19" s="18">
        <f t="shared" ref="AN19:AQ19" si="3">+SUM(AN10:AN17)</f>
        <v>8544298</v>
      </c>
      <c r="AO19" s="18">
        <f t="shared" si="3"/>
        <v>8410095</v>
      </c>
      <c r="AP19" s="18">
        <f t="shared" si="3"/>
        <v>7703285</v>
      </c>
      <c r="AQ19" s="18">
        <f t="shared" si="3"/>
        <v>6666051</v>
      </c>
      <c r="AR19" s="14"/>
      <c r="AS19" s="18">
        <f t="shared" ref="AS19:AZ19" si="4">+SUM(AS10:AS17)</f>
        <v>7251370</v>
      </c>
      <c r="AT19" s="18">
        <f t="shared" si="4"/>
        <v>7170066</v>
      </c>
      <c r="AU19" s="18">
        <f t="shared" si="4"/>
        <v>7284387</v>
      </c>
      <c r="AV19" s="18">
        <f t="shared" si="4"/>
        <v>7989257</v>
      </c>
      <c r="AW19" s="14"/>
      <c r="AX19" s="18">
        <f t="shared" si="4"/>
        <v>7649231</v>
      </c>
      <c r="AY19" s="18">
        <f t="shared" si="4"/>
        <v>7305200</v>
      </c>
      <c r="AZ19" s="18">
        <f t="shared" si="4"/>
        <v>9975676</v>
      </c>
      <c r="BA19" s="18">
        <f t="shared" ref="BA19:BC19" si="5">+SUM(BA10:BA17)</f>
        <v>13693378</v>
      </c>
      <c r="BB19" s="14"/>
      <c r="BC19" s="18">
        <f t="shared" si="5"/>
        <v>13262168</v>
      </c>
      <c r="BD19" s="18">
        <f t="shared" ref="BD19:BE19" si="6">+SUM(BD10:BD17)</f>
        <v>12257186</v>
      </c>
      <c r="BE19" s="18">
        <f t="shared" si="6"/>
        <v>12582604</v>
      </c>
      <c r="BF19" s="18">
        <f t="shared" ref="BF19:BH19" si="7">+SUM(BF10:BF17)</f>
        <v>10038551</v>
      </c>
      <c r="BG19" s="18"/>
      <c r="BH19" s="18">
        <f t="shared" si="7"/>
        <v>8741915</v>
      </c>
      <c r="BI19" s="18">
        <f t="shared" ref="BI19:BK19" si="8">+SUM(BI10:BI17)</f>
        <v>8697721</v>
      </c>
      <c r="BJ19" s="18">
        <f t="shared" si="8"/>
        <v>7679708</v>
      </c>
      <c r="BK19" s="18">
        <f t="shared" si="8"/>
        <v>16221543</v>
      </c>
      <c r="BL19" s="18"/>
      <c r="BM19" s="18">
        <f t="shared" ref="BM19:BN19" si="9">+SUM(BM10:BM17)</f>
        <v>30375997</v>
      </c>
      <c r="BN19" s="18">
        <f t="shared" si="9"/>
        <v>29496928</v>
      </c>
      <c r="BO19" s="18">
        <f t="shared" ref="BO19" si="10">+SUM(BO10:BO17)</f>
        <v>17924569</v>
      </c>
      <c r="BP19" s="14">
        <f>+BO19-'ESF GA Cons Acum.'!C17</f>
        <v>0</v>
      </c>
      <c r="BQ19" s="14">
        <f>+BK19-'ESF GA Cons Acum.'!E17</f>
        <v>0</v>
      </c>
    </row>
    <row r="20" spans="2:69" ht="5.25" customHeight="1">
      <c r="C20" s="20"/>
      <c r="D20" s="20"/>
      <c r="E20" s="20"/>
      <c r="F20" s="20"/>
      <c r="G20" s="20"/>
      <c r="H20" s="20"/>
      <c r="J20" s="20"/>
      <c r="K20" s="20"/>
      <c r="L20" s="20"/>
      <c r="M20" s="20"/>
      <c r="N20" s="20"/>
      <c r="P20" s="20"/>
      <c r="Q20" s="20"/>
      <c r="R20" s="20"/>
      <c r="S20" s="20"/>
      <c r="T20" s="20"/>
      <c r="U20" s="20"/>
      <c r="V20" s="20"/>
      <c r="X20" s="20"/>
      <c r="Y20" s="20"/>
      <c r="Z20" s="20"/>
      <c r="AA20" s="20"/>
      <c r="AB20" s="20"/>
      <c r="AC20" s="20"/>
      <c r="AD20" s="20"/>
      <c r="AE20" s="20"/>
      <c r="AF20" s="20"/>
      <c r="AG20" s="20"/>
      <c r="AI20" s="20"/>
      <c r="AJ20" s="20"/>
      <c r="AK20" s="20"/>
      <c r="AL20" s="20"/>
      <c r="AM20" s="20"/>
      <c r="AN20" s="20"/>
      <c r="AO20" s="20"/>
      <c r="AP20" s="20"/>
      <c r="AQ20" s="20"/>
      <c r="AR20" s="14"/>
      <c r="AS20" s="20"/>
      <c r="AT20" s="20"/>
      <c r="AU20" s="20"/>
      <c r="AV20" s="20"/>
      <c r="AW20" s="14"/>
      <c r="AX20" s="20"/>
      <c r="AY20" s="20"/>
      <c r="AZ20" s="20"/>
      <c r="BA20" s="20"/>
      <c r="BB20" s="14"/>
      <c r="BC20" s="20"/>
      <c r="BD20" s="20"/>
      <c r="BE20" s="20"/>
      <c r="BF20" s="20"/>
      <c r="BG20" s="20"/>
      <c r="BH20" s="20"/>
      <c r="BI20" s="20"/>
      <c r="BJ20" s="20"/>
      <c r="BK20" s="20"/>
      <c r="BL20" s="20"/>
      <c r="BM20" s="20"/>
      <c r="BN20" s="20"/>
      <c r="BO20" s="20"/>
      <c r="BP20" s="14"/>
      <c r="BQ20" s="14"/>
    </row>
    <row r="21" spans="2:69" ht="16.5" customHeight="1">
      <c r="B21" s="21" t="s">
        <v>24</v>
      </c>
      <c r="C21" s="12">
        <v>8653427</v>
      </c>
      <c r="D21" s="12"/>
      <c r="E21" s="12">
        <v>8935072</v>
      </c>
      <c r="F21" s="12">
        <v>9068100</v>
      </c>
      <c r="G21" s="12">
        <v>9214489</v>
      </c>
      <c r="H21" s="12">
        <v>9290669</v>
      </c>
      <c r="J21" s="12">
        <v>8294641</v>
      </c>
      <c r="K21" s="12">
        <v>9415204</v>
      </c>
      <c r="L21" s="12">
        <v>9276252</v>
      </c>
      <c r="M21" s="16">
        <v>10149084</v>
      </c>
      <c r="N21" s="16">
        <v>11057388</v>
      </c>
      <c r="P21" s="13">
        <v>10186863</v>
      </c>
      <c r="Q21" s="13">
        <v>10523808</v>
      </c>
      <c r="R21" s="13">
        <v>10021757</v>
      </c>
      <c r="S21" s="13">
        <v>10352899</v>
      </c>
      <c r="T21" s="13">
        <v>10724307</v>
      </c>
      <c r="U21" s="13">
        <v>10068031</v>
      </c>
      <c r="V21" s="13">
        <v>9925907</v>
      </c>
      <c r="X21" s="13">
        <v>9305216</v>
      </c>
      <c r="Y21" s="13">
        <v>9415214</v>
      </c>
      <c r="Z21" s="13">
        <v>9217994</v>
      </c>
      <c r="AA21" s="13">
        <v>9616673</v>
      </c>
      <c r="AB21" s="22"/>
      <c r="AC21" s="13">
        <v>9294677</v>
      </c>
      <c r="AD21" s="13">
        <v>9539703</v>
      </c>
      <c r="AE21" s="13">
        <v>9593645</v>
      </c>
      <c r="AF21" s="13">
        <v>9846505</v>
      </c>
      <c r="AG21" s="13">
        <v>9846505</v>
      </c>
      <c r="AI21" s="13">
        <v>10062303</v>
      </c>
      <c r="AJ21" s="13">
        <v>10155467</v>
      </c>
      <c r="AK21" s="13">
        <v>10718255</v>
      </c>
      <c r="AL21" s="13">
        <v>10206002</v>
      </c>
      <c r="AM21" s="13"/>
      <c r="AN21" s="13">
        <v>10242667</v>
      </c>
      <c r="AO21" s="13">
        <v>10132137</v>
      </c>
      <c r="AP21" s="13">
        <v>10496967</v>
      </c>
      <c r="AQ21" s="13">
        <v>10263780</v>
      </c>
      <c r="AR21" s="14"/>
      <c r="AS21" s="13">
        <v>10463122</v>
      </c>
      <c r="AT21" s="13">
        <v>10613651</v>
      </c>
      <c r="AU21" s="13">
        <v>10665617</v>
      </c>
      <c r="AV21" s="13">
        <v>11590167</v>
      </c>
      <c r="AW21" s="14"/>
      <c r="AX21" s="13">
        <v>12353168</v>
      </c>
      <c r="AY21" s="13">
        <v>12378988</v>
      </c>
      <c r="AZ21" s="13">
        <v>12354606</v>
      </c>
      <c r="BA21" s="13">
        <v>13489764</v>
      </c>
      <c r="BB21" s="14"/>
      <c r="BC21" s="13">
        <v>14318261</v>
      </c>
      <c r="BD21" s="13">
        <v>11746217</v>
      </c>
      <c r="BE21" s="13">
        <v>11546483</v>
      </c>
      <c r="BF21" s="13">
        <v>11727430</v>
      </c>
      <c r="BG21" s="13"/>
      <c r="BH21" s="13">
        <v>22643007</v>
      </c>
      <c r="BI21" s="13">
        <v>24509369</v>
      </c>
      <c r="BJ21" s="13">
        <v>24517825</v>
      </c>
      <c r="BK21" s="13">
        <v>15158949</v>
      </c>
      <c r="BL21" s="13"/>
      <c r="BM21" s="13">
        <v>3485081</v>
      </c>
      <c r="BN21" s="13">
        <v>3421509</v>
      </c>
      <c r="BO21" s="13">
        <v>3730807</v>
      </c>
      <c r="BP21" s="14">
        <f>+BO21-'ESF GA Cons Acum.'!C19</f>
        <v>0</v>
      </c>
      <c r="BQ21" s="14">
        <f>+BK21-'ESF GA Cons Acum.'!E19</f>
        <v>0</v>
      </c>
    </row>
    <row r="22" spans="2:69" ht="25">
      <c r="B22" s="11" t="s">
        <v>18</v>
      </c>
      <c r="C22" s="12">
        <v>39047</v>
      </c>
      <c r="D22" s="12"/>
      <c r="E22" s="12">
        <v>50040</v>
      </c>
      <c r="F22" s="12">
        <v>686285</v>
      </c>
      <c r="G22" s="12">
        <v>40533</v>
      </c>
      <c r="H22" s="12">
        <v>52726</v>
      </c>
      <c r="J22" s="12">
        <v>36393</v>
      </c>
      <c r="K22" s="12">
        <v>43929</v>
      </c>
      <c r="L22" s="12">
        <v>183826</v>
      </c>
      <c r="M22" s="16">
        <v>217495</v>
      </c>
      <c r="N22" s="12">
        <f>281064+35475</f>
        <v>316539</v>
      </c>
      <c r="P22" s="13">
        <v>212255</v>
      </c>
      <c r="Q22" s="13">
        <v>850529</v>
      </c>
      <c r="R22" s="13">
        <v>1205357</v>
      </c>
      <c r="S22" s="13">
        <f>1818303-1</f>
        <v>1818302</v>
      </c>
      <c r="T22" s="13">
        <v>1478723</v>
      </c>
      <c r="U22" s="13">
        <f>2022828+1</f>
        <v>2022829</v>
      </c>
      <c r="V22" s="13">
        <f>2506692+53535</f>
        <v>2560227</v>
      </c>
      <c r="X22" s="13">
        <v>2413115</v>
      </c>
      <c r="Y22" s="13">
        <v>2632075</v>
      </c>
      <c r="Z22" s="13">
        <v>2564302</v>
      </c>
      <c r="AA22" s="13">
        <f>2619430</f>
        <v>2619430</v>
      </c>
      <c r="AB22" s="22"/>
      <c r="AC22" s="13">
        <v>2452386</v>
      </c>
      <c r="AD22" s="13">
        <v>2541049</v>
      </c>
      <c r="AE22" s="13">
        <v>2626524</v>
      </c>
      <c r="AF22" s="13">
        <f>2632021-1</f>
        <v>2632020</v>
      </c>
      <c r="AG22" s="13">
        <f>2632021-1</f>
        <v>2632020</v>
      </c>
      <c r="AI22" s="13">
        <v>2531992</v>
      </c>
      <c r="AJ22" s="13">
        <v>2534900</v>
      </c>
      <c r="AK22" s="13">
        <v>2804985</v>
      </c>
      <c r="AL22" s="13">
        <v>2493612</v>
      </c>
      <c r="AM22" s="13"/>
      <c r="AN22" s="13">
        <v>3054316</v>
      </c>
      <c r="AO22" s="13">
        <v>2833245</v>
      </c>
      <c r="AP22" s="13">
        <v>3195490</v>
      </c>
      <c r="AQ22" s="13">
        <f>2828010-2</f>
        <v>2828008</v>
      </c>
      <c r="AR22" s="14"/>
      <c r="AS22" s="13">
        <v>3078305</v>
      </c>
      <c r="AT22" s="13">
        <v>3136391</v>
      </c>
      <c r="AU22" s="13">
        <v>3119248</v>
      </c>
      <c r="AV22" s="13">
        <v>867991</v>
      </c>
      <c r="AW22" s="14"/>
      <c r="AX22" s="13">
        <v>915013</v>
      </c>
      <c r="AY22" s="13">
        <v>779178</v>
      </c>
      <c r="AZ22" s="13">
        <v>866636</v>
      </c>
      <c r="BA22" s="13">
        <v>574099</v>
      </c>
      <c r="BB22" s="14"/>
      <c r="BC22" s="13">
        <v>585505</v>
      </c>
      <c r="BD22" s="13">
        <v>518730</v>
      </c>
      <c r="BE22" s="13">
        <v>530104</v>
      </c>
      <c r="BF22" s="13">
        <v>713673</v>
      </c>
      <c r="BG22" s="13"/>
      <c r="BH22" s="13">
        <v>718366</v>
      </c>
      <c r="BI22" s="13">
        <v>789080</v>
      </c>
      <c r="BJ22" s="13">
        <v>831313</v>
      </c>
      <c r="BK22" s="13">
        <v>597111</v>
      </c>
      <c r="BL22" s="13"/>
      <c r="BM22" s="13">
        <v>542571</v>
      </c>
      <c r="BN22" s="13">
        <v>521683</v>
      </c>
      <c r="BO22" s="13">
        <v>490264</v>
      </c>
      <c r="BP22" s="14">
        <f>+BO22-'ESF GA Cons Acum.'!C20</f>
        <v>0</v>
      </c>
      <c r="BQ22" s="14">
        <f>+BK22-'ESF GA Cons Acum.'!E20</f>
        <v>0</v>
      </c>
    </row>
    <row r="23" spans="2:69" ht="16.5" hidden="1" customHeight="1">
      <c r="B23" s="21" t="s">
        <v>19</v>
      </c>
      <c r="C23" s="12">
        <v>0</v>
      </c>
      <c r="D23" s="12"/>
      <c r="E23" s="12">
        <v>0</v>
      </c>
      <c r="F23" s="12">
        <v>0</v>
      </c>
      <c r="G23" s="12">
        <v>0</v>
      </c>
      <c r="H23" s="12">
        <v>29508</v>
      </c>
      <c r="J23" s="12">
        <v>0</v>
      </c>
      <c r="K23" s="12">
        <v>0</v>
      </c>
      <c r="L23" s="12">
        <v>0</v>
      </c>
      <c r="M23" s="16">
        <v>24146</v>
      </c>
      <c r="N23" s="16">
        <v>24146</v>
      </c>
      <c r="P23" s="13">
        <v>26594</v>
      </c>
      <c r="Q23" s="13">
        <v>26594</v>
      </c>
      <c r="R23" s="13">
        <v>26594</v>
      </c>
      <c r="S23" s="13">
        <v>26594</v>
      </c>
      <c r="T23" s="13">
        <v>20659</v>
      </c>
      <c r="U23" s="13">
        <v>20659</v>
      </c>
      <c r="V23" s="13">
        <v>42583</v>
      </c>
      <c r="X23" s="13">
        <v>44913</v>
      </c>
      <c r="Y23" s="13">
        <v>46887</v>
      </c>
      <c r="Z23" s="13">
        <v>46720</v>
      </c>
      <c r="AA23" s="13">
        <v>47275</v>
      </c>
      <c r="AB23" s="13"/>
      <c r="AC23" s="13">
        <v>47952</v>
      </c>
      <c r="AD23" s="13">
        <v>49144</v>
      </c>
      <c r="AE23" s="13">
        <v>50734</v>
      </c>
      <c r="AF23" s="13">
        <v>36747</v>
      </c>
      <c r="AG23" s="13">
        <v>36747</v>
      </c>
      <c r="AI23" s="13">
        <v>36959</v>
      </c>
      <c r="AJ23" s="13">
        <v>37029</v>
      </c>
      <c r="AK23" s="13">
        <v>36065</v>
      </c>
      <c r="AL23" s="13">
        <v>37204</v>
      </c>
      <c r="AM23" s="13"/>
      <c r="AN23" s="13">
        <v>37366</v>
      </c>
      <c r="AO23" s="13">
        <v>0</v>
      </c>
      <c r="AP23" s="13">
        <v>0</v>
      </c>
      <c r="AQ23" s="13">
        <v>0</v>
      </c>
      <c r="AR23" s="14"/>
      <c r="AS23" s="13">
        <v>0</v>
      </c>
      <c r="AT23" s="13">
        <v>0</v>
      </c>
      <c r="AU23" s="13">
        <v>0</v>
      </c>
      <c r="AV23" s="13">
        <v>0</v>
      </c>
      <c r="AW23" s="14"/>
      <c r="AX23" s="13">
        <v>0</v>
      </c>
      <c r="AY23" s="13">
        <v>0</v>
      </c>
      <c r="AZ23" s="13">
        <v>0</v>
      </c>
      <c r="BA23" s="13">
        <v>0</v>
      </c>
      <c r="BB23" s="14"/>
      <c r="BC23" s="13">
        <v>0</v>
      </c>
      <c r="BD23" s="13">
        <v>0</v>
      </c>
      <c r="BE23" s="13">
        <v>0</v>
      </c>
      <c r="BF23" s="13">
        <v>0</v>
      </c>
      <c r="BG23" s="13"/>
      <c r="BH23" s="13">
        <v>0</v>
      </c>
      <c r="BI23" s="13">
        <v>0</v>
      </c>
      <c r="BJ23" s="13">
        <v>0</v>
      </c>
      <c r="BK23" s="13">
        <v>0</v>
      </c>
      <c r="BL23" s="13"/>
      <c r="BM23" s="13">
        <v>0</v>
      </c>
      <c r="BN23" s="13">
        <v>0</v>
      </c>
      <c r="BO23" s="13">
        <v>0</v>
      </c>
      <c r="BP23" s="14">
        <f>+BO23-'ESF GA Cons Acum.'!C21</f>
        <v>0</v>
      </c>
      <c r="BQ23" s="14">
        <f>+BK23-'ESF GA Cons Acum.'!E21</f>
        <v>0</v>
      </c>
    </row>
    <row r="24" spans="2:69" ht="16.5" customHeight="1">
      <c r="B24" s="21" t="s">
        <v>25</v>
      </c>
      <c r="C24" s="12">
        <v>0</v>
      </c>
      <c r="D24" s="12"/>
      <c r="E24" s="12">
        <v>0</v>
      </c>
      <c r="F24" s="12">
        <v>0</v>
      </c>
      <c r="G24" s="12">
        <v>0</v>
      </c>
      <c r="H24" s="12">
        <v>0</v>
      </c>
      <c r="J24" s="12">
        <v>0</v>
      </c>
      <c r="K24" s="12">
        <v>0</v>
      </c>
      <c r="L24" s="12">
        <v>0</v>
      </c>
      <c r="M24" s="12">
        <v>0</v>
      </c>
      <c r="N24" s="12">
        <v>0</v>
      </c>
      <c r="P24" s="12">
        <v>0</v>
      </c>
      <c r="Q24" s="12">
        <v>0</v>
      </c>
      <c r="R24" s="12">
        <v>0</v>
      </c>
      <c r="S24" s="12">
        <v>0</v>
      </c>
      <c r="T24" s="12">
        <v>0</v>
      </c>
      <c r="U24" s="12">
        <v>0</v>
      </c>
      <c r="V24" s="12">
        <v>0</v>
      </c>
      <c r="X24" s="12">
        <v>0</v>
      </c>
      <c r="Y24" s="12">
        <v>0</v>
      </c>
      <c r="Z24" s="12">
        <v>0</v>
      </c>
      <c r="AA24" s="12">
        <v>0</v>
      </c>
      <c r="AB24" s="13"/>
      <c r="AC24" s="12">
        <v>0</v>
      </c>
      <c r="AD24" s="12">
        <v>0</v>
      </c>
      <c r="AE24" s="12">
        <v>0</v>
      </c>
      <c r="AF24" s="12">
        <v>0</v>
      </c>
      <c r="AG24" s="12">
        <v>0</v>
      </c>
      <c r="AI24" s="13">
        <v>1052531</v>
      </c>
      <c r="AJ24" s="13">
        <v>1126595</v>
      </c>
      <c r="AK24" s="13">
        <v>1142187</v>
      </c>
      <c r="AL24" s="13">
        <v>1071329</v>
      </c>
      <c r="AM24" s="13"/>
      <c r="AN24" s="13">
        <v>1024970</v>
      </c>
      <c r="AO24" s="13">
        <v>902442</v>
      </c>
      <c r="AP24" s="13">
        <v>875096</v>
      </c>
      <c r="AQ24" s="13">
        <v>813037</v>
      </c>
      <c r="AR24" s="14"/>
      <c r="AS24" s="13">
        <v>720008</v>
      </c>
      <c r="AT24" s="13">
        <v>688018</v>
      </c>
      <c r="AU24" s="13">
        <v>691925</v>
      </c>
      <c r="AV24" s="13">
        <v>704186</v>
      </c>
      <c r="AW24" s="14"/>
      <c r="AX24" s="13">
        <v>674017</v>
      </c>
      <c r="AY24" s="13">
        <v>689454</v>
      </c>
      <c r="AZ24" s="13">
        <v>665541</v>
      </c>
      <c r="BA24" s="13">
        <v>669838</v>
      </c>
      <c r="BB24" s="14"/>
      <c r="BC24" s="13">
        <v>633519</v>
      </c>
      <c r="BD24" s="13">
        <v>568297</v>
      </c>
      <c r="BE24" s="13">
        <v>570439</v>
      </c>
      <c r="BF24" s="13">
        <v>513956</v>
      </c>
      <c r="BG24" s="13"/>
      <c r="BH24" s="13">
        <v>223289</v>
      </c>
      <c r="BI24" s="13">
        <v>209256</v>
      </c>
      <c r="BJ24" s="13">
        <v>197681</v>
      </c>
      <c r="BK24" s="13">
        <v>178306</v>
      </c>
      <c r="BL24" s="13"/>
      <c r="BM24" s="13">
        <v>152699</v>
      </c>
      <c r="BN24" s="13">
        <v>146188</v>
      </c>
      <c r="BO24" s="13">
        <v>138802</v>
      </c>
      <c r="BP24" s="14">
        <f>+BO24-'ESF GA Cons Acum.'!C22</f>
        <v>0</v>
      </c>
      <c r="BQ24" s="14">
        <f>+BK24-'ESF GA Cons Acum.'!E22</f>
        <v>0</v>
      </c>
    </row>
    <row r="25" spans="2:69" ht="16.5" customHeight="1">
      <c r="B25" s="21" t="s">
        <v>471</v>
      </c>
      <c r="C25" s="23">
        <v>2237788</v>
      </c>
      <c r="D25" s="23"/>
      <c r="E25" s="23">
        <v>2751255</v>
      </c>
      <c r="F25" s="23">
        <v>2220411</v>
      </c>
      <c r="G25" s="23">
        <v>2435384</v>
      </c>
      <c r="H25" s="23">
        <v>3409486</v>
      </c>
      <c r="J25" s="23">
        <v>2804196</v>
      </c>
      <c r="K25" s="23">
        <v>3410689</v>
      </c>
      <c r="L25" s="23">
        <v>4668749</v>
      </c>
      <c r="M25" s="16">
        <v>5298574</v>
      </c>
      <c r="N25" s="12">
        <f>4842947+1</f>
        <v>4842948</v>
      </c>
      <c r="P25" s="13">
        <v>5147746</v>
      </c>
      <c r="Q25" s="13">
        <v>4671225</v>
      </c>
      <c r="R25" s="13">
        <v>5169608</v>
      </c>
      <c r="S25" s="13">
        <v>4702047</v>
      </c>
      <c r="T25" s="13">
        <v>4553369</v>
      </c>
      <c r="U25" s="13">
        <v>4647798</v>
      </c>
      <c r="V25" s="13">
        <v>4638553</v>
      </c>
      <c r="X25" s="13">
        <v>7252336</v>
      </c>
      <c r="Y25" s="13">
        <v>7409157</v>
      </c>
      <c r="Z25" s="13">
        <v>7237219</v>
      </c>
      <c r="AA25" s="13">
        <v>7196127</v>
      </c>
      <c r="AB25" s="13"/>
      <c r="AC25" s="13">
        <v>6895316</v>
      </c>
      <c r="AD25" s="13">
        <v>6940394</v>
      </c>
      <c r="AE25" s="13">
        <v>6881011</v>
      </c>
      <c r="AF25" s="13">
        <v>7101499</v>
      </c>
      <c r="AG25" s="13">
        <v>7101499</v>
      </c>
      <c r="AI25" s="13">
        <v>6924103</v>
      </c>
      <c r="AJ25" s="13">
        <v>6926606</v>
      </c>
      <c r="AK25" s="13">
        <v>7117601</v>
      </c>
      <c r="AL25" s="13">
        <v>7985719</v>
      </c>
      <c r="AM25" s="13"/>
      <c r="AN25" s="13">
        <v>8589497</v>
      </c>
      <c r="AO25" s="13">
        <v>8240836</v>
      </c>
      <c r="AP25" s="13">
        <v>8263998</v>
      </c>
      <c r="AQ25" s="13">
        <v>7713637</v>
      </c>
      <c r="AR25" s="14"/>
      <c r="AS25" s="13">
        <v>7869026</v>
      </c>
      <c r="AT25" s="13">
        <v>7554862</v>
      </c>
      <c r="AU25" s="13">
        <v>7494806</v>
      </c>
      <c r="AV25" s="13">
        <v>7430883</v>
      </c>
      <c r="AW25" s="14"/>
      <c r="AX25" s="13">
        <v>6992098</v>
      </c>
      <c r="AY25" s="13">
        <v>5569580</v>
      </c>
      <c r="AZ25" s="13">
        <v>4083321</v>
      </c>
      <c r="BA25" s="13">
        <v>3103213</v>
      </c>
      <c r="BB25" s="14"/>
      <c r="BC25" s="13">
        <v>2978309</v>
      </c>
      <c r="BD25" s="13">
        <v>2729535</v>
      </c>
      <c r="BE25" s="13">
        <v>2623910</v>
      </c>
      <c r="BF25" s="13">
        <v>2419039</v>
      </c>
      <c r="BG25" s="13"/>
      <c r="BH25" s="13">
        <v>1655691</v>
      </c>
      <c r="BI25" s="13">
        <v>1758485</v>
      </c>
      <c r="BJ25" s="13">
        <v>1786366</v>
      </c>
      <c r="BK25" s="13">
        <v>1827226</v>
      </c>
      <c r="BL25" s="13"/>
      <c r="BM25" s="13">
        <v>1741914</v>
      </c>
      <c r="BN25" s="13">
        <v>1713530</v>
      </c>
      <c r="BO25" s="13">
        <v>1744179</v>
      </c>
      <c r="BP25" s="14">
        <f>+BO25-'ESF GA Cons Acum.'!C23</f>
        <v>0</v>
      </c>
      <c r="BQ25" s="14">
        <f>+BK25-'ESF GA Cons Acum.'!E23</f>
        <v>0</v>
      </c>
    </row>
    <row r="26" spans="2:69" ht="16.5" customHeight="1">
      <c r="B26" s="21" t="s">
        <v>27</v>
      </c>
      <c r="C26" s="12">
        <v>11812193</v>
      </c>
      <c r="D26" s="12"/>
      <c r="E26" s="12">
        <v>12809441</v>
      </c>
      <c r="F26" s="12">
        <v>13268791</v>
      </c>
      <c r="G26" s="12">
        <v>12820449</v>
      </c>
      <c r="H26" s="12">
        <v>15566951</v>
      </c>
      <c r="J26" s="12">
        <v>16155449</v>
      </c>
      <c r="K26" s="12">
        <v>16238337</v>
      </c>
      <c r="L26" s="12">
        <v>17428525</v>
      </c>
      <c r="M26" s="16">
        <v>17935551</v>
      </c>
      <c r="N26" s="16">
        <v>17087908</v>
      </c>
      <c r="P26" s="13">
        <v>17484599</v>
      </c>
      <c r="Q26" s="13">
        <v>16673832</v>
      </c>
      <c r="R26" s="13">
        <v>17222744</v>
      </c>
      <c r="S26" s="13">
        <v>16447557</v>
      </c>
      <c r="T26" s="13">
        <v>17079909</v>
      </c>
      <c r="U26" s="13">
        <v>16451973</v>
      </c>
      <c r="V26" s="13">
        <v>18258476</v>
      </c>
      <c r="X26" s="13">
        <v>17933353</v>
      </c>
      <c r="Y26" s="13">
        <v>18415650</v>
      </c>
      <c r="Z26" s="13">
        <v>18125618</v>
      </c>
      <c r="AA26" s="13">
        <v>18481446</v>
      </c>
      <c r="AB26" s="13"/>
      <c r="AC26" s="13">
        <v>17804943</v>
      </c>
      <c r="AD26" s="13">
        <v>18224517</v>
      </c>
      <c r="AE26" s="13">
        <v>18354637</v>
      </c>
      <c r="AF26" s="13">
        <v>19332437</v>
      </c>
      <c r="AG26" s="13">
        <v>19332437</v>
      </c>
      <c r="AI26" s="13">
        <v>18884036</v>
      </c>
      <c r="AJ26" s="13">
        <v>20616563</v>
      </c>
      <c r="AK26" s="13">
        <v>20540962</v>
      </c>
      <c r="AL26" s="13">
        <v>19082640</v>
      </c>
      <c r="AM26" s="13"/>
      <c r="AN26" s="13">
        <v>21225828</v>
      </c>
      <c r="AO26" s="13">
        <v>20323657</v>
      </c>
      <c r="AP26" s="13">
        <v>20656340</v>
      </c>
      <c r="AQ26" s="13">
        <v>19659963</v>
      </c>
      <c r="AR26" s="14"/>
      <c r="AS26" s="13">
        <v>20572767</v>
      </c>
      <c r="AT26" s="13">
        <v>20499106</v>
      </c>
      <c r="AU26" s="13">
        <v>20985155</v>
      </c>
      <c r="AV26" s="13">
        <v>21057939</v>
      </c>
      <c r="AW26" s="14"/>
      <c r="AX26" s="13">
        <v>20557447</v>
      </c>
      <c r="AY26" s="13">
        <v>21684861</v>
      </c>
      <c r="AZ26" s="13">
        <v>22994241</v>
      </c>
      <c r="BA26" s="13">
        <v>22497982</v>
      </c>
      <c r="BB26" s="14"/>
      <c r="BC26" s="13">
        <v>22399803</v>
      </c>
      <c r="BD26" s="13">
        <v>21632655</v>
      </c>
      <c r="BE26" s="13">
        <v>21586711</v>
      </c>
      <c r="BF26" s="13">
        <v>21292470</v>
      </c>
      <c r="BG26" s="13"/>
      <c r="BH26" s="13">
        <v>14804391</v>
      </c>
      <c r="BI26" s="13">
        <v>14711795</v>
      </c>
      <c r="BJ26" s="13">
        <v>15048941</v>
      </c>
      <c r="BK26" s="13">
        <v>15569044</v>
      </c>
      <c r="BL26" s="13"/>
      <c r="BM26" s="13">
        <v>15607068</v>
      </c>
      <c r="BN26" s="13">
        <v>15591933</v>
      </c>
      <c r="BO26" s="13">
        <v>14925674</v>
      </c>
      <c r="BP26" s="14">
        <f>+BO26-'ESF GA Cons Acum.'!C24</f>
        <v>0</v>
      </c>
      <c r="BQ26" s="14">
        <f>+BK26-'ESF GA Cons Acum.'!E24</f>
        <v>0</v>
      </c>
    </row>
    <row r="27" spans="2:69" ht="16.5" hidden="1" customHeight="1">
      <c r="B27" s="21" t="s">
        <v>28</v>
      </c>
      <c r="C27" s="12">
        <v>0</v>
      </c>
      <c r="D27" s="12"/>
      <c r="E27" s="12">
        <v>0</v>
      </c>
      <c r="F27" s="12">
        <v>0</v>
      </c>
      <c r="G27" s="12">
        <v>0</v>
      </c>
      <c r="H27" s="12">
        <v>0</v>
      </c>
      <c r="J27" s="12">
        <v>0</v>
      </c>
      <c r="K27" s="12">
        <v>0</v>
      </c>
      <c r="L27" s="12">
        <v>0</v>
      </c>
      <c r="M27" s="16">
        <v>0</v>
      </c>
      <c r="N27" s="16">
        <v>0</v>
      </c>
      <c r="P27" s="13">
        <v>0</v>
      </c>
      <c r="Q27" s="13">
        <v>0</v>
      </c>
      <c r="R27" s="13">
        <v>0</v>
      </c>
      <c r="S27" s="13">
        <v>0</v>
      </c>
      <c r="T27" s="13">
        <v>0</v>
      </c>
      <c r="U27" s="13">
        <v>0</v>
      </c>
      <c r="V27" s="13">
        <v>0</v>
      </c>
      <c r="X27" s="13">
        <v>0</v>
      </c>
      <c r="Y27" s="13">
        <v>0</v>
      </c>
      <c r="Z27" s="13">
        <v>0</v>
      </c>
      <c r="AA27" s="13">
        <v>0</v>
      </c>
      <c r="AB27" s="13"/>
      <c r="AC27" s="13">
        <v>0</v>
      </c>
      <c r="AD27" s="13">
        <v>0</v>
      </c>
      <c r="AE27" s="13">
        <v>0</v>
      </c>
      <c r="AF27" s="13">
        <v>0</v>
      </c>
      <c r="AG27" s="13">
        <v>0</v>
      </c>
      <c r="AI27" s="13">
        <v>0</v>
      </c>
      <c r="AJ27" s="13">
        <v>0</v>
      </c>
      <c r="AK27" s="13">
        <v>0</v>
      </c>
      <c r="AL27" s="13">
        <v>0</v>
      </c>
      <c r="AM27" s="13"/>
      <c r="AN27" s="13">
        <v>0</v>
      </c>
      <c r="AO27" s="13">
        <v>0</v>
      </c>
      <c r="AP27" s="13">
        <v>0</v>
      </c>
      <c r="AQ27" s="13">
        <v>0</v>
      </c>
      <c r="AR27" s="14"/>
      <c r="AS27" s="13">
        <v>0</v>
      </c>
      <c r="AT27" s="13">
        <v>0</v>
      </c>
      <c r="AU27" s="13">
        <v>0</v>
      </c>
      <c r="AV27" s="13">
        <v>0</v>
      </c>
      <c r="AW27" s="14"/>
      <c r="AX27" s="13">
        <v>0</v>
      </c>
      <c r="AY27" s="13">
        <v>0</v>
      </c>
      <c r="AZ27" s="13">
        <v>0</v>
      </c>
      <c r="BA27" s="13">
        <v>0</v>
      </c>
      <c r="BB27" s="14"/>
      <c r="BC27" s="13">
        <v>0</v>
      </c>
      <c r="BD27" s="13">
        <v>0</v>
      </c>
      <c r="BE27" s="13">
        <v>0</v>
      </c>
      <c r="BF27" s="13">
        <v>0</v>
      </c>
      <c r="BG27" s="13"/>
      <c r="BH27" s="13">
        <v>0</v>
      </c>
      <c r="BI27" s="13">
        <v>0</v>
      </c>
      <c r="BJ27" s="13">
        <v>0</v>
      </c>
      <c r="BK27" s="13">
        <v>0</v>
      </c>
      <c r="BL27" s="13"/>
      <c r="BM27" s="13">
        <v>0</v>
      </c>
      <c r="BN27" s="13">
        <v>0</v>
      </c>
      <c r="BO27" s="13">
        <v>0</v>
      </c>
      <c r="BP27" s="14">
        <f>+BO27-'ESF GA Cons Acum.'!C25</f>
        <v>0</v>
      </c>
      <c r="BQ27" s="14">
        <f>+BK27-'ESF GA Cons Acum.'!E25</f>
        <v>0</v>
      </c>
    </row>
    <row r="28" spans="2:69" ht="16.5" customHeight="1">
      <c r="B28" s="21" t="s">
        <v>29</v>
      </c>
      <c r="C28" s="23">
        <v>1713424</v>
      </c>
      <c r="D28" s="23"/>
      <c r="E28" s="23">
        <v>1861384</v>
      </c>
      <c r="F28" s="23">
        <v>1878130</v>
      </c>
      <c r="G28" s="23">
        <v>2592574</v>
      </c>
      <c r="H28" s="23">
        <v>1721516</v>
      </c>
      <c r="J28" s="23">
        <v>1877932</v>
      </c>
      <c r="K28" s="23">
        <v>1893825</v>
      </c>
      <c r="L28" s="23">
        <v>2727437</v>
      </c>
      <c r="M28" s="16">
        <v>1669342</v>
      </c>
      <c r="N28" s="16">
        <v>2403554</v>
      </c>
      <c r="P28" s="13">
        <v>1690358</v>
      </c>
      <c r="Q28" s="13">
        <v>2410241</v>
      </c>
      <c r="R28" s="13">
        <v>1625165</v>
      </c>
      <c r="S28" s="13">
        <v>2319070</v>
      </c>
      <c r="T28" s="13">
        <v>1627804</v>
      </c>
      <c r="U28" s="13">
        <v>2324647</v>
      </c>
      <c r="V28" s="13">
        <v>2273994</v>
      </c>
      <c r="X28" s="13">
        <v>2183436</v>
      </c>
      <c r="Y28" s="13">
        <v>2167970</v>
      </c>
      <c r="Z28" s="13">
        <v>2282995</v>
      </c>
      <c r="AA28" s="13">
        <v>2203222</v>
      </c>
      <c r="AB28" s="13"/>
      <c r="AC28" s="13">
        <v>2217013</v>
      </c>
      <c r="AD28" s="13">
        <v>2224874</v>
      </c>
      <c r="AE28" s="13">
        <v>2240665</v>
      </c>
      <c r="AF28" s="13">
        <v>2298386</v>
      </c>
      <c r="AG28" s="13">
        <v>2298386</v>
      </c>
      <c r="AI28" s="13">
        <v>2330133</v>
      </c>
      <c r="AJ28" s="13">
        <v>2339892</v>
      </c>
      <c r="AK28" s="13">
        <v>2352844</v>
      </c>
      <c r="AL28" s="13">
        <v>2317216</v>
      </c>
      <c r="AM28" s="13"/>
      <c r="AN28" s="13">
        <v>2343832</v>
      </c>
      <c r="AO28" s="13">
        <v>2336459</v>
      </c>
      <c r="AP28" s="13">
        <v>2342004</v>
      </c>
      <c r="AQ28" s="13">
        <v>2280815</v>
      </c>
      <c r="AR28" s="14"/>
      <c r="AS28" s="13">
        <v>2305584</v>
      </c>
      <c r="AT28" s="13">
        <v>2319505</v>
      </c>
      <c r="AU28" s="13">
        <v>2319460</v>
      </c>
      <c r="AV28" s="13">
        <v>2352836</v>
      </c>
      <c r="AW28" s="14"/>
      <c r="AX28" s="13">
        <v>2291062</v>
      </c>
      <c r="AY28" s="13">
        <v>2309735</v>
      </c>
      <c r="AZ28" s="13">
        <v>2324029</v>
      </c>
      <c r="BA28" s="13">
        <v>2290960</v>
      </c>
      <c r="BB28" s="14"/>
      <c r="BC28" s="13">
        <v>2325788</v>
      </c>
      <c r="BD28" s="13">
        <v>2259873</v>
      </c>
      <c r="BE28" s="13">
        <v>2236591</v>
      </c>
      <c r="BF28" s="13">
        <v>2203969</v>
      </c>
      <c r="BG28" s="13"/>
      <c r="BH28" s="13">
        <v>2059342</v>
      </c>
      <c r="BI28" s="13">
        <v>1965681</v>
      </c>
      <c r="BJ28" s="13">
        <v>1975033</v>
      </c>
      <c r="BK28" s="13">
        <v>1963422</v>
      </c>
      <c r="BL28" s="13"/>
      <c r="BM28" s="13">
        <v>1361405</v>
      </c>
      <c r="BN28" s="13">
        <v>1361412</v>
      </c>
      <c r="BO28" s="13">
        <v>1362231</v>
      </c>
      <c r="BP28" s="14">
        <f>+BO28-'ESF GA Cons Acum.'!C26</f>
        <v>0</v>
      </c>
      <c r="BQ28" s="14">
        <f>+BK28-'ESF GA Cons Acum.'!E26</f>
        <v>0</v>
      </c>
    </row>
    <row r="29" spans="2:69" ht="16.5" customHeight="1">
      <c r="B29" s="21" t="s">
        <v>30</v>
      </c>
      <c r="C29" s="23">
        <v>271714</v>
      </c>
      <c r="D29" s="23"/>
      <c r="E29" s="23">
        <v>167370</v>
      </c>
      <c r="F29" s="23">
        <v>173351</v>
      </c>
      <c r="G29" s="23">
        <v>112227</v>
      </c>
      <c r="H29" s="23">
        <v>417462</v>
      </c>
      <c r="I29" s="23"/>
      <c r="J29" s="23">
        <v>525806</v>
      </c>
      <c r="K29" s="23">
        <v>209240</v>
      </c>
      <c r="L29" s="23">
        <v>412071</v>
      </c>
      <c r="M29" s="16">
        <v>769633</v>
      </c>
      <c r="N29" s="16">
        <v>767054</v>
      </c>
      <c r="P29" s="13">
        <v>743212</v>
      </c>
      <c r="Q29" s="13">
        <v>740683</v>
      </c>
      <c r="R29" s="13">
        <v>743402</v>
      </c>
      <c r="S29" s="13">
        <v>740873</v>
      </c>
      <c r="T29" s="13">
        <v>715743</v>
      </c>
      <c r="U29" s="13">
        <v>715743</v>
      </c>
      <c r="V29" s="13">
        <v>758382</v>
      </c>
      <c r="X29" s="13">
        <v>746592</v>
      </c>
      <c r="Y29" s="13">
        <v>760516</v>
      </c>
      <c r="Z29" s="13">
        <v>725115</v>
      </c>
      <c r="AA29" s="13">
        <v>573316</v>
      </c>
      <c r="AB29" s="13"/>
      <c r="AC29" s="13">
        <v>419998</v>
      </c>
      <c r="AD29" s="13">
        <v>472307</v>
      </c>
      <c r="AE29" s="13">
        <v>541332</v>
      </c>
      <c r="AF29" s="13">
        <v>555133</v>
      </c>
      <c r="AG29" s="13">
        <v>515693</v>
      </c>
      <c r="AI29" s="13">
        <v>569084</v>
      </c>
      <c r="AJ29" s="13">
        <v>553460</v>
      </c>
      <c r="AK29" s="13">
        <v>578496</v>
      </c>
      <c r="AL29" s="13">
        <v>332321</v>
      </c>
      <c r="AM29" s="13"/>
      <c r="AN29" s="13">
        <v>539515</v>
      </c>
      <c r="AO29" s="13">
        <v>569749</v>
      </c>
      <c r="AP29" s="13">
        <v>567450</v>
      </c>
      <c r="AQ29" s="13">
        <v>388664</v>
      </c>
      <c r="AR29" s="14"/>
      <c r="AS29" s="13">
        <v>397401</v>
      </c>
      <c r="AT29" s="13">
        <v>383622</v>
      </c>
      <c r="AU29" s="13">
        <v>430793</v>
      </c>
      <c r="AV29" s="13">
        <v>400299</v>
      </c>
      <c r="AW29" s="14"/>
      <c r="AX29" s="13">
        <v>391973</v>
      </c>
      <c r="AY29" s="13">
        <v>358404</v>
      </c>
      <c r="AZ29" s="13">
        <v>323958</v>
      </c>
      <c r="BA29" s="13">
        <v>326029</v>
      </c>
      <c r="BB29" s="14"/>
      <c r="BC29" s="13">
        <v>353359</v>
      </c>
      <c r="BD29" s="13">
        <v>388606</v>
      </c>
      <c r="BE29" s="13">
        <v>412387</v>
      </c>
      <c r="BF29" s="13">
        <v>306791</v>
      </c>
      <c r="BG29" s="13"/>
      <c r="BH29" s="13">
        <v>161251</v>
      </c>
      <c r="BI29" s="13">
        <v>146482</v>
      </c>
      <c r="BJ29" s="13">
        <v>149905</v>
      </c>
      <c r="BK29" s="13">
        <v>114560</v>
      </c>
      <c r="BL29" s="13"/>
      <c r="BM29" s="13">
        <v>109663</v>
      </c>
      <c r="BN29" s="13">
        <v>125751</v>
      </c>
      <c r="BO29" s="13">
        <v>130720</v>
      </c>
      <c r="BP29" s="14">
        <f>+BO29-'ESF GA Cons Acum.'!C27</f>
        <v>0</v>
      </c>
      <c r="BQ29" s="14">
        <f>+BK29-'ESF GA Cons Acum.'!E27</f>
        <v>0</v>
      </c>
    </row>
    <row r="30" spans="2:69" ht="16.5" customHeight="1">
      <c r="B30" s="21" t="s">
        <v>20</v>
      </c>
      <c r="C30" s="23">
        <v>61767</v>
      </c>
      <c r="D30" s="23"/>
      <c r="E30" s="23">
        <v>58571</v>
      </c>
      <c r="F30" s="23">
        <v>40591</v>
      </c>
      <c r="G30" s="23">
        <v>60006</v>
      </c>
      <c r="H30" s="23">
        <v>66970</v>
      </c>
      <c r="I30" s="23"/>
      <c r="J30" s="23">
        <v>58855</v>
      </c>
      <c r="K30" s="23">
        <v>18921</v>
      </c>
      <c r="L30" s="23">
        <v>18921</v>
      </c>
      <c r="M30" s="16">
        <v>20243</v>
      </c>
      <c r="N30" s="16">
        <v>20243</v>
      </c>
      <c r="P30" s="13">
        <v>20242</v>
      </c>
      <c r="Q30" s="13">
        <v>20242</v>
      </c>
      <c r="R30" s="13">
        <v>20242</v>
      </c>
      <c r="S30" s="13">
        <v>20242</v>
      </c>
      <c r="T30" s="13">
        <v>20242</v>
      </c>
      <c r="U30" s="13">
        <v>20242</v>
      </c>
      <c r="V30" s="13">
        <v>20870</v>
      </c>
      <c r="X30" s="13">
        <v>20870</v>
      </c>
      <c r="Y30" s="13">
        <v>20870</v>
      </c>
      <c r="Z30" s="13">
        <v>54414</v>
      </c>
      <c r="AA30" s="13">
        <v>54129</v>
      </c>
      <c r="AB30" s="13"/>
      <c r="AC30" s="13">
        <v>55109</v>
      </c>
      <c r="AD30" s="13">
        <v>55427</v>
      </c>
      <c r="AE30" s="13">
        <v>45945</v>
      </c>
      <c r="AF30" s="13">
        <v>48225</v>
      </c>
      <c r="AG30" s="13">
        <v>48225</v>
      </c>
      <c r="AI30" s="13">
        <v>47262</v>
      </c>
      <c r="AJ30" s="13">
        <v>46974</v>
      </c>
      <c r="AK30" s="13">
        <v>45919</v>
      </c>
      <c r="AL30" s="13">
        <v>48444</v>
      </c>
      <c r="AM30" s="13"/>
      <c r="AN30" s="13">
        <v>50533</v>
      </c>
      <c r="AO30" s="13">
        <v>50211</v>
      </c>
      <c r="AP30" s="13">
        <v>49675</v>
      </c>
      <c r="AQ30" s="13">
        <v>53721</v>
      </c>
      <c r="AR30" s="14"/>
      <c r="AS30" s="13">
        <v>54700</v>
      </c>
      <c r="AT30" s="13">
        <v>54786</v>
      </c>
      <c r="AU30" s="13">
        <v>54729</v>
      </c>
      <c r="AV30" s="13">
        <v>56866</v>
      </c>
      <c r="AW30" s="14"/>
      <c r="AX30" s="13">
        <v>56632</v>
      </c>
      <c r="AY30" s="13">
        <v>56014</v>
      </c>
      <c r="AZ30" s="13">
        <v>55340</v>
      </c>
      <c r="BA30" s="13">
        <v>57993</v>
      </c>
      <c r="BB30" s="14"/>
      <c r="BC30" s="13">
        <v>56208</v>
      </c>
      <c r="BD30" s="13">
        <v>54824</v>
      </c>
      <c r="BE30" s="13">
        <v>54394</v>
      </c>
      <c r="BF30" s="13">
        <v>57170</v>
      </c>
      <c r="BG30" s="13"/>
      <c r="BH30" s="13">
        <v>57142</v>
      </c>
      <c r="BI30" s="13">
        <v>56847</v>
      </c>
      <c r="BJ30" s="13">
        <v>56339</v>
      </c>
      <c r="BK30" s="13">
        <v>63407</v>
      </c>
      <c r="BL30" s="13"/>
      <c r="BM30" s="13">
        <v>63736</v>
      </c>
      <c r="BN30" s="13">
        <v>62044</v>
      </c>
      <c r="BO30" s="13">
        <v>61308</v>
      </c>
      <c r="BP30" s="14">
        <f>+BO30-'ESF GA Cons Acum.'!C28</f>
        <v>0</v>
      </c>
      <c r="BQ30" s="14">
        <f>+BK30-'ESF GA Cons Acum.'!E28</f>
        <v>0</v>
      </c>
    </row>
    <row r="31" spans="2:69" ht="16.5" customHeight="1">
      <c r="B31" s="21" t="s">
        <v>31</v>
      </c>
      <c r="C31" s="12">
        <v>2272</v>
      </c>
      <c r="D31" s="12"/>
      <c r="E31" s="12">
        <v>3294</v>
      </c>
      <c r="F31" s="12">
        <v>-14</v>
      </c>
      <c r="G31" s="12">
        <v>8738</v>
      </c>
      <c r="H31" s="12">
        <v>168</v>
      </c>
      <c r="J31" s="12">
        <v>0</v>
      </c>
      <c r="K31" s="12">
        <v>0</v>
      </c>
      <c r="L31" s="12">
        <v>16436</v>
      </c>
      <c r="M31" s="16">
        <v>324</v>
      </c>
      <c r="N31" s="16">
        <v>324</v>
      </c>
      <c r="P31" s="13">
        <v>0</v>
      </c>
      <c r="Q31" s="13">
        <v>0</v>
      </c>
      <c r="R31" s="13">
        <v>0</v>
      </c>
      <c r="S31" s="13">
        <v>0</v>
      </c>
      <c r="T31" s="13">
        <v>0</v>
      </c>
      <c r="U31" s="13">
        <v>0</v>
      </c>
      <c r="V31" s="13">
        <v>650</v>
      </c>
      <c r="X31" s="13">
        <v>701</v>
      </c>
      <c r="Y31" s="13">
        <v>548</v>
      </c>
      <c r="Z31" s="13">
        <v>563</v>
      </c>
      <c r="AA31" s="13">
        <v>2533</v>
      </c>
      <c r="AB31" s="13"/>
      <c r="AC31" s="13">
        <v>8278</v>
      </c>
      <c r="AD31" s="13">
        <v>10384</v>
      </c>
      <c r="AE31" s="13">
        <v>11024</v>
      </c>
      <c r="AF31" s="13">
        <v>309</v>
      </c>
      <c r="AG31" s="13">
        <v>309</v>
      </c>
      <c r="AI31" s="13">
        <v>0</v>
      </c>
      <c r="AJ31" s="13">
        <v>0</v>
      </c>
      <c r="AK31" s="13">
        <v>715</v>
      </c>
      <c r="AL31" s="13">
        <v>3675</v>
      </c>
      <c r="AM31" s="13"/>
      <c r="AN31" s="13">
        <v>0</v>
      </c>
      <c r="AO31" s="13">
        <v>0</v>
      </c>
      <c r="AP31" s="13">
        <v>4546</v>
      </c>
      <c r="AQ31" s="13">
        <v>0</v>
      </c>
      <c r="AR31" s="14"/>
      <c r="AS31" s="13">
        <v>2292</v>
      </c>
      <c r="AT31" s="13">
        <v>15578</v>
      </c>
      <c r="AU31" s="13">
        <v>15690</v>
      </c>
      <c r="AV31" s="13">
        <v>15974</v>
      </c>
      <c r="AW31" s="14"/>
      <c r="AX31" s="13">
        <v>21352</v>
      </c>
      <c r="AY31" s="13">
        <v>42541</v>
      </c>
      <c r="AZ31" s="13">
        <v>71990</v>
      </c>
      <c r="BA31" s="13">
        <v>87544</v>
      </c>
      <c r="BB31" s="14"/>
      <c r="BC31" s="13">
        <v>54920</v>
      </c>
      <c r="BD31" s="13">
        <v>30692</v>
      </c>
      <c r="BE31" s="13">
        <v>42722</v>
      </c>
      <c r="BF31" s="13">
        <v>34916</v>
      </c>
      <c r="BG31" s="13"/>
      <c r="BH31" s="13">
        <v>26185</v>
      </c>
      <c r="BI31" s="13">
        <v>62556</v>
      </c>
      <c r="BJ31" s="13">
        <v>100754</v>
      </c>
      <c r="BK31" s="13">
        <v>146755</v>
      </c>
      <c r="BL31" s="13"/>
      <c r="BM31" s="13">
        <v>99745</v>
      </c>
      <c r="BN31" s="13">
        <v>78102</v>
      </c>
      <c r="BO31" s="13">
        <v>81745</v>
      </c>
      <c r="BP31" s="14">
        <f>+BO31-'ESF GA Cons Acum.'!C29</f>
        <v>0</v>
      </c>
      <c r="BQ31" s="14">
        <f>+BK31-'ESF GA Cons Acum.'!E29</f>
        <v>0</v>
      </c>
    </row>
    <row r="32" spans="2:69" ht="16.5" hidden="1" customHeight="1">
      <c r="B32" s="21" t="s">
        <v>32</v>
      </c>
      <c r="C32" s="23">
        <v>0</v>
      </c>
      <c r="D32" s="23"/>
      <c r="E32" s="23">
        <v>0</v>
      </c>
      <c r="F32" s="23">
        <v>0</v>
      </c>
      <c r="G32" s="23">
        <v>0</v>
      </c>
      <c r="H32" s="23">
        <v>0</v>
      </c>
      <c r="J32" s="23">
        <v>0</v>
      </c>
      <c r="K32" s="23">
        <v>0</v>
      </c>
      <c r="L32" s="23">
        <v>0</v>
      </c>
      <c r="M32" s="16">
        <v>10019</v>
      </c>
      <c r="N32" s="16">
        <v>10019</v>
      </c>
      <c r="P32" s="13">
        <v>9650</v>
      </c>
      <c r="Q32" s="13">
        <v>9650</v>
      </c>
      <c r="R32" s="13">
        <v>0</v>
      </c>
      <c r="S32" s="13">
        <v>0</v>
      </c>
      <c r="T32" s="13">
        <v>0</v>
      </c>
      <c r="U32" s="13">
        <v>0</v>
      </c>
      <c r="V32" s="13">
        <v>0</v>
      </c>
      <c r="X32" s="13">
        <v>0</v>
      </c>
      <c r="Y32" s="13">
        <v>0</v>
      </c>
      <c r="Z32" s="13">
        <v>0</v>
      </c>
      <c r="AA32" s="13">
        <v>0</v>
      </c>
      <c r="AB32" s="13"/>
      <c r="AC32" s="13">
        <v>0</v>
      </c>
      <c r="AD32" s="13">
        <v>0</v>
      </c>
      <c r="AE32" s="13">
        <v>0</v>
      </c>
      <c r="AF32" s="13">
        <v>0</v>
      </c>
      <c r="AG32" s="13">
        <v>0</v>
      </c>
      <c r="AI32" s="13">
        <v>0</v>
      </c>
      <c r="AJ32" s="13">
        <v>0</v>
      </c>
      <c r="AK32" s="13">
        <v>0</v>
      </c>
      <c r="AL32" s="13">
        <v>0</v>
      </c>
      <c r="AM32" s="13"/>
      <c r="AN32" s="13">
        <v>0</v>
      </c>
      <c r="AO32" s="13">
        <v>0</v>
      </c>
      <c r="AP32" s="13">
        <v>0</v>
      </c>
      <c r="AQ32" s="13">
        <v>0</v>
      </c>
      <c r="AR32" s="14"/>
      <c r="AS32" s="13">
        <v>0</v>
      </c>
      <c r="AT32" s="13">
        <v>0</v>
      </c>
      <c r="AU32" s="13">
        <v>0</v>
      </c>
      <c r="AV32" s="13">
        <v>0</v>
      </c>
      <c r="AW32" s="14"/>
      <c r="AX32" s="13">
        <v>0</v>
      </c>
      <c r="AY32" s="13">
        <v>0</v>
      </c>
      <c r="AZ32" s="13">
        <v>0</v>
      </c>
      <c r="BA32" s="13">
        <v>0</v>
      </c>
      <c r="BB32" s="14"/>
      <c r="BC32" s="13">
        <v>0</v>
      </c>
      <c r="BD32" s="13">
        <v>0</v>
      </c>
      <c r="BE32" s="13">
        <v>0</v>
      </c>
      <c r="BF32" s="13">
        <v>0</v>
      </c>
      <c r="BG32" s="13"/>
      <c r="BH32" s="13">
        <v>0</v>
      </c>
      <c r="BI32" s="13">
        <v>0</v>
      </c>
      <c r="BJ32" s="13">
        <v>0</v>
      </c>
      <c r="BK32" s="13">
        <v>0</v>
      </c>
      <c r="BL32" s="13"/>
      <c r="BM32" s="13">
        <v>0</v>
      </c>
      <c r="BN32" s="13">
        <v>0</v>
      </c>
      <c r="BO32" s="13">
        <v>0</v>
      </c>
      <c r="BP32" s="14">
        <f>+BO32-'ESF GA Cons Acum.'!C30</f>
        <v>0</v>
      </c>
      <c r="BQ32" s="14">
        <f>+BK32-'ESF GA Cons Acum.'!E30</f>
        <v>0</v>
      </c>
    </row>
    <row r="33" spans="1:69">
      <c r="B33" s="21" t="s">
        <v>21</v>
      </c>
      <c r="C33" s="23">
        <v>8897</v>
      </c>
      <c r="D33" s="23"/>
      <c r="E33" s="23">
        <v>11471</v>
      </c>
      <c r="F33" s="23">
        <f>12131-1</f>
        <v>12130</v>
      </c>
      <c r="G33" s="23">
        <f>12457-1</f>
        <v>12456</v>
      </c>
      <c r="H33" s="23">
        <v>7409</v>
      </c>
      <c r="J33" s="23">
        <f>8720-1</f>
        <v>8719</v>
      </c>
      <c r="K33" s="23">
        <v>7936</v>
      </c>
      <c r="L33" s="23">
        <v>21769</v>
      </c>
      <c r="M33" s="16">
        <v>12631</v>
      </c>
      <c r="N33" s="16">
        <f>12614+6515</f>
        <v>19129</v>
      </c>
      <c r="P33" s="13">
        <v>23927</v>
      </c>
      <c r="Q33" s="13">
        <v>23927</v>
      </c>
      <c r="R33" s="13">
        <v>22962</v>
      </c>
      <c r="S33" s="13">
        <v>22962</v>
      </c>
      <c r="T33" s="13">
        <v>29701</v>
      </c>
      <c r="U33" s="13">
        <v>29701</v>
      </c>
      <c r="V33" s="13">
        <f>11825+6515</f>
        <v>18340</v>
      </c>
      <c r="X33" s="13">
        <v>34429</v>
      </c>
      <c r="Y33" s="13">
        <v>32531</v>
      </c>
      <c r="Z33" s="13">
        <v>30597</v>
      </c>
      <c r="AA33" s="13">
        <v>23678</v>
      </c>
      <c r="AB33" s="13"/>
      <c r="AC33" s="13">
        <v>21330</v>
      </c>
      <c r="AD33" s="13">
        <v>19885</v>
      </c>
      <c r="AE33" s="13">
        <v>11582</v>
      </c>
      <c r="AF33" s="13">
        <v>11137</v>
      </c>
      <c r="AG33" s="13">
        <v>11137</v>
      </c>
      <c r="AI33" s="13">
        <v>8536</v>
      </c>
      <c r="AJ33" s="13">
        <v>7005</v>
      </c>
      <c r="AK33" s="13">
        <v>7494</v>
      </c>
      <c r="AL33" s="13">
        <v>120140</v>
      </c>
      <c r="AM33" s="13"/>
      <c r="AN33" s="13">
        <v>126913</v>
      </c>
      <c r="AO33" s="13">
        <v>113488</v>
      </c>
      <c r="AP33" s="13">
        <v>117153</v>
      </c>
      <c r="AQ33" s="13">
        <v>105891</v>
      </c>
      <c r="AR33" s="14"/>
      <c r="AS33" s="13">
        <v>115293</v>
      </c>
      <c r="AT33" s="13">
        <v>116149</v>
      </c>
      <c r="AU33" s="13">
        <v>121325</v>
      </c>
      <c r="AV33" s="13">
        <v>122946</v>
      </c>
      <c r="AW33" s="14"/>
      <c r="AX33" s="13">
        <v>116476</v>
      </c>
      <c r="AY33" s="13">
        <v>129945</v>
      </c>
      <c r="AZ33" s="13">
        <v>143940</v>
      </c>
      <c r="BA33" s="13">
        <v>150268</v>
      </c>
      <c r="BB33" s="14"/>
      <c r="BC33" s="13">
        <v>144998</v>
      </c>
      <c r="BD33" s="13">
        <v>136630</v>
      </c>
      <c r="BE33" s="13">
        <v>126351</v>
      </c>
      <c r="BF33" s="13">
        <v>94376</v>
      </c>
      <c r="BG33" s="13"/>
      <c r="BH33" s="13">
        <v>80429</v>
      </c>
      <c r="BI33" s="13">
        <v>53838</v>
      </c>
      <c r="BJ33" s="13">
        <v>14465</v>
      </c>
      <c r="BK33" s="13">
        <v>12326</v>
      </c>
      <c r="BL33" s="13"/>
      <c r="BM33" s="13">
        <v>12204</v>
      </c>
      <c r="BN33" s="13">
        <v>27474</v>
      </c>
      <c r="BO33" s="13">
        <v>21477</v>
      </c>
      <c r="BP33" s="14">
        <f>+BO33-'ESF GA Cons Acum.'!C31</f>
        <v>0</v>
      </c>
      <c r="BQ33" s="14">
        <f>+BK33-'ESF GA Cons Acum.'!E31</f>
        <v>0</v>
      </c>
    </row>
    <row r="34" spans="1:69" ht="7.5" customHeight="1">
      <c r="B34" s="21"/>
      <c r="C34" s="20"/>
      <c r="D34" s="20"/>
      <c r="E34" s="20"/>
      <c r="F34" s="20"/>
      <c r="G34" s="20"/>
      <c r="H34" s="20"/>
      <c r="J34" s="20"/>
      <c r="K34" s="20"/>
      <c r="L34" s="20"/>
      <c r="M34" s="20"/>
      <c r="N34" s="20"/>
      <c r="P34" s="20"/>
      <c r="Q34" s="20"/>
      <c r="R34" s="20"/>
      <c r="S34" s="20"/>
      <c r="T34" s="20"/>
      <c r="U34" s="20"/>
      <c r="V34" s="20"/>
      <c r="X34" s="20"/>
      <c r="Y34" s="20"/>
      <c r="Z34" s="20"/>
      <c r="AA34" s="20"/>
      <c r="AB34" s="20"/>
      <c r="AC34" s="20"/>
      <c r="AD34" s="20"/>
      <c r="AE34" s="20"/>
      <c r="AF34" s="20"/>
      <c r="AG34" s="20"/>
      <c r="AI34" s="20"/>
      <c r="AJ34" s="20"/>
      <c r="AK34" s="20"/>
      <c r="AL34" s="20"/>
      <c r="AM34" s="20"/>
      <c r="AN34" s="20"/>
      <c r="AO34" s="20"/>
      <c r="AP34" s="20"/>
      <c r="AQ34" s="20"/>
      <c r="AR34" s="14"/>
      <c r="AS34" s="20"/>
      <c r="AT34" s="20"/>
      <c r="AU34" s="20"/>
      <c r="AV34" s="20"/>
      <c r="AW34" s="14"/>
      <c r="AX34" s="20"/>
      <c r="AY34" s="20"/>
      <c r="AZ34" s="20"/>
      <c r="BA34" s="20"/>
      <c r="BB34" s="14"/>
      <c r="BC34" s="20"/>
      <c r="BD34" s="20"/>
      <c r="BE34" s="20"/>
      <c r="BF34" s="20"/>
      <c r="BG34" s="20"/>
      <c r="BH34" s="20"/>
      <c r="BI34" s="20"/>
      <c r="BJ34" s="20"/>
      <c r="BK34" s="20"/>
      <c r="BL34" s="20"/>
      <c r="BM34" s="20"/>
      <c r="BN34" s="20"/>
      <c r="BO34" s="20"/>
      <c r="BP34" s="14"/>
      <c r="BQ34" s="14"/>
    </row>
    <row r="35" spans="1:69" ht="13">
      <c r="B35" s="17" t="s">
        <v>33</v>
      </c>
      <c r="C35" s="18">
        <f>SUM(C21:C34)</f>
        <v>24800529</v>
      </c>
      <c r="D35" s="18"/>
      <c r="E35" s="18">
        <f>SUM(E21:E34)</f>
        <v>26647898</v>
      </c>
      <c r="F35" s="18">
        <f>SUM(F21:F34)</f>
        <v>27347775</v>
      </c>
      <c r="G35" s="18">
        <f>SUM(G21:G34)</f>
        <v>27296856</v>
      </c>
      <c r="H35" s="18">
        <f>SUM(H21:H34)</f>
        <v>30562865</v>
      </c>
      <c r="J35" s="18">
        <f>SUM(J21:J34)</f>
        <v>29761991</v>
      </c>
      <c r="K35" s="18">
        <f>SUM(K21:K34)</f>
        <v>31238081</v>
      </c>
      <c r="L35" s="18">
        <f>SUM(L21:L34)</f>
        <v>34753986</v>
      </c>
      <c r="M35" s="18">
        <f>SUM(M21:M34)</f>
        <v>36107042</v>
      </c>
      <c r="N35" s="18">
        <f>SUM(N21:N34)</f>
        <v>36549252</v>
      </c>
      <c r="P35" s="18">
        <f t="shared" ref="P35:V35" si="11">SUM(P21:P34)</f>
        <v>35545446</v>
      </c>
      <c r="Q35" s="18">
        <f t="shared" si="11"/>
        <v>35950731</v>
      </c>
      <c r="R35" s="18">
        <f t="shared" si="11"/>
        <v>36057831</v>
      </c>
      <c r="S35" s="18">
        <f t="shared" si="11"/>
        <v>36450546</v>
      </c>
      <c r="T35" s="18">
        <f t="shared" si="11"/>
        <v>36250457</v>
      </c>
      <c r="U35" s="18">
        <f t="shared" si="11"/>
        <v>36301623</v>
      </c>
      <c r="V35" s="18">
        <f t="shared" si="11"/>
        <v>38497982</v>
      </c>
      <c r="X35" s="18">
        <f>SUM(X21:X34)</f>
        <v>39934961</v>
      </c>
      <c r="Y35" s="18">
        <f>SUM(Y21:Y34)</f>
        <v>40901418</v>
      </c>
      <c r="Z35" s="18">
        <f>SUM(Z21:Z34)</f>
        <v>40285537</v>
      </c>
      <c r="AA35" s="18">
        <f>SUM(AA21:AA34)</f>
        <v>40817829</v>
      </c>
      <c r="AB35" s="18"/>
      <c r="AC35" s="18">
        <f>SUM(AC21:AC34)</f>
        <v>39217002</v>
      </c>
      <c r="AD35" s="18">
        <f>SUM(AD21:AD34)</f>
        <v>40077684</v>
      </c>
      <c r="AE35" s="18">
        <f>SUM(AE21:AE34)</f>
        <v>40357099</v>
      </c>
      <c r="AF35" s="18">
        <f>SUM(AF21:AF34)</f>
        <v>41862398</v>
      </c>
      <c r="AG35" s="18">
        <f>SUM(AG21:AG34)</f>
        <v>41822958</v>
      </c>
      <c r="AI35" s="18">
        <f>SUM(AI21:AI34)</f>
        <v>42446939</v>
      </c>
      <c r="AJ35" s="18">
        <f>SUM(AJ21:AJ34)</f>
        <v>44344491</v>
      </c>
      <c r="AK35" s="18">
        <f>SUM(AK21:AK34)</f>
        <v>45345523</v>
      </c>
      <c r="AL35" s="18">
        <f>SUM(AL21:AL34)</f>
        <v>43698302</v>
      </c>
      <c r="AM35" s="18"/>
      <c r="AN35" s="18">
        <f>SUM(AN21:AN34)</f>
        <v>47235437</v>
      </c>
      <c r="AO35" s="18">
        <f>SUM(AO21:AO34)</f>
        <v>45502224</v>
      </c>
      <c r="AP35" s="18">
        <f>SUM(AP21:AP34)</f>
        <v>46568719</v>
      </c>
      <c r="AQ35" s="18">
        <f>SUM(AQ21:AQ34)</f>
        <v>44107516</v>
      </c>
      <c r="AR35" s="14"/>
      <c r="AS35" s="18">
        <f>SUM(AS21:AS34)</f>
        <v>45578498</v>
      </c>
      <c r="AT35" s="18">
        <f>SUM(AT21:AT34)</f>
        <v>45381668</v>
      </c>
      <c r="AU35" s="18">
        <f>SUM(AU21:AU34)</f>
        <v>45898748</v>
      </c>
      <c r="AV35" s="18">
        <f>SUM(AV21:AV34)</f>
        <v>44600087</v>
      </c>
      <c r="AW35" s="14"/>
      <c r="AX35" s="18">
        <f>SUM(AX21:AX34)</f>
        <v>44369238</v>
      </c>
      <c r="AY35" s="18">
        <f>SUM(AY21:AY34)</f>
        <v>43998700</v>
      </c>
      <c r="AZ35" s="18">
        <f>SUM(AZ21:AZ34)</f>
        <v>43883602</v>
      </c>
      <c r="BA35" s="18">
        <f>SUM(BA21:BA34)</f>
        <v>43247690</v>
      </c>
      <c r="BB35" s="14"/>
      <c r="BC35" s="18">
        <f>SUM(BC21:BC34)</f>
        <v>43850670</v>
      </c>
      <c r="BD35" s="18">
        <f>SUM(BD21:BD34)</f>
        <v>40066059</v>
      </c>
      <c r="BE35" s="18">
        <f>SUM(BE21:BE34)</f>
        <v>39730092</v>
      </c>
      <c r="BF35" s="18">
        <f>SUM(BF21:BF34)</f>
        <v>39363790</v>
      </c>
      <c r="BG35" s="18"/>
      <c r="BH35" s="18">
        <f>SUM(BH21:BH34)</f>
        <v>42429093</v>
      </c>
      <c r="BI35" s="18">
        <f>SUM(BI21:BI34)</f>
        <v>44263389</v>
      </c>
      <c r="BJ35" s="18">
        <f>SUM(BJ21:BJ34)</f>
        <v>44678622</v>
      </c>
      <c r="BK35" s="18">
        <f>SUM(BK21:BK34)</f>
        <v>35631106</v>
      </c>
      <c r="BL35" s="18"/>
      <c r="BM35" s="18">
        <f>SUM(BM21:BM34)</f>
        <v>23176086</v>
      </c>
      <c r="BN35" s="18">
        <f>SUM(BN21:BN34)</f>
        <v>23049626</v>
      </c>
      <c r="BO35" s="18">
        <f>SUM(BO21:BO34)</f>
        <v>22687207</v>
      </c>
      <c r="BP35" s="14">
        <f>+BO35-'ESF GA Cons Acum.'!C33</f>
        <v>0</v>
      </c>
      <c r="BQ35" s="14">
        <f>+BK35-'ESF GA Cons Acum.'!E33</f>
        <v>0</v>
      </c>
    </row>
    <row r="36" spans="1:69" ht="5.25" customHeight="1">
      <c r="B36" s="21"/>
      <c r="C36" s="20"/>
      <c r="D36" s="20"/>
      <c r="E36" s="20"/>
      <c r="F36" s="20"/>
      <c r="G36" s="20"/>
      <c r="H36" s="20"/>
      <c r="J36" s="20"/>
      <c r="K36" s="20"/>
      <c r="L36" s="20"/>
      <c r="M36" s="20"/>
      <c r="N36" s="20"/>
      <c r="P36" s="20"/>
      <c r="Q36" s="20"/>
      <c r="R36" s="20"/>
      <c r="S36" s="20"/>
      <c r="T36" s="20"/>
      <c r="U36" s="20"/>
      <c r="V36" s="20"/>
      <c r="X36" s="20"/>
      <c r="Y36" s="20"/>
      <c r="Z36" s="20"/>
      <c r="AA36" s="20"/>
      <c r="AB36" s="20"/>
      <c r="AC36" s="20"/>
      <c r="AD36" s="20"/>
      <c r="AE36" s="20"/>
      <c r="AF36" s="20"/>
      <c r="AG36" s="20"/>
      <c r="AI36" s="20"/>
      <c r="AJ36" s="20"/>
      <c r="AK36" s="20"/>
      <c r="AL36" s="20"/>
      <c r="AM36" s="20"/>
      <c r="AN36" s="20"/>
      <c r="AO36" s="20"/>
      <c r="AP36" s="20"/>
      <c r="AQ36" s="20"/>
      <c r="AR36" s="14"/>
      <c r="AS36" s="20"/>
      <c r="AT36" s="20"/>
      <c r="AU36" s="20"/>
      <c r="AV36" s="20"/>
      <c r="AW36" s="14"/>
      <c r="AX36" s="20"/>
      <c r="AY36" s="20"/>
      <c r="AZ36" s="20"/>
      <c r="BA36" s="20"/>
      <c r="BB36" s="14"/>
      <c r="BC36" s="20"/>
      <c r="BD36" s="20"/>
      <c r="BE36" s="20"/>
      <c r="BF36" s="20"/>
      <c r="BG36" s="20"/>
      <c r="BH36" s="20"/>
      <c r="BI36" s="20"/>
      <c r="BJ36" s="20"/>
      <c r="BK36" s="20"/>
      <c r="BL36" s="20"/>
      <c r="BM36" s="20"/>
      <c r="BN36" s="20"/>
      <c r="BO36" s="20"/>
      <c r="BP36" s="14"/>
      <c r="BQ36" s="14"/>
    </row>
    <row r="37" spans="1:69" ht="16.5" customHeight="1">
      <c r="B37" s="24" t="s">
        <v>34</v>
      </c>
      <c r="C37" s="25">
        <f>+C19+C35</f>
        <v>27984896</v>
      </c>
      <c r="D37" s="25"/>
      <c r="E37" s="25">
        <f>+E19+E35</f>
        <v>30798667</v>
      </c>
      <c r="F37" s="25">
        <f>+F19+F35</f>
        <v>31438743</v>
      </c>
      <c r="G37" s="25">
        <f>+G19+G35</f>
        <v>31799673</v>
      </c>
      <c r="H37" s="25">
        <f>+H19+H35</f>
        <v>34299484</v>
      </c>
      <c r="I37" s="26"/>
      <c r="J37" s="25">
        <f>+J19+J35</f>
        <v>34136094</v>
      </c>
      <c r="K37" s="25">
        <f>+K19+K35</f>
        <v>35244308</v>
      </c>
      <c r="L37" s="25">
        <f>+L19+L35</f>
        <v>40107016</v>
      </c>
      <c r="M37" s="25">
        <f>+M19+M35</f>
        <v>41775013</v>
      </c>
      <c r="N37" s="25">
        <f>+N19+N35</f>
        <v>42080401</v>
      </c>
      <c r="P37" s="25">
        <f t="shared" ref="P37:V37" si="12">+P19+P35</f>
        <v>41561107</v>
      </c>
      <c r="Q37" s="25">
        <f t="shared" si="12"/>
        <v>41871652</v>
      </c>
      <c r="R37" s="25">
        <f t="shared" si="12"/>
        <v>41943681</v>
      </c>
      <c r="S37" s="25">
        <f t="shared" si="12"/>
        <v>42241655</v>
      </c>
      <c r="T37" s="25">
        <f t="shared" si="12"/>
        <v>42536797</v>
      </c>
      <c r="U37" s="25">
        <f t="shared" si="12"/>
        <v>42487715</v>
      </c>
      <c r="V37" s="25">
        <f t="shared" si="12"/>
        <v>44749574</v>
      </c>
      <c r="X37" s="25">
        <f>+X19+X35</f>
        <v>47016433</v>
      </c>
      <c r="Y37" s="25">
        <f>+Y19+Y35</f>
        <v>47714519</v>
      </c>
      <c r="Z37" s="25">
        <f>+Z19+Z35</f>
        <v>47163880</v>
      </c>
      <c r="AA37" s="25">
        <f>+AA19+AA35</f>
        <v>47567948</v>
      </c>
      <c r="AB37" s="18"/>
      <c r="AC37" s="25">
        <f>+AC19+AC35</f>
        <v>45723958</v>
      </c>
      <c r="AD37" s="25">
        <f>+AD19+AD35</f>
        <v>46769908</v>
      </c>
      <c r="AE37" s="25">
        <f>+AE19+AE35</f>
        <v>46906935</v>
      </c>
      <c r="AF37" s="25">
        <f>+AF19+AF35</f>
        <v>48714353</v>
      </c>
      <c r="AG37" s="19">
        <f>+AG19+AG35</f>
        <v>48647882</v>
      </c>
      <c r="AI37" s="25">
        <f>+AI19+AI35</f>
        <v>49210806</v>
      </c>
      <c r="AJ37" s="25">
        <f>+AJ19+AJ35</f>
        <v>51285426</v>
      </c>
      <c r="AK37" s="18">
        <f>+AK19+AK35</f>
        <v>52739611</v>
      </c>
      <c r="AL37" s="18">
        <f>+AL19+AL35</f>
        <v>50825141</v>
      </c>
      <c r="AM37" s="18"/>
      <c r="AN37" s="18">
        <f>+AN19+AN35</f>
        <v>55779735</v>
      </c>
      <c r="AO37" s="18">
        <f>+AO19+AO35</f>
        <v>53912319</v>
      </c>
      <c r="AP37" s="18">
        <f>+AP19+AP35</f>
        <v>54272004</v>
      </c>
      <c r="AQ37" s="18">
        <f>+AQ19+AQ35</f>
        <v>50773567</v>
      </c>
      <c r="AR37" s="14"/>
      <c r="AS37" s="18">
        <f>+AS19+AS35</f>
        <v>52829868</v>
      </c>
      <c r="AT37" s="18">
        <f>+AT19+AT35</f>
        <v>52551734</v>
      </c>
      <c r="AU37" s="18">
        <f>+AU19+AU35</f>
        <v>53183135</v>
      </c>
      <c r="AV37" s="18">
        <f>+AV19+AV35</f>
        <v>52589344</v>
      </c>
      <c r="AW37" s="14"/>
      <c r="AX37" s="18">
        <f>+AX19+AX35</f>
        <v>52018469</v>
      </c>
      <c r="AY37" s="18">
        <f>+AY19+AY35</f>
        <v>51303900</v>
      </c>
      <c r="AZ37" s="18">
        <f>+AZ19+AZ35</f>
        <v>53859278</v>
      </c>
      <c r="BA37" s="18">
        <f>+BA19+BA35</f>
        <v>56941068</v>
      </c>
      <c r="BB37" s="14"/>
      <c r="BC37" s="18">
        <f>+BC19+BC35</f>
        <v>57112838</v>
      </c>
      <c r="BD37" s="18">
        <f>+BD19+BD35</f>
        <v>52323245</v>
      </c>
      <c r="BE37" s="18">
        <f>+BE19+BE35</f>
        <v>52312696</v>
      </c>
      <c r="BF37" s="18">
        <f>+BF19+BF35</f>
        <v>49402341</v>
      </c>
      <c r="BG37" s="18"/>
      <c r="BH37" s="18">
        <f>+BH19+BH35</f>
        <v>51171008</v>
      </c>
      <c r="BI37" s="18">
        <f>+BI19+BI35</f>
        <v>52961110</v>
      </c>
      <c r="BJ37" s="18">
        <f>+BJ19+BJ35</f>
        <v>52358330</v>
      </c>
      <c r="BK37" s="18">
        <f>+BK19+BK35</f>
        <v>51852649</v>
      </c>
      <c r="BL37" s="18"/>
      <c r="BM37" s="18">
        <f>+BM19+BM35</f>
        <v>53552083</v>
      </c>
      <c r="BN37" s="18">
        <f>+BN19+BN35</f>
        <v>52546554</v>
      </c>
      <c r="BO37" s="18">
        <f>+BO19+BO35</f>
        <v>40611776</v>
      </c>
      <c r="BP37" s="14">
        <f>+BO37-'ESF GA Cons Acum.'!C35</f>
        <v>0</v>
      </c>
      <c r="BQ37" s="14">
        <f>+BK37-'ESF GA Cons Acum.'!E35</f>
        <v>0</v>
      </c>
    </row>
    <row r="38" spans="1:69" ht="16.5" customHeight="1">
      <c r="B38" s="27" t="s">
        <v>35</v>
      </c>
      <c r="C38" s="28">
        <f>+C37/C95</f>
        <v>14523.801269442556</v>
      </c>
      <c r="D38" s="28"/>
      <c r="E38" s="28">
        <f>+E37/E95</f>
        <v>15671.069851220158</v>
      </c>
      <c r="F38" s="28">
        <f>+F37/F95</f>
        <v>16712.157198369117</v>
      </c>
      <c r="G38" s="28">
        <f>+G37/G95</f>
        <v>15676.601691907241</v>
      </c>
      <c r="H38" s="28">
        <f>+H37/H95</f>
        <v>14336.492146159184</v>
      </c>
      <c r="I38" s="29"/>
      <c r="J38" s="28">
        <f>+J37/J95</f>
        <v>13251.332078181711</v>
      </c>
      <c r="K38" s="28">
        <f>+K37/K95</f>
        <v>13633.581549721288</v>
      </c>
      <c r="L38" s="28">
        <f>+L37/L95</f>
        <v>12846.824730776376</v>
      </c>
      <c r="M38" s="28">
        <f>+M37/M95</f>
        <v>13264.140633185902</v>
      </c>
      <c r="N38" s="28">
        <f>+N37/N95</f>
        <v>13361.10551934135</v>
      </c>
      <c r="P38" s="28">
        <f t="shared" ref="P38:V38" si="13">+P37/P95</f>
        <v>13751.255480007279</v>
      </c>
      <c r="Q38" s="28">
        <f t="shared" si="13"/>
        <v>13854.004996112297</v>
      </c>
      <c r="R38" s="28">
        <f t="shared" si="13"/>
        <v>14383.238516537214</v>
      </c>
      <c r="S38" s="28">
        <f t="shared" si="13"/>
        <v>14485.419131388988</v>
      </c>
      <c r="T38" s="28">
        <f t="shared" si="13"/>
        <v>14769.977603777845</v>
      </c>
      <c r="U38" s="28">
        <f t="shared" si="13"/>
        <v>14752.934946787271</v>
      </c>
      <c r="V38" s="28">
        <f t="shared" si="13"/>
        <v>14912.995257788989</v>
      </c>
      <c r="X38" s="28">
        <f>+X37/X95</f>
        <v>16323.790031386274</v>
      </c>
      <c r="Y38" s="28">
        <f>+Y37/Y95</f>
        <v>15704.554251446551</v>
      </c>
      <c r="Z38" s="28">
        <f>+Z37/Z95</f>
        <v>16060.326832773175</v>
      </c>
      <c r="AA38" s="28">
        <f>+AA37/AA95</f>
        <v>15941.001340482573</v>
      </c>
      <c r="AB38" s="30"/>
      <c r="AC38" s="28">
        <f>+AC37/AC95</f>
        <v>16444.686689660382</v>
      </c>
      <c r="AD38" s="28">
        <f>+AD37/AD95</f>
        <v>15958.068786679403</v>
      </c>
      <c r="AE38" s="28">
        <f>+AE37/AE95</f>
        <v>15781.996716215035</v>
      </c>
      <c r="AF38" s="28">
        <f>+AF37/AF95</f>
        <v>14990.18478344488</v>
      </c>
      <c r="AG38" s="31">
        <f>+AG37/AG95</f>
        <v>14969.730594661129</v>
      </c>
      <c r="AI38" s="28">
        <f>+AI37/AI95</f>
        <v>15500.491686064275</v>
      </c>
      <c r="AJ38" s="28">
        <f>+AJ37/AJ95</f>
        <v>15998.348551160911</v>
      </c>
      <c r="AK38" s="30">
        <f>+AK37/AK95</f>
        <v>15233.812438438941</v>
      </c>
      <c r="AL38" s="30">
        <f>+AL37/AL95</f>
        <v>15508.99290234778</v>
      </c>
      <c r="AM38" s="30"/>
      <c r="AN38" s="30">
        <f>+AN37/AN95</f>
        <v>13722.593429951216</v>
      </c>
      <c r="AO38" s="30">
        <f>+AO37/AO95</f>
        <v>14342.540523715652</v>
      </c>
      <c r="AP38" s="30">
        <f>+AP37/AP95</f>
        <v>13991.452303979953</v>
      </c>
      <c r="AQ38" s="30">
        <f>+AQ37/AQ95</f>
        <v>14792.00786598689</v>
      </c>
      <c r="AR38" s="14"/>
      <c r="AS38" s="30">
        <f>+AS37/AS95</f>
        <v>14137.313448811987</v>
      </c>
      <c r="AT38" s="30">
        <f>+AT37/AT95</f>
        <v>13988.914118088625</v>
      </c>
      <c r="AU38" s="30">
        <f>+AU37/AU95</f>
        <v>13868.989068188219</v>
      </c>
      <c r="AV38" s="30">
        <f>+AV37/AV95</f>
        <v>13209.552994604588</v>
      </c>
      <c r="AW38" s="14"/>
      <c r="AX38" s="30">
        <f>+AX37/AX95</f>
        <v>13878.438429625281</v>
      </c>
      <c r="AY38" s="30">
        <f>+AY37/AY95</f>
        <v>12429.866237671018</v>
      </c>
      <c r="AZ38" s="30">
        <f>+AZ37/AZ95</f>
        <v>11884.034889134546</v>
      </c>
      <c r="BA38" s="30">
        <f>+BA37/BA95</f>
        <v>11837.567668704005</v>
      </c>
      <c r="BB38" s="14"/>
      <c r="BC38" s="30">
        <f>+BC37/BC95</f>
        <v>12342.663816894194</v>
      </c>
      <c r="BD38" s="30">
        <f>+BD37/BD95</f>
        <v>12483.834294058141</v>
      </c>
      <c r="BE38" s="30">
        <f>+BE37/BE95</f>
        <v>12904.734370066308</v>
      </c>
      <c r="BF38" s="30">
        <f>+BF37/BF95</f>
        <v>12925.613479677137</v>
      </c>
      <c r="BG38" s="30"/>
      <c r="BH38" s="30">
        <f>+BH37/BH95</f>
        <v>13317.806522135179</v>
      </c>
      <c r="BI38" s="30">
        <f>+BI37/BI95</f>
        <v>12767.74331973655</v>
      </c>
      <c r="BJ38" s="30">
        <f>+BJ37/BJ95</f>
        <v>12573.412484000566</v>
      </c>
      <c r="BK38" s="30">
        <f>+BK37/BK95</f>
        <v>11760.237007132895</v>
      </c>
      <c r="BL38" s="30"/>
      <c r="BM38" s="30">
        <f>+BM37/BM95</f>
        <v>12773.092160655637</v>
      </c>
      <c r="BN38" s="30">
        <f>+BN37/BN95</f>
        <v>12911.748126998013</v>
      </c>
      <c r="BO38" s="30">
        <f>+BO37/BO95</f>
        <v>10409.832645099441</v>
      </c>
      <c r="BP38" s="14">
        <f>+BO38-'ESF GA Cons Acum.'!C36</f>
        <v>0</v>
      </c>
      <c r="BQ38" s="14">
        <f>+BK38-'ESF GA Cons Acum.'!E36</f>
        <v>0</v>
      </c>
    </row>
    <row r="39" spans="1:69" ht="6.75" customHeight="1">
      <c r="C39" s="10"/>
      <c r="D39" s="10"/>
      <c r="J39" s="10"/>
      <c r="K39" s="10"/>
      <c r="L39" s="10"/>
      <c r="M39" s="10"/>
      <c r="N39" s="10"/>
      <c r="P39" s="10"/>
      <c r="Q39" s="10"/>
      <c r="R39" s="10"/>
      <c r="S39" s="10"/>
      <c r="T39" s="10"/>
      <c r="U39" s="10"/>
      <c r="V39" s="10"/>
      <c r="X39" s="10"/>
      <c r="Y39" s="10"/>
      <c r="Z39" s="10"/>
      <c r="AA39" s="10"/>
      <c r="AB39" s="10"/>
      <c r="AC39" s="10"/>
      <c r="AD39" s="10"/>
      <c r="AE39" s="10"/>
      <c r="AF39" s="10"/>
      <c r="AG39" s="10"/>
      <c r="AI39" s="10"/>
      <c r="AJ39" s="10"/>
      <c r="AK39" s="10"/>
      <c r="AL39" s="10"/>
      <c r="AM39" s="10"/>
      <c r="AN39" s="10"/>
      <c r="AO39" s="10"/>
      <c r="AP39" s="10"/>
      <c r="AQ39" s="10"/>
      <c r="AR39" s="14"/>
      <c r="AS39" s="10"/>
      <c r="AT39" s="10"/>
      <c r="AU39" s="10"/>
      <c r="AV39" s="10"/>
      <c r="AW39" s="14"/>
      <c r="AX39" s="10"/>
      <c r="AY39" s="10"/>
      <c r="AZ39" s="10"/>
      <c r="BA39" s="10"/>
      <c r="BB39" s="14"/>
      <c r="BC39" s="10"/>
      <c r="BD39" s="10"/>
      <c r="BE39" s="10"/>
      <c r="BF39" s="10"/>
      <c r="BG39" s="10"/>
      <c r="BH39" s="10"/>
      <c r="BI39" s="10"/>
      <c r="BJ39" s="10"/>
      <c r="BK39" s="10"/>
      <c r="BL39" s="10"/>
      <c r="BM39" s="10"/>
      <c r="BN39" s="10"/>
      <c r="BO39" s="10"/>
      <c r="BP39" s="14"/>
      <c r="BQ39" s="14"/>
    </row>
    <row r="40" spans="1:69" ht="16.5" customHeight="1">
      <c r="B40" s="11" t="s">
        <v>36</v>
      </c>
      <c r="C40" s="12">
        <f>754243+12435</f>
        <v>766678</v>
      </c>
      <c r="D40" s="12"/>
      <c r="E40" s="12">
        <v>1269387</v>
      </c>
      <c r="F40" s="12">
        <v>2666188</v>
      </c>
      <c r="G40" s="12">
        <v>1469420</v>
      </c>
      <c r="H40" s="12">
        <v>1594526</v>
      </c>
      <c r="J40" s="12">
        <v>1999345</v>
      </c>
      <c r="K40" s="12">
        <v>2021761</v>
      </c>
      <c r="L40" s="12">
        <v>2828910</v>
      </c>
      <c r="M40" s="16">
        <v>3305497</v>
      </c>
      <c r="N40" s="16">
        <v>3264839</v>
      </c>
      <c r="P40" s="13">
        <v>3167340</v>
      </c>
      <c r="Q40" s="13">
        <v>3167340</v>
      </c>
      <c r="R40" s="13">
        <v>2646179</v>
      </c>
      <c r="S40" s="13">
        <v>2646179</v>
      </c>
      <c r="T40" s="13">
        <v>2433539</v>
      </c>
      <c r="U40" s="13">
        <v>2433539</v>
      </c>
      <c r="V40" s="13">
        <v>3407874</v>
      </c>
      <c r="X40" s="13">
        <v>4568190</v>
      </c>
      <c r="Y40" s="13">
        <v>3908209</v>
      </c>
      <c r="Z40" s="13">
        <v>3867304</v>
      </c>
      <c r="AA40" s="13">
        <v>2874332</v>
      </c>
      <c r="AB40" s="13"/>
      <c r="AC40" s="13">
        <v>3280206</v>
      </c>
      <c r="AD40" s="13">
        <v>3385004</v>
      </c>
      <c r="AE40" s="13">
        <v>3705938</v>
      </c>
      <c r="AF40" s="13">
        <f>2613134-1</f>
        <v>2613133</v>
      </c>
      <c r="AG40" s="13">
        <f>2613134-1</f>
        <v>2613133</v>
      </c>
      <c r="AI40" s="13">
        <v>3147152</v>
      </c>
      <c r="AJ40" s="13">
        <v>3231081</v>
      </c>
      <c r="AK40" s="13">
        <v>2792083</v>
      </c>
      <c r="AL40" s="13">
        <v>1587714</v>
      </c>
      <c r="AM40" s="13"/>
      <c r="AN40" s="13">
        <v>2348069</v>
      </c>
      <c r="AO40" s="13">
        <v>2904914</v>
      </c>
      <c r="AP40" s="13">
        <v>2135593</v>
      </c>
      <c r="AQ40" s="13">
        <v>1741257</v>
      </c>
      <c r="AR40" s="14"/>
      <c r="AS40" s="13">
        <v>1712248</v>
      </c>
      <c r="AT40" s="13">
        <v>2538565</v>
      </c>
      <c r="AU40" s="13">
        <v>2576395</v>
      </c>
      <c r="AV40" s="13">
        <v>2628060</v>
      </c>
      <c r="AW40" s="14"/>
      <c r="AX40" s="13">
        <v>2159686</v>
      </c>
      <c r="AY40" s="13">
        <v>2417890</v>
      </c>
      <c r="AZ40" s="13">
        <v>2918586</v>
      </c>
      <c r="BA40" s="13">
        <v>1635930</v>
      </c>
      <c r="BB40" s="14"/>
      <c r="BC40" s="13">
        <v>1663498</v>
      </c>
      <c r="BD40" s="13">
        <v>1892743</v>
      </c>
      <c r="BE40" s="13">
        <v>2465933</v>
      </c>
      <c r="BF40" s="13">
        <v>2797619</v>
      </c>
      <c r="BG40" s="13"/>
      <c r="BH40" s="13">
        <v>3079267</v>
      </c>
      <c r="BI40" s="13">
        <v>3280937</v>
      </c>
      <c r="BJ40" s="13">
        <v>3019637</v>
      </c>
      <c r="BK40" s="13">
        <v>2171508</v>
      </c>
      <c r="BL40" s="13"/>
      <c r="BM40" s="13">
        <v>3108842</v>
      </c>
      <c r="BN40" s="13">
        <v>3447760</v>
      </c>
      <c r="BO40" s="13">
        <v>3371785</v>
      </c>
      <c r="BP40" s="14">
        <f>+BO40-'ESF GA Cons Acum.'!C38</f>
        <v>0</v>
      </c>
      <c r="BQ40" s="14">
        <f>+BK40-'ESF GA Cons Acum.'!E38</f>
        <v>0</v>
      </c>
    </row>
    <row r="41" spans="1:69" ht="16.5" customHeight="1">
      <c r="B41" s="11" t="s">
        <v>37</v>
      </c>
      <c r="C41" s="12">
        <v>0</v>
      </c>
      <c r="D41" s="12"/>
      <c r="E41" s="12">
        <v>0</v>
      </c>
      <c r="F41" s="12">
        <v>0</v>
      </c>
      <c r="G41" s="12">
        <v>0</v>
      </c>
      <c r="H41" s="12">
        <v>0</v>
      </c>
      <c r="J41" s="12">
        <v>0</v>
      </c>
      <c r="K41" s="12">
        <v>0</v>
      </c>
      <c r="L41" s="12">
        <v>0</v>
      </c>
      <c r="M41" s="16">
        <v>0</v>
      </c>
      <c r="N41" s="16">
        <v>0</v>
      </c>
      <c r="P41" s="13">
        <v>0</v>
      </c>
      <c r="Q41" s="13">
        <v>0</v>
      </c>
      <c r="R41" s="13">
        <v>0</v>
      </c>
      <c r="S41" s="13">
        <v>0</v>
      </c>
      <c r="T41" s="13">
        <v>0</v>
      </c>
      <c r="U41" s="13">
        <v>0</v>
      </c>
      <c r="V41" s="13">
        <v>0</v>
      </c>
      <c r="X41" s="13">
        <v>0</v>
      </c>
      <c r="Y41" s="13">
        <v>0</v>
      </c>
      <c r="Z41" s="13">
        <v>0</v>
      </c>
      <c r="AA41" s="13">
        <v>0</v>
      </c>
      <c r="AB41" s="13"/>
      <c r="AC41" s="13">
        <v>0</v>
      </c>
      <c r="AD41" s="13">
        <v>0</v>
      </c>
      <c r="AE41" s="13">
        <v>0</v>
      </c>
      <c r="AF41" s="13">
        <v>0</v>
      </c>
      <c r="AG41" s="13">
        <v>0</v>
      </c>
      <c r="AI41" s="13">
        <v>221975</v>
      </c>
      <c r="AJ41" s="13">
        <v>195599</v>
      </c>
      <c r="AK41" s="13">
        <v>132061</v>
      </c>
      <c r="AL41" s="13">
        <v>164605</v>
      </c>
      <c r="AM41" s="13"/>
      <c r="AN41" s="13">
        <v>162302</v>
      </c>
      <c r="AO41" s="13">
        <v>154297</v>
      </c>
      <c r="AP41" s="13">
        <v>138701</v>
      </c>
      <c r="AQ41" s="13">
        <v>132103</v>
      </c>
      <c r="AR41" s="14"/>
      <c r="AS41" s="13">
        <v>134837</v>
      </c>
      <c r="AT41" s="13">
        <v>115660</v>
      </c>
      <c r="AU41" s="13">
        <v>114104</v>
      </c>
      <c r="AV41" s="13">
        <v>137257</v>
      </c>
      <c r="AW41" s="14"/>
      <c r="AX41" s="13">
        <v>130208</v>
      </c>
      <c r="AY41" s="13">
        <v>136921</v>
      </c>
      <c r="AZ41" s="13">
        <v>129693</v>
      </c>
      <c r="BA41" s="13">
        <v>148443</v>
      </c>
      <c r="BB41" s="14"/>
      <c r="BC41" s="13">
        <v>134289</v>
      </c>
      <c r="BD41" s="13">
        <v>115946</v>
      </c>
      <c r="BE41" s="13">
        <v>112470</v>
      </c>
      <c r="BF41" s="13">
        <v>127258</v>
      </c>
      <c r="BG41" s="13"/>
      <c r="BH41" s="13">
        <v>67646</v>
      </c>
      <c r="BI41" s="13">
        <v>56366</v>
      </c>
      <c r="BJ41" s="13">
        <v>45500</v>
      </c>
      <c r="BK41" s="13">
        <v>51704</v>
      </c>
      <c r="BL41" s="13"/>
      <c r="BM41" s="13">
        <v>70948</v>
      </c>
      <c r="BN41" s="13">
        <v>58869</v>
      </c>
      <c r="BO41" s="13">
        <v>48916</v>
      </c>
      <c r="BP41" s="14">
        <f>+BO41-'ESF GA Cons Acum.'!C39</f>
        <v>0</v>
      </c>
      <c r="BQ41" s="14">
        <f>+BK41-'ESF GA Cons Acum.'!E39</f>
        <v>0</v>
      </c>
    </row>
    <row r="42" spans="1:69" ht="12.75" customHeight="1">
      <c r="A42" s="32"/>
      <c r="B42" s="11" t="s">
        <v>38</v>
      </c>
      <c r="C42" s="12">
        <f>351457+47065</f>
        <v>398522</v>
      </c>
      <c r="D42" s="12"/>
      <c r="E42" s="12">
        <v>357313</v>
      </c>
      <c r="F42" s="12">
        <v>278564</v>
      </c>
      <c r="G42" s="12">
        <v>277886</v>
      </c>
      <c r="H42" s="12">
        <f>422092+47065</f>
        <v>469157</v>
      </c>
      <c r="J42" s="12">
        <v>371397</v>
      </c>
      <c r="K42" s="12">
        <v>404127</v>
      </c>
      <c r="L42" s="12">
        <v>397546</v>
      </c>
      <c r="M42" s="12">
        <f>548185+24935</f>
        <v>573120</v>
      </c>
      <c r="N42" s="12">
        <v>410660</v>
      </c>
      <c r="P42" s="13">
        <v>544029</v>
      </c>
      <c r="Q42" s="13">
        <v>544029</v>
      </c>
      <c r="R42" s="13">
        <v>695158</v>
      </c>
      <c r="S42" s="13">
        <v>695158</v>
      </c>
      <c r="T42" s="13">
        <v>744073</v>
      </c>
      <c r="U42" s="13">
        <v>744073</v>
      </c>
      <c r="V42" s="13">
        <v>760339</v>
      </c>
      <c r="X42" s="13">
        <v>760567</v>
      </c>
      <c r="Y42" s="13">
        <v>755847</v>
      </c>
      <c r="Z42" s="13">
        <v>1015489</v>
      </c>
      <c r="AA42" s="13">
        <v>704251</v>
      </c>
      <c r="AB42" s="13"/>
      <c r="AC42" s="13">
        <v>717532</v>
      </c>
      <c r="AD42" s="13">
        <v>415226</v>
      </c>
      <c r="AE42" s="13">
        <v>307505</v>
      </c>
      <c r="AF42" s="13">
        <v>665719</v>
      </c>
      <c r="AG42" s="13">
        <v>665719</v>
      </c>
      <c r="AI42" s="13">
        <v>664541</v>
      </c>
      <c r="AJ42" s="13">
        <v>859860</v>
      </c>
      <c r="AK42" s="13">
        <v>798019</v>
      </c>
      <c r="AL42" s="13">
        <v>951924</v>
      </c>
      <c r="AM42" s="13"/>
      <c r="AN42" s="13">
        <v>1053342</v>
      </c>
      <c r="AO42" s="13">
        <v>1063702</v>
      </c>
      <c r="AP42" s="13">
        <v>1016084</v>
      </c>
      <c r="AQ42" s="13">
        <v>643567</v>
      </c>
      <c r="AR42" s="14"/>
      <c r="AS42" s="13">
        <v>662964</v>
      </c>
      <c r="AT42" s="13">
        <v>940358</v>
      </c>
      <c r="AU42" s="13">
        <v>1017542</v>
      </c>
      <c r="AV42" s="13">
        <v>1126948</v>
      </c>
      <c r="AW42" s="14"/>
      <c r="AX42" s="13">
        <v>1101224</v>
      </c>
      <c r="AY42" s="13">
        <v>757633</v>
      </c>
      <c r="AZ42" s="13">
        <v>524533</v>
      </c>
      <c r="BA42" s="13">
        <v>830643</v>
      </c>
      <c r="BB42" s="14"/>
      <c r="BC42" s="13">
        <v>839197</v>
      </c>
      <c r="BD42" s="13">
        <v>619015</v>
      </c>
      <c r="BE42" s="13">
        <v>798837</v>
      </c>
      <c r="BF42" s="13">
        <v>404052</v>
      </c>
      <c r="BG42" s="13"/>
      <c r="BH42" s="13">
        <v>356199</v>
      </c>
      <c r="BI42" s="13">
        <v>627300</v>
      </c>
      <c r="BJ42" s="13">
        <v>661352</v>
      </c>
      <c r="BK42" s="13">
        <v>731549</v>
      </c>
      <c r="BL42" s="13"/>
      <c r="BM42" s="13">
        <v>485823</v>
      </c>
      <c r="BN42" s="13">
        <v>819716</v>
      </c>
      <c r="BO42" s="13">
        <v>834842</v>
      </c>
      <c r="BP42" s="14">
        <f>+BO42-'ESF GA Cons Acum.'!C40</f>
        <v>0</v>
      </c>
      <c r="BQ42" s="14">
        <f>+BK42-'ESF GA Cons Acum.'!E40</f>
        <v>0</v>
      </c>
    </row>
    <row r="43" spans="1:69" ht="16.5" customHeight="1">
      <c r="B43" s="11" t="s">
        <v>39</v>
      </c>
      <c r="C43" s="12">
        <f>913874-72322</f>
        <v>841552</v>
      </c>
      <c r="D43" s="12"/>
      <c r="E43" s="12">
        <v>1177180</v>
      </c>
      <c r="F43" s="12">
        <f>1863210+1</f>
        <v>1863211</v>
      </c>
      <c r="G43" s="12">
        <f>1593004</f>
        <v>1593004</v>
      </c>
      <c r="H43" s="12">
        <f>1365778-71013</f>
        <v>1294765</v>
      </c>
      <c r="J43" s="12">
        <v>1686160</v>
      </c>
      <c r="K43" s="12">
        <f>1463741+1</f>
        <v>1463742</v>
      </c>
      <c r="L43" s="12">
        <v>1825733</v>
      </c>
      <c r="M43" s="12">
        <f>1925576-44432</f>
        <v>1881144</v>
      </c>
      <c r="N43" s="12">
        <f>1879441-78634</f>
        <v>1800807</v>
      </c>
      <c r="P43" s="13">
        <v>2319547</v>
      </c>
      <c r="Q43" s="13">
        <v>2320289</v>
      </c>
      <c r="R43" s="13">
        <v>1979360</v>
      </c>
      <c r="S43" s="13">
        <v>1979513</v>
      </c>
      <c r="T43" s="13">
        <v>1784599</v>
      </c>
      <c r="U43" s="13">
        <v>1785640</v>
      </c>
      <c r="V43" s="13">
        <f>1646522-79157</f>
        <v>1567365</v>
      </c>
      <c r="X43" s="13">
        <v>2839627</v>
      </c>
      <c r="Y43" s="13">
        <v>2406692</v>
      </c>
      <c r="Z43" s="13">
        <v>2215714</v>
      </c>
      <c r="AA43" s="13">
        <v>2116725</v>
      </c>
      <c r="AB43" s="13"/>
      <c r="AC43" s="13">
        <v>2182165</v>
      </c>
      <c r="AD43" s="13">
        <v>2385460</v>
      </c>
      <c r="AE43" s="13">
        <v>2105770</v>
      </c>
      <c r="AF43" s="13">
        <v>2348111</v>
      </c>
      <c r="AG43" s="13">
        <v>2449899</v>
      </c>
      <c r="AI43" s="13">
        <v>2662684</v>
      </c>
      <c r="AJ43" s="13">
        <v>2716187</v>
      </c>
      <c r="AK43" s="13">
        <v>2599395</v>
      </c>
      <c r="AL43" s="13">
        <v>2734393</v>
      </c>
      <c r="AM43" s="13"/>
      <c r="AN43" s="13">
        <v>3437710</v>
      </c>
      <c r="AO43" s="13">
        <v>2950859</v>
      </c>
      <c r="AP43" s="13">
        <v>2692937</v>
      </c>
      <c r="AQ43" s="13">
        <v>2353159</v>
      </c>
      <c r="AR43" s="14"/>
      <c r="AS43" s="13">
        <v>3149689</v>
      </c>
      <c r="AT43" s="13">
        <v>2596634</v>
      </c>
      <c r="AU43" s="13">
        <v>2611813</v>
      </c>
      <c r="AV43" s="13">
        <v>2603991</v>
      </c>
      <c r="AW43" s="14"/>
      <c r="AX43" s="13">
        <v>3465274</v>
      </c>
      <c r="AY43" s="13">
        <v>3300641</v>
      </c>
      <c r="AZ43" s="13">
        <v>2653270</v>
      </c>
      <c r="BA43" s="13">
        <v>2840691</v>
      </c>
      <c r="BB43" s="14"/>
      <c r="BC43" s="13">
        <v>3382742</v>
      </c>
      <c r="BD43" s="13">
        <v>3207952</v>
      </c>
      <c r="BE43" s="13">
        <v>3502050</v>
      </c>
      <c r="BF43" s="13">
        <v>3490702</v>
      </c>
      <c r="BG43" s="13"/>
      <c r="BH43" s="13">
        <v>3724786</v>
      </c>
      <c r="BI43" s="13">
        <v>3668887</v>
      </c>
      <c r="BJ43" s="13">
        <v>3467080</v>
      </c>
      <c r="BK43" s="13">
        <v>3918438</v>
      </c>
      <c r="BL43" s="13"/>
      <c r="BM43" s="13">
        <v>4370356</v>
      </c>
      <c r="BN43" s="13">
        <v>3814122</v>
      </c>
      <c r="BO43" s="13">
        <v>3484751</v>
      </c>
      <c r="BP43" s="14">
        <f>+BO43-'ESF GA Cons Acum.'!C41</f>
        <v>0</v>
      </c>
      <c r="BQ43" s="14">
        <f>+BK43-'ESF GA Cons Acum.'!E41</f>
        <v>0</v>
      </c>
    </row>
    <row r="44" spans="1:69" ht="16.5" customHeight="1">
      <c r="B44" s="11" t="s">
        <v>40</v>
      </c>
      <c r="C44" s="12">
        <v>94012</v>
      </c>
      <c r="D44" s="12"/>
      <c r="E44" s="12">
        <v>120444</v>
      </c>
      <c r="F44" s="12">
        <v>116012</v>
      </c>
      <c r="G44" s="12">
        <v>122011</v>
      </c>
      <c r="H44" s="12">
        <v>99531</v>
      </c>
      <c r="J44" s="12">
        <v>113818</v>
      </c>
      <c r="K44" s="12">
        <v>120852</v>
      </c>
      <c r="L44" s="12">
        <v>171749</v>
      </c>
      <c r="M44" s="12">
        <v>307137</v>
      </c>
      <c r="N44" s="12">
        <v>306708</v>
      </c>
      <c r="P44" s="13">
        <v>303660</v>
      </c>
      <c r="Q44" s="13">
        <v>312192</v>
      </c>
      <c r="R44" s="13">
        <v>310172</v>
      </c>
      <c r="S44" s="13">
        <v>313121</v>
      </c>
      <c r="T44" s="13">
        <v>327919</v>
      </c>
      <c r="U44" s="13">
        <v>318945</v>
      </c>
      <c r="V44" s="13">
        <v>328471</v>
      </c>
      <c r="X44" s="13">
        <v>331590</v>
      </c>
      <c r="Y44" s="13">
        <v>346850</v>
      </c>
      <c r="Z44" s="13">
        <v>337961</v>
      </c>
      <c r="AA44" s="13">
        <v>340185</v>
      </c>
      <c r="AB44" s="13"/>
      <c r="AC44" s="13">
        <v>328365</v>
      </c>
      <c r="AD44" s="13">
        <v>322243</v>
      </c>
      <c r="AE44" s="13">
        <v>329681</v>
      </c>
      <c r="AF44" s="13">
        <v>337855</v>
      </c>
      <c r="AG44" s="13">
        <v>337855</v>
      </c>
      <c r="AI44" s="13">
        <v>331083</v>
      </c>
      <c r="AJ44" s="13">
        <v>323892</v>
      </c>
      <c r="AK44" s="13">
        <v>338418</v>
      </c>
      <c r="AL44" s="13">
        <v>336153</v>
      </c>
      <c r="AM44" s="13"/>
      <c r="AN44" s="13">
        <v>335838</v>
      </c>
      <c r="AO44" s="13">
        <v>330069</v>
      </c>
      <c r="AP44" s="13">
        <v>324970</v>
      </c>
      <c r="AQ44" s="13">
        <v>430062</v>
      </c>
      <c r="AR44" s="14"/>
      <c r="AS44" s="13">
        <v>373242</v>
      </c>
      <c r="AT44" s="13">
        <v>373211</v>
      </c>
      <c r="AU44" s="13">
        <v>362924</v>
      </c>
      <c r="AV44" s="13">
        <v>309164</v>
      </c>
      <c r="AW44" s="14"/>
      <c r="AX44" s="13">
        <v>139876</v>
      </c>
      <c r="AY44" s="13">
        <v>131057</v>
      </c>
      <c r="AZ44" s="13">
        <v>134657</v>
      </c>
      <c r="BA44" s="13">
        <v>142956</v>
      </c>
      <c r="BB44" s="14"/>
      <c r="BC44" s="13">
        <v>96697</v>
      </c>
      <c r="BD44" s="13">
        <v>87569</v>
      </c>
      <c r="BE44" s="13">
        <v>85509</v>
      </c>
      <c r="BF44" s="13">
        <v>99539</v>
      </c>
      <c r="BG44" s="13"/>
      <c r="BH44" s="13">
        <v>69418</v>
      </c>
      <c r="BI44" s="13">
        <v>54819</v>
      </c>
      <c r="BJ44" s="13">
        <v>43767</v>
      </c>
      <c r="BK44" s="13">
        <v>56398</v>
      </c>
      <c r="BL44" s="13"/>
      <c r="BM44" s="13">
        <v>56215</v>
      </c>
      <c r="BN44" s="13">
        <v>57160</v>
      </c>
      <c r="BO44" s="13">
        <v>53190</v>
      </c>
      <c r="BP44" s="14">
        <f>+BO44-'ESF GA Cons Acum.'!C42</f>
        <v>0</v>
      </c>
      <c r="BQ44" s="14">
        <f>+BK44-'ESF GA Cons Acum.'!E42</f>
        <v>0</v>
      </c>
    </row>
    <row r="45" spans="1:69" ht="16.5" customHeight="1">
      <c r="B45" s="11" t="s">
        <v>41</v>
      </c>
      <c r="C45" s="12">
        <v>377955</v>
      </c>
      <c r="D45" s="12"/>
      <c r="E45" s="12">
        <v>423058</v>
      </c>
      <c r="F45" s="12">
        <v>410678</v>
      </c>
      <c r="G45" s="12">
        <v>399074</v>
      </c>
      <c r="H45" s="12">
        <v>300784</v>
      </c>
      <c r="J45" s="12">
        <v>398432</v>
      </c>
      <c r="K45" s="12">
        <v>417923</v>
      </c>
      <c r="L45" s="12">
        <v>520494</v>
      </c>
      <c r="M45" s="12">
        <v>264623</v>
      </c>
      <c r="N45" s="12">
        <v>264623</v>
      </c>
      <c r="P45" s="13">
        <v>578747</v>
      </c>
      <c r="Q45" s="13">
        <v>339336</v>
      </c>
      <c r="R45" s="13">
        <v>521686</v>
      </c>
      <c r="S45" s="13">
        <v>318559</v>
      </c>
      <c r="T45" s="13">
        <v>556587</v>
      </c>
      <c r="U45" s="13">
        <v>407780</v>
      </c>
      <c r="V45" s="13">
        <v>169270</v>
      </c>
      <c r="X45" s="13">
        <v>226125</v>
      </c>
      <c r="Y45" s="13">
        <v>223377</v>
      </c>
      <c r="Z45" s="13">
        <v>323382</v>
      </c>
      <c r="AA45" s="13">
        <v>189664</v>
      </c>
      <c r="AB45" s="13"/>
      <c r="AC45" s="13">
        <v>219921</v>
      </c>
      <c r="AD45" s="13">
        <v>219011</v>
      </c>
      <c r="AE45" s="13">
        <v>293100</v>
      </c>
      <c r="AF45" s="13">
        <v>237356</v>
      </c>
      <c r="AG45" s="15">
        <v>210325</v>
      </c>
      <c r="AI45" s="13">
        <v>302895</v>
      </c>
      <c r="AJ45" s="13">
        <v>265683</v>
      </c>
      <c r="AK45" s="13">
        <v>350583</v>
      </c>
      <c r="AL45" s="13">
        <v>242697</v>
      </c>
      <c r="AM45" s="13"/>
      <c r="AN45" s="13">
        <v>356331</v>
      </c>
      <c r="AO45" s="13">
        <v>259411</v>
      </c>
      <c r="AP45" s="13">
        <v>307791</v>
      </c>
      <c r="AQ45" s="13">
        <v>183414</v>
      </c>
      <c r="AR45" s="14"/>
      <c r="AS45" s="13">
        <v>270220</v>
      </c>
      <c r="AT45" s="13">
        <v>303929</v>
      </c>
      <c r="AU45" s="13">
        <v>381322</v>
      </c>
      <c r="AV45" s="13">
        <v>171501</v>
      </c>
      <c r="AW45" s="14"/>
      <c r="AX45" s="13">
        <v>258481</v>
      </c>
      <c r="AY45" s="13">
        <v>354443</v>
      </c>
      <c r="AZ45" s="13">
        <v>399197</v>
      </c>
      <c r="BA45" s="13">
        <v>233247</v>
      </c>
      <c r="BB45" s="14"/>
      <c r="BC45" s="13">
        <v>271018</v>
      </c>
      <c r="BD45" s="13">
        <v>223325</v>
      </c>
      <c r="BE45" s="13">
        <v>295821</v>
      </c>
      <c r="BF45" s="13">
        <v>125450</v>
      </c>
      <c r="BG45" s="13"/>
      <c r="BH45" s="13">
        <v>362160</v>
      </c>
      <c r="BI45" s="13">
        <v>357614</v>
      </c>
      <c r="BJ45" s="13">
        <v>424574</v>
      </c>
      <c r="BK45" s="13">
        <v>331412</v>
      </c>
      <c r="BL45" s="13"/>
      <c r="BM45" s="13">
        <v>371098</v>
      </c>
      <c r="BN45" s="13">
        <v>201088</v>
      </c>
      <c r="BO45" s="13">
        <v>337810</v>
      </c>
      <c r="BP45" s="14">
        <f>+BO45-'ESF GA Cons Acum.'!C43</f>
        <v>0</v>
      </c>
      <c r="BQ45" s="14">
        <f>+BK45-'ESF GA Cons Acum.'!E43</f>
        <v>0</v>
      </c>
    </row>
    <row r="46" spans="1:69" ht="16.5" customHeight="1">
      <c r="B46" s="11" t="s">
        <v>42</v>
      </c>
      <c r="C46" s="12">
        <f>95859+36201</f>
        <v>132060</v>
      </c>
      <c r="D46" s="12"/>
      <c r="E46" s="12">
        <f>96045+25332</f>
        <v>121377</v>
      </c>
      <c r="F46" s="12">
        <f>72053+35278</f>
        <v>107331</v>
      </c>
      <c r="G46" s="12">
        <f>108534+37993</f>
        <v>146527</v>
      </c>
      <c r="H46" s="12">
        <f>102639+32809</f>
        <v>135448</v>
      </c>
      <c r="J46" s="12">
        <f>122878+22768</f>
        <v>145646</v>
      </c>
      <c r="K46" s="12">
        <f>99740+22968</f>
        <v>122708</v>
      </c>
      <c r="L46" s="12">
        <f>164914+30356</f>
        <v>195270</v>
      </c>
      <c r="M46" s="12">
        <f>151948+32714</f>
        <v>184662</v>
      </c>
      <c r="N46" s="12">
        <v>190722</v>
      </c>
      <c r="P46" s="13">
        <f>152228+32030</f>
        <v>184258</v>
      </c>
      <c r="Q46" s="13">
        <f>152228+32030</f>
        <v>184258</v>
      </c>
      <c r="R46" s="13">
        <f>118505+23123</f>
        <v>141628</v>
      </c>
      <c r="S46" s="13">
        <f>118505+23123</f>
        <v>141628</v>
      </c>
      <c r="T46" s="13">
        <f>154576+21612</f>
        <v>176188</v>
      </c>
      <c r="U46" s="13">
        <f>154576+21612</f>
        <v>176188</v>
      </c>
      <c r="V46" s="13">
        <v>202657</v>
      </c>
      <c r="X46" s="13">
        <v>212707</v>
      </c>
      <c r="Y46" s="13">
        <v>168478</v>
      </c>
      <c r="Z46" s="13">
        <v>166675</v>
      </c>
      <c r="AA46" s="13">
        <v>210547</v>
      </c>
      <c r="AB46" s="13"/>
      <c r="AC46" s="13">
        <v>223459</v>
      </c>
      <c r="AD46" s="13">
        <v>193306</v>
      </c>
      <c r="AE46" s="13">
        <v>221824</v>
      </c>
      <c r="AF46" s="13">
        <v>241141</v>
      </c>
      <c r="AG46" s="13">
        <v>241141</v>
      </c>
      <c r="AI46" s="13">
        <v>232511</v>
      </c>
      <c r="AJ46" s="13">
        <v>195683</v>
      </c>
      <c r="AK46" s="13">
        <v>237845</v>
      </c>
      <c r="AL46" s="13">
        <v>250091</v>
      </c>
      <c r="AM46" s="13"/>
      <c r="AN46" s="13">
        <v>239870</v>
      </c>
      <c r="AO46" s="13">
        <v>199601</v>
      </c>
      <c r="AP46" s="13">
        <v>224714</v>
      </c>
      <c r="AQ46" s="13">
        <v>208396</v>
      </c>
      <c r="AR46" s="14"/>
      <c r="AS46" s="13">
        <v>207750</v>
      </c>
      <c r="AT46" s="13">
        <v>210044</v>
      </c>
      <c r="AU46" s="13">
        <v>259292</v>
      </c>
      <c r="AV46" s="13">
        <v>290224</v>
      </c>
      <c r="AW46" s="14"/>
      <c r="AX46" s="13">
        <v>244361</v>
      </c>
      <c r="AY46" s="13">
        <v>221424</v>
      </c>
      <c r="AZ46" s="13">
        <v>282005</v>
      </c>
      <c r="BA46" s="13">
        <v>277951</v>
      </c>
      <c r="BB46" s="14"/>
      <c r="BC46" s="13">
        <v>292610</v>
      </c>
      <c r="BD46" s="13">
        <v>272166</v>
      </c>
      <c r="BE46" s="13">
        <v>369142</v>
      </c>
      <c r="BF46" s="13">
        <v>373964</v>
      </c>
      <c r="BG46" s="13"/>
      <c r="BH46" s="13">
        <v>234404</v>
      </c>
      <c r="BI46" s="13">
        <v>238777</v>
      </c>
      <c r="BJ46" s="13">
        <v>298798</v>
      </c>
      <c r="BK46" s="13">
        <v>291976</v>
      </c>
      <c r="BL46" s="13"/>
      <c r="BM46" s="13">
        <v>241763</v>
      </c>
      <c r="BN46" s="13">
        <v>235766</v>
      </c>
      <c r="BO46" s="13">
        <v>279460</v>
      </c>
      <c r="BP46" s="14">
        <f>+BO46-'ESF GA Cons Acum.'!C44</f>
        <v>0</v>
      </c>
      <c r="BQ46" s="14">
        <f>+BK46-'ESF GA Cons Acum.'!E44</f>
        <v>0</v>
      </c>
    </row>
    <row r="47" spans="1:69" hidden="1">
      <c r="B47" s="11" t="s">
        <v>43</v>
      </c>
      <c r="C47" s="12">
        <v>0</v>
      </c>
      <c r="D47" s="12"/>
      <c r="E47" s="12">
        <v>0</v>
      </c>
      <c r="F47" s="12">
        <v>0</v>
      </c>
      <c r="G47" s="12">
        <v>0</v>
      </c>
      <c r="H47" s="12">
        <v>0</v>
      </c>
      <c r="J47" s="12">
        <v>0</v>
      </c>
      <c r="K47" s="12">
        <v>0</v>
      </c>
      <c r="L47" s="12">
        <v>0</v>
      </c>
      <c r="M47" s="12">
        <v>0</v>
      </c>
      <c r="N47" s="13">
        <v>0</v>
      </c>
      <c r="P47" s="12">
        <v>0</v>
      </c>
      <c r="Q47" s="12">
        <v>0</v>
      </c>
      <c r="R47" s="12">
        <v>0</v>
      </c>
      <c r="S47" s="12">
        <v>0</v>
      </c>
      <c r="T47" s="12">
        <v>0</v>
      </c>
      <c r="U47" s="12">
        <v>0</v>
      </c>
      <c r="V47" s="12">
        <v>0</v>
      </c>
      <c r="X47" s="12">
        <v>0</v>
      </c>
      <c r="Y47" s="12">
        <v>0</v>
      </c>
      <c r="Z47" s="12">
        <v>0</v>
      </c>
      <c r="AA47" s="12">
        <v>0</v>
      </c>
      <c r="AB47" s="12"/>
      <c r="AC47" s="12">
        <v>0</v>
      </c>
      <c r="AD47" s="12">
        <v>0</v>
      </c>
      <c r="AE47" s="12">
        <v>0</v>
      </c>
      <c r="AF47" s="12">
        <v>0</v>
      </c>
      <c r="AG47" s="12">
        <v>0</v>
      </c>
      <c r="AI47" s="12">
        <v>0</v>
      </c>
      <c r="AJ47" s="12">
        <v>0</v>
      </c>
      <c r="AK47" s="12">
        <v>0</v>
      </c>
      <c r="AL47" s="12">
        <v>0</v>
      </c>
      <c r="AM47" s="12"/>
      <c r="AN47" s="12">
        <v>0</v>
      </c>
      <c r="AO47" s="12">
        <v>0</v>
      </c>
      <c r="AP47" s="12">
        <v>0</v>
      </c>
      <c r="AQ47" s="12">
        <v>0</v>
      </c>
      <c r="AR47" s="14"/>
      <c r="AS47" s="12">
        <v>0</v>
      </c>
      <c r="AT47" s="12">
        <v>0</v>
      </c>
      <c r="AU47" s="12">
        <v>0</v>
      </c>
      <c r="AV47" s="12">
        <v>0</v>
      </c>
      <c r="AW47" s="14"/>
      <c r="AX47" s="12">
        <v>0</v>
      </c>
      <c r="AY47" s="12">
        <v>0</v>
      </c>
      <c r="AZ47" s="12">
        <v>0</v>
      </c>
      <c r="BA47" s="12">
        <v>0</v>
      </c>
      <c r="BB47" s="14"/>
      <c r="BC47" s="12">
        <v>0</v>
      </c>
      <c r="BD47" s="12">
        <v>0</v>
      </c>
      <c r="BE47" s="12">
        <v>0</v>
      </c>
      <c r="BF47" s="12">
        <v>0</v>
      </c>
      <c r="BG47" s="12"/>
      <c r="BH47" s="12">
        <v>0</v>
      </c>
      <c r="BI47" s="12">
        <v>0</v>
      </c>
      <c r="BJ47" s="12">
        <v>0</v>
      </c>
      <c r="BK47" s="12">
        <v>0</v>
      </c>
      <c r="BL47" s="12"/>
      <c r="BM47" s="12">
        <v>0</v>
      </c>
      <c r="BN47" s="12">
        <v>0</v>
      </c>
      <c r="BO47" s="12">
        <v>0</v>
      </c>
      <c r="BP47" s="14">
        <f>+BO47-'ESF GA Cons Acum.'!C45</f>
        <v>0</v>
      </c>
      <c r="BQ47" s="14">
        <f>+BK47-'ESF GA Cons Acum.'!E45</f>
        <v>0</v>
      </c>
    </row>
    <row r="48" spans="1:69" hidden="1">
      <c r="B48" s="11" t="s">
        <v>44</v>
      </c>
      <c r="C48" s="12">
        <v>0</v>
      </c>
      <c r="D48" s="12"/>
      <c r="E48" s="12">
        <v>0</v>
      </c>
      <c r="F48" s="12">
        <v>0</v>
      </c>
      <c r="G48" s="12">
        <v>0</v>
      </c>
      <c r="H48" s="12">
        <v>0</v>
      </c>
      <c r="J48" s="12">
        <v>0</v>
      </c>
      <c r="K48" s="12">
        <v>0</v>
      </c>
      <c r="L48" s="12">
        <v>0</v>
      </c>
      <c r="M48" s="12">
        <v>0</v>
      </c>
      <c r="N48" s="12">
        <v>0</v>
      </c>
      <c r="P48" s="12">
        <v>0</v>
      </c>
      <c r="Q48" s="12">
        <v>0</v>
      </c>
      <c r="R48" s="12">
        <v>0</v>
      </c>
      <c r="S48" s="12">
        <v>0</v>
      </c>
      <c r="T48" s="12">
        <v>0</v>
      </c>
      <c r="U48" s="12">
        <v>0</v>
      </c>
      <c r="V48" s="12">
        <v>0</v>
      </c>
      <c r="X48" s="12">
        <v>0</v>
      </c>
      <c r="Y48" s="12">
        <v>0</v>
      </c>
      <c r="Z48" s="12">
        <v>0</v>
      </c>
      <c r="AA48" s="12">
        <v>0</v>
      </c>
      <c r="AB48" s="12"/>
      <c r="AC48" s="12">
        <v>0</v>
      </c>
      <c r="AD48" s="12">
        <v>0</v>
      </c>
      <c r="AE48" s="12">
        <v>0</v>
      </c>
      <c r="AF48" s="12">
        <v>0</v>
      </c>
      <c r="AG48" s="12">
        <v>0</v>
      </c>
      <c r="AI48" s="12">
        <v>0</v>
      </c>
      <c r="AJ48" s="12">
        <v>0</v>
      </c>
      <c r="AK48" s="12">
        <v>0</v>
      </c>
      <c r="AL48" s="12">
        <v>0</v>
      </c>
      <c r="AM48" s="12"/>
      <c r="AN48" s="12">
        <v>0</v>
      </c>
      <c r="AO48" s="12">
        <v>0</v>
      </c>
      <c r="AP48" s="12">
        <v>0</v>
      </c>
      <c r="AQ48" s="12">
        <v>0</v>
      </c>
      <c r="AR48" s="14"/>
      <c r="AS48" s="12">
        <v>0</v>
      </c>
      <c r="AT48" s="12">
        <v>0</v>
      </c>
      <c r="AU48" s="12">
        <v>0</v>
      </c>
      <c r="AV48" s="12">
        <v>0</v>
      </c>
      <c r="AW48" s="14"/>
      <c r="AX48" s="12">
        <v>0</v>
      </c>
      <c r="AY48" s="12">
        <v>0</v>
      </c>
      <c r="AZ48" s="12">
        <v>0</v>
      </c>
      <c r="BA48" s="12">
        <v>0</v>
      </c>
      <c r="BB48" s="14"/>
      <c r="BC48" s="12">
        <v>0</v>
      </c>
      <c r="BD48" s="12">
        <v>0</v>
      </c>
      <c r="BE48" s="12">
        <v>0</v>
      </c>
      <c r="BF48" s="12">
        <v>0</v>
      </c>
      <c r="BG48" s="12"/>
      <c r="BH48" s="12">
        <v>0</v>
      </c>
      <c r="BI48" s="12">
        <v>0</v>
      </c>
      <c r="BJ48" s="12">
        <v>0</v>
      </c>
      <c r="BK48" s="12">
        <v>0</v>
      </c>
      <c r="BL48" s="12"/>
      <c r="BM48" s="12">
        <v>0</v>
      </c>
      <c r="BN48" s="12">
        <v>0</v>
      </c>
      <c r="BO48" s="12">
        <v>0</v>
      </c>
      <c r="BP48" s="14">
        <f>+BO48-'ESF GA Cons Acum.'!C46</f>
        <v>0</v>
      </c>
      <c r="BQ48" s="14">
        <f>+BK48-'ESF GA Cons Acum.'!E46</f>
        <v>0</v>
      </c>
    </row>
    <row r="49" spans="1:69">
      <c r="B49" s="11" t="s">
        <v>45</v>
      </c>
      <c r="C49" s="12">
        <v>0</v>
      </c>
      <c r="D49" s="12"/>
      <c r="E49" s="12">
        <v>0</v>
      </c>
      <c r="F49" s="12">
        <v>0</v>
      </c>
      <c r="G49" s="12">
        <v>0</v>
      </c>
      <c r="H49" s="12">
        <v>0</v>
      </c>
      <c r="J49" s="12">
        <v>0</v>
      </c>
      <c r="K49" s="12">
        <v>0</v>
      </c>
      <c r="L49" s="12">
        <v>0</v>
      </c>
      <c r="M49" s="12">
        <v>0</v>
      </c>
      <c r="N49" s="12">
        <v>0</v>
      </c>
      <c r="P49" s="12">
        <v>0</v>
      </c>
      <c r="Q49" s="12">
        <v>0</v>
      </c>
      <c r="R49" s="12">
        <v>0</v>
      </c>
      <c r="S49" s="12">
        <v>0</v>
      </c>
      <c r="T49" s="12">
        <v>0</v>
      </c>
      <c r="U49" s="12">
        <v>0</v>
      </c>
      <c r="V49" s="12">
        <v>0</v>
      </c>
      <c r="X49" s="12">
        <v>0</v>
      </c>
      <c r="Y49" s="12">
        <v>0</v>
      </c>
      <c r="Z49" s="12">
        <v>0</v>
      </c>
      <c r="AA49" s="12">
        <v>0</v>
      </c>
      <c r="AB49" s="12"/>
      <c r="AC49" s="12">
        <v>0</v>
      </c>
      <c r="AD49" s="12">
        <v>0</v>
      </c>
      <c r="AE49" s="12">
        <v>0</v>
      </c>
      <c r="AF49" s="12">
        <v>0</v>
      </c>
      <c r="AG49" s="12">
        <v>0</v>
      </c>
      <c r="AI49" s="12">
        <v>0</v>
      </c>
      <c r="AJ49" s="12">
        <v>0</v>
      </c>
      <c r="AK49" s="12">
        <v>21390</v>
      </c>
      <c r="AL49" s="12">
        <v>16030</v>
      </c>
      <c r="AM49" s="12"/>
      <c r="AN49" s="12">
        <v>27417</v>
      </c>
      <c r="AO49" s="12">
        <v>70</v>
      </c>
      <c r="AP49" s="12">
        <v>1406</v>
      </c>
      <c r="AQ49" s="12">
        <v>3811</v>
      </c>
      <c r="AR49" s="14"/>
      <c r="AS49" s="12">
        <v>3270</v>
      </c>
      <c r="AT49" s="12">
        <v>4734</v>
      </c>
      <c r="AU49" s="12">
        <v>3795</v>
      </c>
      <c r="AV49" s="12">
        <v>0</v>
      </c>
      <c r="AW49" s="14"/>
      <c r="AX49" s="12">
        <v>0</v>
      </c>
      <c r="AY49" s="12">
        <v>0</v>
      </c>
      <c r="AZ49" s="12">
        <v>0</v>
      </c>
      <c r="BA49" s="12">
        <v>85018</v>
      </c>
      <c r="BB49" s="14"/>
      <c r="BC49" s="12">
        <v>94435</v>
      </c>
      <c r="BD49" s="12">
        <v>96360</v>
      </c>
      <c r="BE49" s="12">
        <v>97407</v>
      </c>
      <c r="BF49" s="12">
        <v>88266</v>
      </c>
      <c r="BG49" s="12"/>
      <c r="BH49" s="12">
        <v>101163</v>
      </c>
      <c r="BI49" s="12">
        <v>78600</v>
      </c>
      <c r="BJ49" s="12">
        <v>80576</v>
      </c>
      <c r="BK49" s="12">
        <v>89941</v>
      </c>
      <c r="BL49" s="12"/>
      <c r="BM49" s="12">
        <v>0</v>
      </c>
      <c r="BN49" s="12">
        <v>0</v>
      </c>
      <c r="BO49" s="12">
        <v>0</v>
      </c>
      <c r="BP49" s="14">
        <f>+BO49-'ESF GA Cons Acum.'!C47</f>
        <v>0</v>
      </c>
      <c r="BQ49" s="14">
        <f>+BK49-'ESF GA Cons Acum.'!E47</f>
        <v>0</v>
      </c>
    </row>
    <row r="50" spans="1:69" ht="16.5" customHeight="1">
      <c r="B50" s="11" t="s">
        <v>46</v>
      </c>
      <c r="C50" s="12">
        <v>129949</v>
      </c>
      <c r="D50" s="12"/>
      <c r="E50" s="12">
        <v>174259</v>
      </c>
      <c r="F50" s="12">
        <v>83180</v>
      </c>
      <c r="G50" s="12">
        <v>213513</v>
      </c>
      <c r="H50" s="12">
        <v>158889</v>
      </c>
      <c r="J50" s="12">
        <f>146472-1</f>
        <v>146471</v>
      </c>
      <c r="K50" s="12">
        <f>177557+6073</f>
        <v>183630</v>
      </c>
      <c r="L50" s="12">
        <v>182460</v>
      </c>
      <c r="M50" s="16">
        <f>455016+1+17209</f>
        <v>472226</v>
      </c>
      <c r="N50" s="16">
        <v>471619</v>
      </c>
      <c r="P50" s="13">
        <v>254615</v>
      </c>
      <c r="Q50" s="13">
        <v>494025</v>
      </c>
      <c r="R50" s="13">
        <v>247564</v>
      </c>
      <c r="S50" s="13">
        <v>450691</v>
      </c>
      <c r="T50" s="13">
        <v>599752</v>
      </c>
      <c r="U50" s="13">
        <v>748558</v>
      </c>
      <c r="V50" s="13">
        <v>480889</v>
      </c>
      <c r="X50" s="13">
        <v>627659</v>
      </c>
      <c r="Y50" s="13">
        <v>599439</v>
      </c>
      <c r="Z50" s="13">
        <v>552475</v>
      </c>
      <c r="AA50" s="13">
        <v>667596</v>
      </c>
      <c r="AB50" s="13"/>
      <c r="AC50" s="13">
        <v>598154</v>
      </c>
      <c r="AD50" s="13">
        <v>614751</v>
      </c>
      <c r="AE50" s="13">
        <v>682352</v>
      </c>
      <c r="AF50" s="13">
        <v>586007</v>
      </c>
      <c r="AG50" s="13">
        <v>484219</v>
      </c>
      <c r="AI50" s="13">
        <v>525293</v>
      </c>
      <c r="AJ50" s="13">
        <v>552717</v>
      </c>
      <c r="AK50" s="13">
        <f>585495-21390</f>
        <v>564105</v>
      </c>
      <c r="AL50" s="13">
        <v>460758</v>
      </c>
      <c r="AM50" s="13"/>
      <c r="AN50" s="13">
        <v>397000</v>
      </c>
      <c r="AO50" s="13">
        <v>415898</v>
      </c>
      <c r="AP50" s="13">
        <v>406818</v>
      </c>
      <c r="AQ50" s="13">
        <v>407731</v>
      </c>
      <c r="AR50" s="14"/>
      <c r="AS50" s="13">
        <v>406817</v>
      </c>
      <c r="AT50" s="13">
        <v>433876</v>
      </c>
      <c r="AU50" s="13">
        <v>450001</v>
      </c>
      <c r="AV50" s="13">
        <v>487959</v>
      </c>
      <c r="AW50" s="14"/>
      <c r="AX50" s="13">
        <v>454639</v>
      </c>
      <c r="AY50" s="13">
        <v>510076</v>
      </c>
      <c r="AZ50" s="13">
        <v>535476</v>
      </c>
      <c r="BA50" s="13">
        <v>594852</v>
      </c>
      <c r="BB50" s="14"/>
      <c r="BC50" s="13">
        <v>519246</v>
      </c>
      <c r="BD50" s="13">
        <v>532374</v>
      </c>
      <c r="BE50" s="13">
        <v>522057</v>
      </c>
      <c r="BF50" s="13">
        <v>587961</v>
      </c>
      <c r="BG50" s="13"/>
      <c r="BH50" s="13">
        <v>503166</v>
      </c>
      <c r="BI50" s="13">
        <v>575652</v>
      </c>
      <c r="BJ50" s="13">
        <v>448622</v>
      </c>
      <c r="BK50" s="13">
        <v>585500</v>
      </c>
      <c r="BL50" s="13"/>
      <c r="BM50" s="13">
        <v>487699</v>
      </c>
      <c r="BN50" s="13">
        <v>509092</v>
      </c>
      <c r="BO50" s="13">
        <v>444377</v>
      </c>
      <c r="BP50" s="14">
        <f>+BO50-'ESF GA Cons Acum.'!C48</f>
        <v>0</v>
      </c>
      <c r="BQ50" s="14">
        <f>+BK50-'ESF GA Cons Acum.'!E48</f>
        <v>0</v>
      </c>
    </row>
    <row r="51" spans="1:69" ht="16.5" customHeight="1">
      <c r="B51" s="11" t="s">
        <v>31</v>
      </c>
      <c r="C51" s="12">
        <v>2491</v>
      </c>
      <c r="D51" s="12"/>
      <c r="E51" s="12">
        <v>7639</v>
      </c>
      <c r="F51" s="12">
        <v>19717</v>
      </c>
      <c r="G51" s="12">
        <v>0</v>
      </c>
      <c r="H51" s="12">
        <v>0</v>
      </c>
      <c r="J51" s="12">
        <v>0</v>
      </c>
      <c r="K51" s="12">
        <v>0</v>
      </c>
      <c r="L51" s="12">
        <v>0</v>
      </c>
      <c r="M51" s="16">
        <v>0</v>
      </c>
      <c r="N51" s="16">
        <v>0</v>
      </c>
      <c r="P51" s="13">
        <v>6841</v>
      </c>
      <c r="Q51" s="13">
        <v>6841</v>
      </c>
      <c r="R51" s="13">
        <v>111</v>
      </c>
      <c r="S51" s="13">
        <v>111</v>
      </c>
      <c r="T51" s="13">
        <v>0</v>
      </c>
      <c r="U51" s="13">
        <v>0</v>
      </c>
      <c r="V51" s="13">
        <v>102555</v>
      </c>
      <c r="X51" s="13">
        <v>77486</v>
      </c>
      <c r="Y51" s="13">
        <v>109876</v>
      </c>
      <c r="Z51" s="13">
        <v>87797</v>
      </c>
      <c r="AA51" s="13">
        <v>3622</v>
      </c>
      <c r="AB51" s="13"/>
      <c r="AC51" s="13">
        <v>17087</v>
      </c>
      <c r="AD51" s="13">
        <v>0</v>
      </c>
      <c r="AE51" s="13">
        <v>1411</v>
      </c>
      <c r="AF51" s="13">
        <v>525</v>
      </c>
      <c r="AG51" s="13">
        <v>525</v>
      </c>
      <c r="AI51" s="13">
        <v>3182</v>
      </c>
      <c r="AJ51" s="13">
        <v>16913</v>
      </c>
      <c r="AK51" s="13">
        <v>2599</v>
      </c>
      <c r="AL51" s="13">
        <v>16353</v>
      </c>
      <c r="AM51" s="13"/>
      <c r="AN51" s="13">
        <v>68383</v>
      </c>
      <c r="AO51" s="13">
        <v>76462</v>
      </c>
      <c r="AP51" s="13">
        <v>34949</v>
      </c>
      <c r="AQ51" s="13">
        <v>65085</v>
      </c>
      <c r="AR51" s="14"/>
      <c r="AS51" s="13">
        <v>1682</v>
      </c>
      <c r="AT51" s="13">
        <v>2105</v>
      </c>
      <c r="AU51" s="13">
        <v>4964</v>
      </c>
      <c r="AV51" s="13">
        <v>2087</v>
      </c>
      <c r="AW51" s="14"/>
      <c r="AX51" s="13">
        <v>12692</v>
      </c>
      <c r="AY51" s="13">
        <v>6929</v>
      </c>
      <c r="AZ51" s="13">
        <v>275</v>
      </c>
      <c r="BA51" s="13">
        <v>22014</v>
      </c>
      <c r="BB51" s="14"/>
      <c r="BC51" s="13">
        <v>36435</v>
      </c>
      <c r="BD51" s="13">
        <v>90195</v>
      </c>
      <c r="BE51" s="13">
        <v>110696</v>
      </c>
      <c r="BF51" s="13">
        <v>226271</v>
      </c>
      <c r="BG51" s="13"/>
      <c r="BH51" s="13">
        <v>160658</v>
      </c>
      <c r="BI51" s="13">
        <v>235323</v>
      </c>
      <c r="BJ51" s="13">
        <v>69495</v>
      </c>
      <c r="BK51" s="13">
        <v>37575</v>
      </c>
      <c r="BL51" s="13"/>
      <c r="BM51" s="13">
        <v>50562</v>
      </c>
      <c r="BN51" s="13">
        <v>88018</v>
      </c>
      <c r="BO51" s="13">
        <v>182470</v>
      </c>
      <c r="BP51" s="14">
        <f>+BO51-'ESF GA Cons Acum.'!C49</f>
        <v>0</v>
      </c>
      <c r="BQ51" s="14">
        <f>+BK51-'ESF GA Cons Acum.'!E49</f>
        <v>0</v>
      </c>
    </row>
    <row r="52" spans="1:69">
      <c r="A52" s="32"/>
      <c r="B52" s="11" t="s">
        <v>47</v>
      </c>
      <c r="C52" s="12">
        <v>8935</v>
      </c>
      <c r="D52" s="12"/>
      <c r="E52" s="12">
        <v>0</v>
      </c>
      <c r="F52" s="12">
        <v>0</v>
      </c>
      <c r="G52" s="12">
        <v>0</v>
      </c>
      <c r="H52" s="12">
        <v>856</v>
      </c>
      <c r="J52" s="12">
        <v>0</v>
      </c>
      <c r="K52" s="12">
        <v>29704</v>
      </c>
      <c r="L52" s="12">
        <v>0</v>
      </c>
      <c r="M52" s="16">
        <v>856</v>
      </c>
      <c r="N52" s="16">
        <v>856</v>
      </c>
      <c r="P52" s="13">
        <v>856</v>
      </c>
      <c r="Q52" s="13">
        <v>856</v>
      </c>
      <c r="R52" s="13">
        <v>856</v>
      </c>
      <c r="S52" s="13">
        <v>856</v>
      </c>
      <c r="T52" s="13">
        <v>824</v>
      </c>
      <c r="U52" s="13">
        <v>824</v>
      </c>
      <c r="V52" s="13">
        <v>191699</v>
      </c>
      <c r="X52" s="13">
        <v>187469</v>
      </c>
      <c r="Y52" s="13">
        <v>824</v>
      </c>
      <c r="Z52" s="13">
        <v>824</v>
      </c>
      <c r="AA52" s="13">
        <v>824</v>
      </c>
      <c r="AB52" s="13"/>
      <c r="AC52" s="13">
        <v>824</v>
      </c>
      <c r="AD52" s="13">
        <v>824</v>
      </c>
      <c r="AE52" s="13">
        <v>824</v>
      </c>
      <c r="AF52" s="13">
        <v>0</v>
      </c>
      <c r="AG52" s="13">
        <v>0</v>
      </c>
      <c r="AI52" s="13">
        <v>0</v>
      </c>
      <c r="AJ52" s="13">
        <v>0</v>
      </c>
      <c r="AK52" s="13">
        <v>0</v>
      </c>
      <c r="AL52" s="13">
        <v>0</v>
      </c>
      <c r="AM52" s="13"/>
      <c r="AN52" s="13">
        <v>0</v>
      </c>
      <c r="AO52" s="13">
        <v>0</v>
      </c>
      <c r="AP52" s="13">
        <v>0</v>
      </c>
      <c r="AQ52" s="13">
        <v>455564</v>
      </c>
      <c r="AR52" s="14"/>
      <c r="AS52" s="13">
        <v>500662</v>
      </c>
      <c r="AT52" s="13">
        <v>443973</v>
      </c>
      <c r="AU52" s="13">
        <v>345051</v>
      </c>
      <c r="AV52" s="13">
        <v>7772</v>
      </c>
      <c r="AW52" s="14"/>
      <c r="AX52" s="13">
        <v>3695</v>
      </c>
      <c r="AY52" s="13">
        <v>3589</v>
      </c>
      <c r="AZ52" s="13">
        <v>2326699</v>
      </c>
      <c r="BA52" s="13">
        <v>3509787</v>
      </c>
      <c r="BB52" s="14"/>
      <c r="BC52" s="13">
        <v>3383599</v>
      </c>
      <c r="BD52" s="13">
        <v>819200</v>
      </c>
      <c r="BE52" s="13">
        <v>792078</v>
      </c>
      <c r="BF52" s="13">
        <v>628</v>
      </c>
      <c r="BG52" s="13"/>
      <c r="BH52" s="13">
        <v>742</v>
      </c>
      <c r="BI52" s="13">
        <v>783</v>
      </c>
      <c r="BJ52" s="13">
        <v>764</v>
      </c>
      <c r="BK52" s="13">
        <v>842</v>
      </c>
      <c r="BL52" s="13"/>
      <c r="BM52" s="13">
        <v>832</v>
      </c>
      <c r="BN52" s="13">
        <v>835</v>
      </c>
      <c r="BO52" s="13">
        <v>851</v>
      </c>
      <c r="BP52" s="14">
        <f>+BO52-'ESF GA Cons Acum.'!C50</f>
        <v>0</v>
      </c>
      <c r="BQ52" s="14">
        <f>+BK52-'ESF GA Cons Acum.'!E50</f>
        <v>0</v>
      </c>
    </row>
    <row r="53" spans="1:69" ht="3.75" customHeight="1">
      <c r="B53" s="11"/>
      <c r="C53" s="20"/>
      <c r="D53" s="20"/>
      <c r="E53" s="20"/>
      <c r="F53" s="20"/>
      <c r="G53" s="20"/>
      <c r="H53" s="20"/>
      <c r="J53" s="20"/>
      <c r="K53" s="20"/>
      <c r="L53" s="20"/>
      <c r="M53" s="20"/>
      <c r="N53" s="20"/>
      <c r="P53" s="20"/>
      <c r="Q53" s="20"/>
      <c r="R53" s="20"/>
      <c r="S53" s="20"/>
      <c r="T53" s="20"/>
      <c r="U53" s="20"/>
      <c r="V53" s="20"/>
      <c r="X53" s="20"/>
      <c r="Y53" s="20"/>
      <c r="Z53" s="20"/>
      <c r="AA53" s="20"/>
      <c r="AB53" s="20"/>
      <c r="AC53" s="20"/>
      <c r="AD53" s="20"/>
      <c r="AE53" s="20"/>
      <c r="AF53" s="20"/>
      <c r="AG53" s="20"/>
      <c r="AI53" s="20"/>
      <c r="AJ53" s="20"/>
      <c r="AK53" s="20"/>
      <c r="AL53" s="20"/>
      <c r="AM53" s="20"/>
      <c r="AN53" s="20"/>
      <c r="AO53" s="20"/>
      <c r="AP53" s="20"/>
      <c r="AQ53" s="20"/>
      <c r="AR53" s="14"/>
      <c r="AS53" s="20"/>
      <c r="AT53" s="20"/>
      <c r="AU53" s="20"/>
      <c r="AV53" s="20"/>
      <c r="AW53" s="14"/>
      <c r="AX53" s="20"/>
      <c r="AY53" s="20"/>
      <c r="AZ53" s="20"/>
      <c r="BA53" s="20"/>
      <c r="BB53" s="14"/>
      <c r="BC53" s="20"/>
      <c r="BD53" s="20"/>
      <c r="BE53" s="20"/>
      <c r="BF53" s="20"/>
      <c r="BG53" s="20"/>
      <c r="BH53" s="20"/>
      <c r="BI53" s="20"/>
      <c r="BJ53" s="20"/>
      <c r="BK53" s="20"/>
      <c r="BL53" s="20"/>
      <c r="BM53" s="20"/>
      <c r="BN53" s="20"/>
      <c r="BO53" s="20"/>
      <c r="BP53" s="14"/>
      <c r="BQ53" s="14"/>
    </row>
    <row r="54" spans="1:69" ht="16.5" customHeight="1">
      <c r="B54" s="17" t="s">
        <v>48</v>
      </c>
      <c r="C54" s="18">
        <f>+SUM(C40:C52)</f>
        <v>2752154</v>
      </c>
      <c r="D54" s="18"/>
      <c r="E54" s="18">
        <f>+SUM(E40:E52)</f>
        <v>3650657</v>
      </c>
      <c r="F54" s="18">
        <f>+SUM(F40:F52)</f>
        <v>5544881</v>
      </c>
      <c r="G54" s="18">
        <f>+SUM(G40:G52)</f>
        <v>4221435</v>
      </c>
      <c r="H54" s="18">
        <f>+SUM(H40:H52)</f>
        <v>4053956</v>
      </c>
      <c r="J54" s="18">
        <f>+SUM(J40:J52)</f>
        <v>4861269</v>
      </c>
      <c r="K54" s="18">
        <f>+SUM(K40:K52)</f>
        <v>4764447</v>
      </c>
      <c r="L54" s="18">
        <f>+SUM(L40:L52)</f>
        <v>6122162</v>
      </c>
      <c r="M54" s="18">
        <f>+SUM(M40:M52)</f>
        <v>6989265</v>
      </c>
      <c r="N54" s="18">
        <f>+SUM(N40:N52)</f>
        <v>6710834</v>
      </c>
      <c r="P54" s="18">
        <f t="shared" ref="P54:V54" si="14">+SUM(P40:P52)</f>
        <v>7359893</v>
      </c>
      <c r="Q54" s="18">
        <f t="shared" si="14"/>
        <v>7369166</v>
      </c>
      <c r="R54" s="18">
        <f t="shared" si="14"/>
        <v>6542714</v>
      </c>
      <c r="S54" s="18">
        <f t="shared" si="14"/>
        <v>6545816</v>
      </c>
      <c r="T54" s="18">
        <f t="shared" si="14"/>
        <v>6623481</v>
      </c>
      <c r="U54" s="18">
        <f t="shared" si="14"/>
        <v>6615547</v>
      </c>
      <c r="V54" s="18">
        <f t="shared" si="14"/>
        <v>7211119</v>
      </c>
      <c r="X54" s="18">
        <f>+SUM(X40:X52)</f>
        <v>9831420</v>
      </c>
      <c r="Y54" s="18">
        <f>+SUM(Y40:Y52)</f>
        <v>8519592</v>
      </c>
      <c r="Z54" s="18">
        <f>+SUM(Z40:Z52)</f>
        <v>8567621</v>
      </c>
      <c r="AA54" s="18">
        <f>+SUM(AA40:AA52)</f>
        <v>7107746</v>
      </c>
      <c r="AB54" s="18"/>
      <c r="AC54" s="18">
        <f>+SUM(AC40:AC52)</f>
        <v>7567713</v>
      </c>
      <c r="AD54" s="18">
        <f>+SUM(AD40:AD52)</f>
        <v>7535825</v>
      </c>
      <c r="AE54" s="18">
        <f>+SUM(AE40:AE52)</f>
        <v>7648405</v>
      </c>
      <c r="AF54" s="18">
        <f>+SUM(AF40:AF52)</f>
        <v>7029847</v>
      </c>
      <c r="AG54" s="19">
        <f>+SUM(AG40:AG52)</f>
        <v>7002816</v>
      </c>
      <c r="AI54" s="18">
        <f>+SUM(AI40:AI52)</f>
        <v>8091316</v>
      </c>
      <c r="AJ54" s="18">
        <f>+SUM(AJ40:AJ52)</f>
        <v>8357615</v>
      </c>
      <c r="AK54" s="18">
        <f>+SUM(AK40:AK52)</f>
        <v>7836498</v>
      </c>
      <c r="AL54" s="18">
        <f>+SUM(AL40:AL52)</f>
        <v>6760718</v>
      </c>
      <c r="AM54" s="18"/>
      <c r="AN54" s="18">
        <f>+SUM(AN40:AN52)</f>
        <v>8426262</v>
      </c>
      <c r="AO54" s="18">
        <f>+SUM(AO40:AO52)</f>
        <v>8355283</v>
      </c>
      <c r="AP54" s="18">
        <f>+SUM(AP40:AP52)</f>
        <v>7283963</v>
      </c>
      <c r="AQ54" s="18">
        <f>+SUM(AQ40:AQ52)</f>
        <v>6624149</v>
      </c>
      <c r="AR54" s="14"/>
      <c r="AS54" s="18">
        <f>+SUM(AS40:AS52)</f>
        <v>7423381</v>
      </c>
      <c r="AT54" s="18">
        <f>+SUM(AT40:AT52)</f>
        <v>7963089</v>
      </c>
      <c r="AU54" s="18">
        <f>+SUM(AU40:AU52)</f>
        <v>8127203</v>
      </c>
      <c r="AV54" s="18">
        <f>+SUM(AV40:AV52)</f>
        <v>7764963</v>
      </c>
      <c r="AW54" s="14"/>
      <c r="AX54" s="18">
        <f>+SUM(AX40:AX52)</f>
        <v>7970136</v>
      </c>
      <c r="AY54" s="18">
        <f>+SUM(AY40:AY52)</f>
        <v>7840603</v>
      </c>
      <c r="AZ54" s="18">
        <f>+SUM(AZ40:AZ52)</f>
        <v>9904391</v>
      </c>
      <c r="BA54" s="18">
        <f>+SUM(BA40:BA52)</f>
        <v>10321532</v>
      </c>
      <c r="BB54" s="14"/>
      <c r="BC54" s="18">
        <f>+SUM(BC40:BC52)</f>
        <v>10713766</v>
      </c>
      <c r="BD54" s="18">
        <f>+SUM(BD40:BD52)</f>
        <v>7956845</v>
      </c>
      <c r="BE54" s="18">
        <f>+SUM(BE40:BE52)</f>
        <v>9152000</v>
      </c>
      <c r="BF54" s="18">
        <f>+SUM(BF40:BF52)</f>
        <v>8321710</v>
      </c>
      <c r="BG54" s="18"/>
      <c r="BH54" s="18">
        <f>+SUM(BH40:BH52)</f>
        <v>8659609</v>
      </c>
      <c r="BI54" s="18">
        <f>+SUM(BI40:BI52)</f>
        <v>9175058</v>
      </c>
      <c r="BJ54" s="18">
        <f>+SUM(BJ40:BJ52)</f>
        <v>8560165</v>
      </c>
      <c r="BK54" s="18">
        <f>+SUM(BK40:BK52)</f>
        <v>8266843</v>
      </c>
      <c r="BL54" s="18"/>
      <c r="BM54" s="18">
        <f>+SUM(BM40:BM52)</f>
        <v>9244138</v>
      </c>
      <c r="BN54" s="18">
        <f>+SUM(BN40:BN52)</f>
        <v>9232426</v>
      </c>
      <c r="BO54" s="18">
        <f>+SUM(BO40:BO52)</f>
        <v>9038452</v>
      </c>
      <c r="BP54" s="14">
        <f>+BO54-'ESF GA Cons Acum.'!C51</f>
        <v>0</v>
      </c>
      <c r="BQ54" s="14">
        <f>+BK54-'ESF GA Cons Acum.'!E51</f>
        <v>0</v>
      </c>
    </row>
    <row r="55" spans="1:69" ht="6" customHeight="1">
      <c r="E55" s="2"/>
      <c r="F55" s="2"/>
      <c r="G55" s="2"/>
      <c r="H55" s="2"/>
      <c r="J55" s="2"/>
      <c r="AR55" s="14"/>
      <c r="AW55" s="14"/>
      <c r="BB55" s="14"/>
      <c r="BP55" s="14"/>
      <c r="BQ55" s="14"/>
    </row>
    <row r="56" spans="1:69" ht="16.5" customHeight="1">
      <c r="B56" s="21" t="s">
        <v>36</v>
      </c>
      <c r="C56" s="12">
        <f>1241276-12435</f>
        <v>1228841</v>
      </c>
      <c r="D56" s="12"/>
      <c r="E56" s="12">
        <v>2496972</v>
      </c>
      <c r="F56" s="12">
        <v>1018043</v>
      </c>
      <c r="G56" s="12">
        <v>1849511</v>
      </c>
      <c r="H56" s="12">
        <v>3077275</v>
      </c>
      <c r="J56" s="12">
        <v>3006056</v>
      </c>
      <c r="K56" s="12">
        <v>3639057</v>
      </c>
      <c r="L56" s="12">
        <v>4448887</v>
      </c>
      <c r="M56" s="16">
        <v>4948257</v>
      </c>
      <c r="N56" s="16">
        <v>4988915</v>
      </c>
      <c r="P56" s="13">
        <v>4936358</v>
      </c>
      <c r="Q56" s="13">
        <v>4936358</v>
      </c>
      <c r="R56" s="13">
        <v>5400254</v>
      </c>
      <c r="S56" s="13">
        <v>5400254</v>
      </c>
      <c r="T56" s="13">
        <v>5441004</v>
      </c>
      <c r="U56" s="13">
        <v>5441004</v>
      </c>
      <c r="V56" s="13">
        <v>6363559</v>
      </c>
      <c r="X56" s="13">
        <v>6321449</v>
      </c>
      <c r="Y56" s="13">
        <v>6818252</v>
      </c>
      <c r="Z56" s="13">
        <v>6157358</v>
      </c>
      <c r="AA56" s="13">
        <v>6499405</v>
      </c>
      <c r="AB56" s="13"/>
      <c r="AC56" s="13">
        <v>5184746</v>
      </c>
      <c r="AD56" s="13">
        <v>5433415</v>
      </c>
      <c r="AE56" s="13">
        <v>5024092</v>
      </c>
      <c r="AF56" s="13">
        <v>6364008</v>
      </c>
      <c r="AG56" s="13">
        <v>6364008</v>
      </c>
      <c r="AI56" s="13">
        <v>5703023</v>
      </c>
      <c r="AJ56" s="13">
        <v>6378664</v>
      </c>
      <c r="AK56" s="13">
        <v>6324286</v>
      </c>
      <c r="AL56" s="13">
        <v>5118140</v>
      </c>
      <c r="AM56" s="13"/>
      <c r="AN56" s="13">
        <v>6194339</v>
      </c>
      <c r="AO56" s="13">
        <v>5850656</v>
      </c>
      <c r="AP56" s="13">
        <v>6355092</v>
      </c>
      <c r="AQ56" s="13">
        <v>5386230</v>
      </c>
      <c r="AR56" s="14"/>
      <c r="AS56" s="13">
        <v>6009848</v>
      </c>
      <c r="AT56" s="13">
        <v>5243168</v>
      </c>
      <c r="AU56" s="13">
        <v>4558203</v>
      </c>
      <c r="AV56" s="13">
        <v>4038878</v>
      </c>
      <c r="AW56" s="14"/>
      <c r="AX56" s="13">
        <v>4101351</v>
      </c>
      <c r="AY56" s="13">
        <v>4241497</v>
      </c>
      <c r="AZ56" s="13">
        <v>4226548</v>
      </c>
      <c r="BA56" s="13">
        <v>6080834</v>
      </c>
      <c r="BB56" s="14"/>
      <c r="BC56" s="13">
        <v>6178496</v>
      </c>
      <c r="BD56" s="13">
        <v>5726197</v>
      </c>
      <c r="BE56" s="13">
        <v>5316034</v>
      </c>
      <c r="BF56" s="13">
        <v>4824620</v>
      </c>
      <c r="BG56" s="13"/>
      <c r="BH56" s="13">
        <v>2921980</v>
      </c>
      <c r="BI56" s="13">
        <v>3290092</v>
      </c>
      <c r="BJ56" s="13">
        <v>3488165</v>
      </c>
      <c r="BK56" s="13">
        <v>3356071</v>
      </c>
      <c r="BL56" s="13"/>
      <c r="BM56" s="13">
        <v>2673085</v>
      </c>
      <c r="BN56" s="13">
        <v>2476591</v>
      </c>
      <c r="BO56" s="13">
        <v>2773919</v>
      </c>
      <c r="BP56" s="14">
        <f>+BO56-'ESF GA Cons Acum.'!C53</f>
        <v>0</v>
      </c>
      <c r="BQ56" s="14">
        <f>+BK56-'ESF GA Cons Acum.'!E53</f>
        <v>0</v>
      </c>
    </row>
    <row r="57" spans="1:69" ht="16.5" customHeight="1">
      <c r="B57" s="21" t="s">
        <v>37</v>
      </c>
      <c r="C57" s="12">
        <v>0</v>
      </c>
      <c r="D57" s="12"/>
      <c r="E57" s="12">
        <v>0</v>
      </c>
      <c r="F57" s="12">
        <v>0</v>
      </c>
      <c r="G57" s="12">
        <v>0</v>
      </c>
      <c r="H57" s="12">
        <v>0</v>
      </c>
      <c r="J57" s="12">
        <v>0</v>
      </c>
      <c r="K57" s="12">
        <v>0</v>
      </c>
      <c r="L57" s="12">
        <v>0</v>
      </c>
      <c r="M57" s="16">
        <v>0</v>
      </c>
      <c r="N57" s="16">
        <v>0</v>
      </c>
      <c r="P57" s="13">
        <v>0</v>
      </c>
      <c r="Q57" s="13">
        <v>0</v>
      </c>
      <c r="R57" s="13">
        <v>0</v>
      </c>
      <c r="S57" s="13">
        <v>0</v>
      </c>
      <c r="T57" s="13">
        <v>0</v>
      </c>
      <c r="U57" s="13">
        <v>0</v>
      </c>
      <c r="V57" s="13">
        <v>0</v>
      </c>
      <c r="X57" s="13">
        <v>0</v>
      </c>
      <c r="Y57" s="13">
        <v>0</v>
      </c>
      <c r="Z57" s="13">
        <v>0</v>
      </c>
      <c r="AA57" s="13">
        <v>0</v>
      </c>
      <c r="AB57" s="13"/>
      <c r="AC57" s="13">
        <v>0</v>
      </c>
      <c r="AD57" s="13">
        <v>0</v>
      </c>
      <c r="AE57" s="13">
        <v>0</v>
      </c>
      <c r="AF57" s="13">
        <v>0</v>
      </c>
      <c r="AG57" s="13">
        <v>0</v>
      </c>
      <c r="AI57" s="13">
        <v>828387</v>
      </c>
      <c r="AJ57" s="13">
        <v>926941</v>
      </c>
      <c r="AK57" s="13">
        <v>1001425</v>
      </c>
      <c r="AL57" s="13">
        <v>898276</v>
      </c>
      <c r="AM57" s="13"/>
      <c r="AN57" s="13">
        <v>876976</v>
      </c>
      <c r="AO57" s="13">
        <v>787680</v>
      </c>
      <c r="AP57" s="13">
        <v>766759</v>
      </c>
      <c r="AQ57" s="13">
        <v>685001</v>
      </c>
      <c r="AR57" s="14"/>
      <c r="AS57" s="13">
        <v>628722</v>
      </c>
      <c r="AT57" s="13">
        <v>610798</v>
      </c>
      <c r="AU57" s="13">
        <v>613808</v>
      </c>
      <c r="AV57" s="13">
        <v>628449</v>
      </c>
      <c r="AW57" s="14"/>
      <c r="AX57" s="13">
        <v>598024</v>
      </c>
      <c r="AY57" s="13">
        <v>617251</v>
      </c>
      <c r="AZ57" s="13">
        <v>619670</v>
      </c>
      <c r="BA57" s="13">
        <v>615979</v>
      </c>
      <c r="BB57" s="14"/>
      <c r="BC57" s="13">
        <v>588848</v>
      </c>
      <c r="BD57" s="13">
        <v>532067</v>
      </c>
      <c r="BE57" s="13">
        <v>538366</v>
      </c>
      <c r="BF57" s="13">
        <v>470032</v>
      </c>
      <c r="BG57" s="13"/>
      <c r="BH57" s="13">
        <v>148022</v>
      </c>
      <c r="BI57" s="13">
        <v>149512</v>
      </c>
      <c r="BJ57" s="13">
        <v>151128</v>
      </c>
      <c r="BK57" s="13">
        <v>131641</v>
      </c>
      <c r="BL57" s="13"/>
      <c r="BM57" s="13">
        <v>89823</v>
      </c>
      <c r="BN57" s="13">
        <v>94219</v>
      </c>
      <c r="BO57" s="13">
        <v>92243</v>
      </c>
      <c r="BP57" s="14">
        <f>+BO57-'ESF GA Cons Acum.'!C54</f>
        <v>0</v>
      </c>
      <c r="BQ57" s="14">
        <f>+BK57-'ESF GA Cons Acum.'!E54</f>
        <v>0</v>
      </c>
    </row>
    <row r="58" spans="1:69" ht="14.25" customHeight="1">
      <c r="A58" s="32"/>
      <c r="B58" s="11" t="s">
        <v>38</v>
      </c>
      <c r="C58" s="12">
        <f>3064844+106565</f>
        <v>3171409</v>
      </c>
      <c r="D58" s="12"/>
      <c r="E58" s="12">
        <v>3043567</v>
      </c>
      <c r="F58" s="12">
        <v>2912822</v>
      </c>
      <c r="G58" s="12">
        <v>3927231</v>
      </c>
      <c r="H58" s="12">
        <f>4591700+67096</f>
        <v>4658796</v>
      </c>
      <c r="J58" s="12">
        <v>4647095</v>
      </c>
      <c r="K58" s="12">
        <v>4497762</v>
      </c>
      <c r="L58" s="12">
        <v>4623075</v>
      </c>
      <c r="M58" s="12">
        <f>4372169+46944</f>
        <v>4419113</v>
      </c>
      <c r="N58" s="16">
        <v>4590566</v>
      </c>
      <c r="P58" s="13">
        <v>4440335</v>
      </c>
      <c r="Q58" s="13">
        <v>4440335</v>
      </c>
      <c r="R58" s="13">
        <v>5002149</v>
      </c>
      <c r="S58" s="13">
        <v>5002149</v>
      </c>
      <c r="T58" s="13">
        <v>4845056</v>
      </c>
      <c r="U58" s="13">
        <v>4845056</v>
      </c>
      <c r="V58" s="13">
        <v>4644438</v>
      </c>
      <c r="X58" s="13">
        <v>4602924</v>
      </c>
      <c r="Y58" s="13">
        <v>5533341</v>
      </c>
      <c r="Z58" s="13">
        <v>5462254</v>
      </c>
      <c r="AA58" s="13">
        <v>6653888</v>
      </c>
      <c r="AB58" s="13"/>
      <c r="AC58" s="13">
        <v>6526872</v>
      </c>
      <c r="AD58" s="13">
        <v>6995045</v>
      </c>
      <c r="AE58" s="13">
        <v>7074488</v>
      </c>
      <c r="AF58" s="13">
        <v>6854570</v>
      </c>
      <c r="AG58" s="13">
        <v>6854570</v>
      </c>
      <c r="AI58" s="13">
        <v>6794222</v>
      </c>
      <c r="AJ58" s="13">
        <v>7595221</v>
      </c>
      <c r="AK58" s="13">
        <v>8129311</v>
      </c>
      <c r="AL58" s="13">
        <v>8838335</v>
      </c>
      <c r="AM58" s="13"/>
      <c r="AN58" s="13">
        <v>9384274</v>
      </c>
      <c r="AO58" s="13">
        <v>8958167</v>
      </c>
      <c r="AP58" s="13">
        <v>9011711</v>
      </c>
      <c r="AQ58" s="13">
        <v>8974024</v>
      </c>
      <c r="AR58" s="14"/>
      <c r="AS58" s="13">
        <v>9119216</v>
      </c>
      <c r="AT58" s="13">
        <v>8394999</v>
      </c>
      <c r="AU58" s="13">
        <v>9042901</v>
      </c>
      <c r="AV58" s="13">
        <v>8678684</v>
      </c>
      <c r="AW58" s="14"/>
      <c r="AX58" s="13">
        <v>8580049</v>
      </c>
      <c r="AY58" s="13">
        <v>7673209</v>
      </c>
      <c r="AZ58" s="13">
        <v>6783812</v>
      </c>
      <c r="BA58" s="13">
        <v>5784720</v>
      </c>
      <c r="BB58" s="14"/>
      <c r="BC58" s="13">
        <v>6030405</v>
      </c>
      <c r="BD58" s="13">
        <v>5990285</v>
      </c>
      <c r="BE58" s="13">
        <v>5649152</v>
      </c>
      <c r="BF58" s="13">
        <v>5635355</v>
      </c>
      <c r="BG58" s="13"/>
      <c r="BH58" s="13">
        <v>5601542</v>
      </c>
      <c r="BI58" s="13">
        <v>5114813</v>
      </c>
      <c r="BJ58" s="13">
        <v>4956352</v>
      </c>
      <c r="BK58" s="13">
        <v>5144207</v>
      </c>
      <c r="BL58" s="13"/>
      <c r="BM58" s="13">
        <v>5125677</v>
      </c>
      <c r="BN58" s="13">
        <v>4749051</v>
      </c>
      <c r="BO58" s="13">
        <v>4574307</v>
      </c>
      <c r="BP58" s="14">
        <f>+BO58-'ESF GA Cons Acum.'!C55</f>
        <v>0</v>
      </c>
      <c r="BQ58" s="14">
        <f>+BK58-'ESF GA Cons Acum.'!E55</f>
        <v>0</v>
      </c>
    </row>
    <row r="59" spans="1:69" ht="15.75" customHeight="1">
      <c r="B59" s="21" t="s">
        <v>49</v>
      </c>
      <c r="C59" s="23">
        <v>1082682</v>
      </c>
      <c r="D59" s="12"/>
      <c r="E59" s="23">
        <v>937720</v>
      </c>
      <c r="F59" s="23">
        <v>1026571</v>
      </c>
      <c r="G59" s="23">
        <v>1051518</v>
      </c>
      <c r="H59" s="23">
        <v>1233745</v>
      </c>
      <c r="J59" s="23">
        <v>1496677</v>
      </c>
      <c r="K59" s="23">
        <v>1160716</v>
      </c>
      <c r="L59" s="23">
        <v>1422773</v>
      </c>
      <c r="M59" s="23">
        <v>1616905</v>
      </c>
      <c r="N59" s="16">
        <v>1831534</v>
      </c>
      <c r="P59" s="13">
        <v>1608607</v>
      </c>
      <c r="Q59" s="13">
        <v>1809850</v>
      </c>
      <c r="R59" s="13">
        <v>1475083</v>
      </c>
      <c r="S59" s="13">
        <v>1666161</v>
      </c>
      <c r="T59" s="13">
        <v>1617068</v>
      </c>
      <c r="U59" s="13">
        <v>1621409</v>
      </c>
      <c r="V59" s="13">
        <v>1580512</v>
      </c>
      <c r="X59" s="13">
        <v>1625768</v>
      </c>
      <c r="Y59" s="13">
        <v>1601257</v>
      </c>
      <c r="Z59" s="13">
        <v>1556485</v>
      </c>
      <c r="AA59" s="13">
        <v>1562383</v>
      </c>
      <c r="AB59" s="13"/>
      <c r="AC59" s="13">
        <v>1422382</v>
      </c>
      <c r="AD59" s="13">
        <v>1434427</v>
      </c>
      <c r="AE59" s="13">
        <v>1376875</v>
      </c>
      <c r="AF59" s="13">
        <v>1385211</v>
      </c>
      <c r="AG59" s="13">
        <v>1345771</v>
      </c>
      <c r="AI59" s="13">
        <v>1399099</v>
      </c>
      <c r="AJ59" s="13">
        <v>1349547</v>
      </c>
      <c r="AK59" s="13">
        <v>1255850</v>
      </c>
      <c r="AL59" s="13">
        <v>1211760</v>
      </c>
      <c r="AM59" s="13"/>
      <c r="AN59" s="13">
        <v>1309687</v>
      </c>
      <c r="AO59" s="13">
        <v>1331404</v>
      </c>
      <c r="AP59" s="13">
        <v>1314492</v>
      </c>
      <c r="AQ59" s="13">
        <v>1112850</v>
      </c>
      <c r="AR59" s="14"/>
      <c r="AS59" s="13">
        <v>1084472</v>
      </c>
      <c r="AT59" s="13">
        <v>1170696</v>
      </c>
      <c r="AU59" s="13">
        <v>1304900</v>
      </c>
      <c r="AV59" s="13">
        <v>1283447</v>
      </c>
      <c r="AW59" s="14"/>
      <c r="AX59" s="13">
        <v>1363584</v>
      </c>
      <c r="AY59" s="13">
        <v>1022352</v>
      </c>
      <c r="AZ59" s="13">
        <v>1071979</v>
      </c>
      <c r="BA59" s="13">
        <v>1479769</v>
      </c>
      <c r="BB59" s="14"/>
      <c r="BC59" s="13">
        <v>1524042</v>
      </c>
      <c r="BD59" s="13">
        <v>1609562</v>
      </c>
      <c r="BE59" s="13">
        <v>1648673</v>
      </c>
      <c r="BF59" s="13">
        <v>1657284</v>
      </c>
      <c r="BG59" s="13"/>
      <c r="BH59" s="13">
        <v>2101420</v>
      </c>
      <c r="BI59" s="13">
        <v>2104390</v>
      </c>
      <c r="BJ59" s="13">
        <v>2106034</v>
      </c>
      <c r="BK59" s="13">
        <v>1804928</v>
      </c>
      <c r="BL59" s="13"/>
      <c r="BM59" s="13">
        <v>3186327</v>
      </c>
      <c r="BN59" s="13">
        <v>3160506</v>
      </c>
      <c r="BO59" s="13">
        <v>2969840</v>
      </c>
      <c r="BP59" s="14">
        <f>+BO59-'ESF GA Cons Acum.'!C56</f>
        <v>0</v>
      </c>
      <c r="BQ59" s="14">
        <f>+BK59-'ESF GA Cons Acum.'!E56</f>
        <v>0</v>
      </c>
    </row>
    <row r="60" spans="1:69" ht="15.75" customHeight="1">
      <c r="B60" s="21" t="s">
        <v>40</v>
      </c>
      <c r="C60" s="20">
        <v>297745</v>
      </c>
      <c r="D60" s="20"/>
      <c r="E60" s="20">
        <v>245262</v>
      </c>
      <c r="F60" s="20">
        <v>265142</v>
      </c>
      <c r="G60" s="20">
        <v>264924</v>
      </c>
      <c r="H60" s="20">
        <v>335882</v>
      </c>
      <c r="J60" s="20">
        <v>294713</v>
      </c>
      <c r="K60" s="20">
        <v>289913</v>
      </c>
      <c r="L60" s="20">
        <v>318008</v>
      </c>
      <c r="M60" s="16">
        <v>202401</v>
      </c>
      <c r="N60" s="16">
        <v>211721</v>
      </c>
      <c r="P60" s="13">
        <v>211505</v>
      </c>
      <c r="Q60" s="13">
        <v>177731</v>
      </c>
      <c r="R60" s="13">
        <v>247320</v>
      </c>
      <c r="S60" s="13">
        <v>167362</v>
      </c>
      <c r="T60" s="13">
        <v>253396</v>
      </c>
      <c r="U60" s="13">
        <v>170984</v>
      </c>
      <c r="V60" s="13">
        <v>298565</v>
      </c>
      <c r="X60" s="13">
        <v>205791</v>
      </c>
      <c r="Y60" s="13">
        <v>315731</v>
      </c>
      <c r="Z60" s="13">
        <v>314449</v>
      </c>
      <c r="AA60" s="13">
        <v>304360</v>
      </c>
      <c r="AB60" s="13"/>
      <c r="AC60" s="13">
        <v>287901</v>
      </c>
      <c r="AD60" s="13">
        <v>298871</v>
      </c>
      <c r="AE60" s="13">
        <v>306413</v>
      </c>
      <c r="AF60" s="13">
        <v>306615</v>
      </c>
      <c r="AG60" s="13">
        <v>306615</v>
      </c>
      <c r="AI60" s="13">
        <v>225597</v>
      </c>
      <c r="AJ60" s="13">
        <v>224758</v>
      </c>
      <c r="AK60" s="13">
        <v>249137</v>
      </c>
      <c r="AL60" s="13">
        <v>238392</v>
      </c>
      <c r="AM60" s="13"/>
      <c r="AN60" s="13">
        <v>347920</v>
      </c>
      <c r="AO60" s="13">
        <v>279237</v>
      </c>
      <c r="AP60" s="13">
        <v>292857</v>
      </c>
      <c r="AQ60" s="13">
        <v>236086</v>
      </c>
      <c r="AR60" s="14"/>
      <c r="AS60" s="13">
        <v>265849</v>
      </c>
      <c r="AT60" s="13">
        <v>251233</v>
      </c>
      <c r="AU60" s="13">
        <v>266999</v>
      </c>
      <c r="AV60" s="13">
        <v>232008</v>
      </c>
      <c r="AW60" s="14"/>
      <c r="AX60" s="13">
        <v>203191</v>
      </c>
      <c r="AY60" s="13">
        <v>185529</v>
      </c>
      <c r="AZ60" s="13">
        <v>201759</v>
      </c>
      <c r="BA60" s="13">
        <v>207384</v>
      </c>
      <c r="BB60" s="14"/>
      <c r="BC60" s="13">
        <v>239779</v>
      </c>
      <c r="BD60" s="13">
        <v>223986</v>
      </c>
      <c r="BE60" s="13">
        <v>222550</v>
      </c>
      <c r="BF60" s="13">
        <v>201745</v>
      </c>
      <c r="BG60" s="13"/>
      <c r="BH60" s="13">
        <v>65514</v>
      </c>
      <c r="BI60" s="13">
        <v>67040</v>
      </c>
      <c r="BJ60" s="13">
        <v>78623</v>
      </c>
      <c r="BK60" s="13">
        <v>66002</v>
      </c>
      <c r="BL60" s="13"/>
      <c r="BM60" s="13">
        <v>63819</v>
      </c>
      <c r="BN60" s="13">
        <v>61809</v>
      </c>
      <c r="BO60" s="13">
        <v>166611</v>
      </c>
      <c r="BP60" s="14">
        <f>+BO60-'ESF GA Cons Acum.'!C57</f>
        <v>0</v>
      </c>
      <c r="BQ60" s="14">
        <f>+BK60-'ESF GA Cons Acum.'!E57</f>
        <v>0</v>
      </c>
    </row>
    <row r="61" spans="1:69" ht="15.75" customHeight="1">
      <c r="B61" s="21" t="s">
        <v>50</v>
      </c>
      <c r="C61" s="12">
        <f>113196-91334</f>
        <v>21862</v>
      </c>
      <c r="D61" s="12"/>
      <c r="E61" s="12">
        <v>385691</v>
      </c>
      <c r="F61" s="12">
        <v>432007</v>
      </c>
      <c r="G61" s="12">
        <v>105175</v>
      </c>
      <c r="H61" s="12">
        <f>71721-53142</f>
        <v>18579</v>
      </c>
      <c r="J61" s="12">
        <v>319689</v>
      </c>
      <c r="K61" s="12">
        <v>299127</v>
      </c>
      <c r="L61" s="12">
        <v>105536</v>
      </c>
      <c r="M61" s="12">
        <f>99828-34437</f>
        <v>65391</v>
      </c>
      <c r="N61" s="12">
        <f>56780+72079</f>
        <v>128859</v>
      </c>
      <c r="P61" s="13">
        <v>63860</v>
      </c>
      <c r="Q61" s="13">
        <v>97634</v>
      </c>
      <c r="R61" s="13">
        <v>211483</v>
      </c>
      <c r="S61" s="13">
        <f>291441-1</f>
        <v>291440</v>
      </c>
      <c r="T61" s="13">
        <v>240584</v>
      </c>
      <c r="U61" s="13">
        <v>322997</v>
      </c>
      <c r="V61" s="13">
        <f>240793+79157</f>
        <v>319950</v>
      </c>
      <c r="X61" s="13">
        <v>423064</v>
      </c>
      <c r="Y61" s="13">
        <v>328638</v>
      </c>
      <c r="Z61" s="13">
        <v>329979</v>
      </c>
      <c r="AA61" s="13">
        <v>237324</v>
      </c>
      <c r="AB61" s="13"/>
      <c r="AC61" s="13">
        <v>233297</v>
      </c>
      <c r="AD61" s="13">
        <v>262274</v>
      </c>
      <c r="AE61" s="13">
        <v>271243</v>
      </c>
      <c r="AF61" s="13">
        <f>278510-1</f>
        <v>278509</v>
      </c>
      <c r="AG61" s="13">
        <f>278510-1</f>
        <v>278509</v>
      </c>
      <c r="AI61" s="13">
        <v>280961</v>
      </c>
      <c r="AJ61" s="13">
        <v>287788</v>
      </c>
      <c r="AK61" s="13">
        <v>298376</v>
      </c>
      <c r="AL61" s="13">
        <v>268515</v>
      </c>
      <c r="AM61" s="13"/>
      <c r="AN61" s="13">
        <v>311126</v>
      </c>
      <c r="AO61" s="13">
        <v>300811</v>
      </c>
      <c r="AP61" s="13">
        <v>307749</v>
      </c>
      <c r="AQ61" s="13">
        <v>408744</v>
      </c>
      <c r="AR61" s="14"/>
      <c r="AS61" s="13">
        <v>386885</v>
      </c>
      <c r="AT61" s="13">
        <v>311448</v>
      </c>
      <c r="AU61" s="13">
        <v>323988</v>
      </c>
      <c r="AV61" s="13">
        <v>135088</v>
      </c>
      <c r="AW61" s="14"/>
      <c r="AX61" s="13">
        <v>137888</v>
      </c>
      <c r="AY61" s="13">
        <v>123276</v>
      </c>
      <c r="AZ61" s="13">
        <v>131086</v>
      </c>
      <c r="BA61" s="13">
        <v>127424</v>
      </c>
      <c r="BB61" s="14"/>
      <c r="BC61" s="13">
        <v>131549</v>
      </c>
      <c r="BD61" s="13">
        <v>124779</v>
      </c>
      <c r="BE61" s="13">
        <v>129018</v>
      </c>
      <c r="BF61" s="13">
        <v>29117</v>
      </c>
      <c r="BG61" s="13"/>
      <c r="BH61" s="13">
        <v>29352</v>
      </c>
      <c r="BI61" s="13">
        <v>30599</v>
      </c>
      <c r="BJ61" s="13">
        <v>34257</v>
      </c>
      <c r="BK61" s="13">
        <v>36098</v>
      </c>
      <c r="BL61" s="13"/>
      <c r="BM61" s="13">
        <v>109623</v>
      </c>
      <c r="BN61" s="13">
        <v>107312</v>
      </c>
      <c r="BO61" s="13">
        <v>159562</v>
      </c>
      <c r="BP61" s="14">
        <f>+BO61-'ESF GA Cons Acum.'!C58</f>
        <v>0</v>
      </c>
      <c r="BQ61" s="14">
        <f>+BK61-'ESF GA Cons Acum.'!E58</f>
        <v>0</v>
      </c>
    </row>
    <row r="62" spans="1:69" ht="16.5" customHeight="1">
      <c r="B62" s="21" t="s">
        <v>42</v>
      </c>
      <c r="C62" s="12">
        <f>4547+370806</f>
        <v>375353</v>
      </c>
      <c r="D62" s="12"/>
      <c r="E62" s="12">
        <f>5363+391930</f>
        <v>397293</v>
      </c>
      <c r="F62" s="12">
        <f>6801+395002</f>
        <v>401803</v>
      </c>
      <c r="G62" s="12">
        <f>7133+395329</f>
        <v>402462</v>
      </c>
      <c r="H62" s="12">
        <f>7080+374123</f>
        <v>381203</v>
      </c>
      <c r="J62" s="12">
        <f>7001+390595</f>
        <v>397596</v>
      </c>
      <c r="K62" s="12">
        <f>9106+394054</f>
        <v>403160</v>
      </c>
      <c r="L62" s="12">
        <f>9951+388436</f>
        <v>398387</v>
      </c>
      <c r="M62" s="16">
        <f>2932+366140</f>
        <v>369072</v>
      </c>
      <c r="N62" s="16">
        <v>369072</v>
      </c>
      <c r="P62" s="13">
        <f>3227+360684</f>
        <v>363911</v>
      </c>
      <c r="Q62" s="13">
        <f>3227+360684</f>
        <v>363911</v>
      </c>
      <c r="R62" s="13">
        <f>5754+364701</f>
        <v>370455</v>
      </c>
      <c r="S62" s="13">
        <f>5754+364701</f>
        <v>370455</v>
      </c>
      <c r="T62" s="13">
        <f>17875+364824</f>
        <v>382699</v>
      </c>
      <c r="U62" s="13">
        <f>17875+364824</f>
        <v>382699</v>
      </c>
      <c r="V62" s="13">
        <v>440950</v>
      </c>
      <c r="X62" s="13">
        <v>446411</v>
      </c>
      <c r="Y62" s="13">
        <v>453585</v>
      </c>
      <c r="Z62" s="13">
        <v>467709</v>
      </c>
      <c r="AA62" s="13">
        <v>494531</v>
      </c>
      <c r="AB62" s="13"/>
      <c r="AC62" s="13">
        <v>482020</v>
      </c>
      <c r="AD62" s="13">
        <v>484771</v>
      </c>
      <c r="AE62" s="13">
        <v>469005</v>
      </c>
      <c r="AF62" s="13">
        <v>435568</v>
      </c>
      <c r="AG62" s="13">
        <v>435568</v>
      </c>
      <c r="AI62" s="13">
        <v>437095</v>
      </c>
      <c r="AJ62" s="13">
        <v>438445</v>
      </c>
      <c r="AK62" s="13">
        <v>436939</v>
      </c>
      <c r="AL62" s="13">
        <v>441254</v>
      </c>
      <c r="AM62" s="13"/>
      <c r="AN62" s="13">
        <v>446918</v>
      </c>
      <c r="AO62" s="13">
        <v>442592</v>
      </c>
      <c r="AP62" s="13">
        <v>461038</v>
      </c>
      <c r="AQ62" s="13">
        <v>445591</v>
      </c>
      <c r="AR62" s="14"/>
      <c r="AS62" s="13">
        <v>442565</v>
      </c>
      <c r="AT62" s="13">
        <v>444603</v>
      </c>
      <c r="AU62" s="13">
        <v>443352</v>
      </c>
      <c r="AV62" s="13">
        <v>362307</v>
      </c>
      <c r="AW62" s="14"/>
      <c r="AX62" s="13">
        <v>353793</v>
      </c>
      <c r="AY62" s="13">
        <v>353956</v>
      </c>
      <c r="AZ62" s="13">
        <v>360393</v>
      </c>
      <c r="BA62" s="13">
        <v>292873</v>
      </c>
      <c r="BB62" s="14"/>
      <c r="BC62" s="13">
        <v>287160</v>
      </c>
      <c r="BD62" s="13">
        <v>283875</v>
      </c>
      <c r="BE62" s="13">
        <v>279338</v>
      </c>
      <c r="BF62" s="13">
        <v>357121</v>
      </c>
      <c r="BG62" s="13"/>
      <c r="BH62" s="13">
        <v>348179</v>
      </c>
      <c r="BI62" s="13">
        <v>346699</v>
      </c>
      <c r="BJ62" s="13">
        <v>347364</v>
      </c>
      <c r="BK62" s="13">
        <v>333645</v>
      </c>
      <c r="BL62" s="13"/>
      <c r="BM62" s="13">
        <v>332497</v>
      </c>
      <c r="BN62" s="13">
        <v>329946</v>
      </c>
      <c r="BO62" s="13">
        <v>329057</v>
      </c>
      <c r="BP62" s="14">
        <f>+BO62-'ESF GA Cons Acum.'!C59</f>
        <v>0</v>
      </c>
      <c r="BQ62" s="14">
        <f>+BK62-'ESF GA Cons Acum.'!E59</f>
        <v>0</v>
      </c>
    </row>
    <row r="63" spans="1:69" ht="16.5" hidden="1" customHeight="1">
      <c r="B63" s="21" t="s">
        <v>43</v>
      </c>
      <c r="C63" s="12">
        <v>0</v>
      </c>
      <c r="D63" s="12"/>
      <c r="E63" s="12">
        <v>0</v>
      </c>
      <c r="F63" s="12">
        <v>0</v>
      </c>
      <c r="G63" s="12">
        <v>0</v>
      </c>
      <c r="H63" s="12">
        <v>0</v>
      </c>
      <c r="J63" s="12">
        <v>0</v>
      </c>
      <c r="K63" s="12">
        <v>0</v>
      </c>
      <c r="L63" s="12">
        <v>0</v>
      </c>
      <c r="M63" s="12">
        <v>0</v>
      </c>
      <c r="N63" s="13">
        <v>0</v>
      </c>
      <c r="P63" s="12">
        <v>0</v>
      </c>
      <c r="Q63" s="12">
        <v>0</v>
      </c>
      <c r="R63" s="12">
        <v>0</v>
      </c>
      <c r="S63" s="12">
        <v>0</v>
      </c>
      <c r="T63" s="12">
        <v>0</v>
      </c>
      <c r="U63" s="12">
        <v>0</v>
      </c>
      <c r="V63" s="12">
        <v>0</v>
      </c>
      <c r="X63" s="12">
        <v>0</v>
      </c>
      <c r="Y63" s="12">
        <v>0</v>
      </c>
      <c r="Z63" s="12">
        <v>0</v>
      </c>
      <c r="AA63" s="12">
        <v>0</v>
      </c>
      <c r="AB63" s="12"/>
      <c r="AC63" s="12">
        <v>0</v>
      </c>
      <c r="AD63" s="12">
        <v>0</v>
      </c>
      <c r="AE63" s="12">
        <v>0</v>
      </c>
      <c r="AF63" s="12">
        <v>0</v>
      </c>
      <c r="AG63" s="12">
        <v>0</v>
      </c>
      <c r="AI63" s="12">
        <v>0</v>
      </c>
      <c r="AJ63" s="12">
        <v>0</v>
      </c>
      <c r="AK63" s="12">
        <v>0</v>
      </c>
      <c r="AL63" s="12">
        <v>0</v>
      </c>
      <c r="AM63" s="12"/>
      <c r="AN63" s="12">
        <v>0</v>
      </c>
      <c r="AO63" s="12">
        <v>0</v>
      </c>
      <c r="AP63" s="12">
        <v>0</v>
      </c>
      <c r="AQ63" s="12">
        <v>0</v>
      </c>
      <c r="AR63" s="14"/>
      <c r="AS63" s="12">
        <v>0</v>
      </c>
      <c r="AT63" s="12">
        <v>0</v>
      </c>
      <c r="AU63" s="12">
        <v>0</v>
      </c>
      <c r="AV63" s="12">
        <v>0</v>
      </c>
      <c r="AW63" s="14"/>
      <c r="AX63" s="12">
        <v>0</v>
      </c>
      <c r="AY63" s="12">
        <v>0</v>
      </c>
      <c r="AZ63" s="12">
        <v>0</v>
      </c>
      <c r="BA63" s="12">
        <v>0</v>
      </c>
      <c r="BB63" s="14"/>
      <c r="BC63" s="12">
        <v>0</v>
      </c>
      <c r="BD63" s="12">
        <v>0</v>
      </c>
      <c r="BE63" s="12">
        <v>0</v>
      </c>
      <c r="BF63" s="12">
        <v>0</v>
      </c>
      <c r="BG63" s="12"/>
      <c r="BH63" s="12">
        <v>0</v>
      </c>
      <c r="BI63" s="12">
        <v>0</v>
      </c>
      <c r="BJ63" s="12">
        <v>0</v>
      </c>
      <c r="BK63" s="12">
        <v>0</v>
      </c>
      <c r="BL63" s="12"/>
      <c r="BM63" s="12">
        <v>0</v>
      </c>
      <c r="BN63" s="12">
        <v>0</v>
      </c>
      <c r="BO63" s="12">
        <v>0</v>
      </c>
      <c r="BP63" s="14">
        <f>+BO63-'ESF GA Cons Acum.'!C60</f>
        <v>0</v>
      </c>
      <c r="BQ63" s="14">
        <f>+BK63-'ESF GA Cons Acum.'!E60</f>
        <v>0</v>
      </c>
    </row>
    <row r="64" spans="1:69" ht="16.5" customHeight="1">
      <c r="B64" s="21" t="s">
        <v>31</v>
      </c>
      <c r="C64" s="12">
        <v>45985</v>
      </c>
      <c r="D64" s="12"/>
      <c r="E64" s="12">
        <v>51911</v>
      </c>
      <c r="F64" s="12">
        <v>36441</v>
      </c>
      <c r="G64" s="12">
        <v>62821</v>
      </c>
      <c r="H64" s="12">
        <v>126704</v>
      </c>
      <c r="J64" s="12">
        <v>121582</v>
      </c>
      <c r="K64" s="12">
        <v>133199</v>
      </c>
      <c r="L64" s="12">
        <v>175742</v>
      </c>
      <c r="M64" s="16">
        <v>172155</v>
      </c>
      <c r="N64" s="16">
        <v>172155</v>
      </c>
      <c r="P64" s="13">
        <v>135598</v>
      </c>
      <c r="Q64" s="13">
        <v>135598</v>
      </c>
      <c r="R64" s="13">
        <v>113868</v>
      </c>
      <c r="S64" s="13">
        <v>113868</v>
      </c>
      <c r="T64" s="13">
        <v>90431</v>
      </c>
      <c r="U64" s="13">
        <v>90431</v>
      </c>
      <c r="V64" s="13">
        <v>8901</v>
      </c>
      <c r="X64" s="13">
        <v>8925</v>
      </c>
      <c r="Y64" s="13">
        <v>6665</v>
      </c>
      <c r="Z64" s="13">
        <v>1912</v>
      </c>
      <c r="AA64" s="13">
        <v>0</v>
      </c>
      <c r="AB64" s="13"/>
      <c r="AC64" s="13">
        <v>0</v>
      </c>
      <c r="AD64" s="13">
        <v>316</v>
      </c>
      <c r="AE64" s="13">
        <v>805</v>
      </c>
      <c r="AF64" s="13">
        <v>22750</v>
      </c>
      <c r="AG64" s="13">
        <v>22750</v>
      </c>
      <c r="AI64" s="13">
        <v>32200</v>
      </c>
      <c r="AJ64" s="13">
        <v>51327</v>
      </c>
      <c r="AK64" s="13">
        <v>61469</v>
      </c>
      <c r="AL64" s="13">
        <v>48719</v>
      </c>
      <c r="AM64" s="13"/>
      <c r="AN64" s="13">
        <v>113346</v>
      </c>
      <c r="AO64" s="13">
        <v>109209</v>
      </c>
      <c r="AP64" s="13">
        <v>105934</v>
      </c>
      <c r="AQ64" s="13">
        <v>95940</v>
      </c>
      <c r="AR64" s="14"/>
      <c r="AS64" s="13">
        <v>78410</v>
      </c>
      <c r="AT64" s="13">
        <v>68916</v>
      </c>
      <c r="AU64" s="13">
        <v>61229</v>
      </c>
      <c r="AV64" s="13">
        <v>48373</v>
      </c>
      <c r="AW64" s="14"/>
      <c r="AX64" s="13">
        <v>29416</v>
      </c>
      <c r="AY64" s="13">
        <v>13334</v>
      </c>
      <c r="AZ64" s="13">
        <v>16229</v>
      </c>
      <c r="BA64" s="13">
        <v>649</v>
      </c>
      <c r="BB64" s="14"/>
      <c r="BC64" s="13">
        <v>9549</v>
      </c>
      <c r="BD64" s="13">
        <v>57784</v>
      </c>
      <c r="BE64" s="13">
        <v>45415</v>
      </c>
      <c r="BF64" s="13">
        <v>115943</v>
      </c>
      <c r="BG64" s="13"/>
      <c r="BH64" s="13">
        <v>137319</v>
      </c>
      <c r="BI64" s="13">
        <v>115365</v>
      </c>
      <c r="BJ64" s="13">
        <v>129471</v>
      </c>
      <c r="BK64" s="13">
        <v>85861</v>
      </c>
      <c r="BL64" s="13"/>
      <c r="BM64" s="13">
        <v>69702</v>
      </c>
      <c r="BN64" s="13">
        <v>78897</v>
      </c>
      <c r="BO64" s="13">
        <v>74300</v>
      </c>
      <c r="BP64" s="14">
        <f>+BO64-'ESF GA Cons Acum.'!C61</f>
        <v>0</v>
      </c>
      <c r="BQ64" s="14">
        <f>+BK64-'ESF GA Cons Acum.'!E61</f>
        <v>0</v>
      </c>
    </row>
    <row r="65" spans="1:69" ht="16.5" hidden="1" customHeight="1">
      <c r="B65" s="21" t="s">
        <v>41</v>
      </c>
      <c r="C65" s="12">
        <v>0</v>
      </c>
      <c r="D65" s="12"/>
      <c r="E65" s="12">
        <v>0</v>
      </c>
      <c r="F65" s="12">
        <v>0</v>
      </c>
      <c r="G65" s="12">
        <v>0</v>
      </c>
      <c r="H65" s="12">
        <f>446-446</f>
        <v>0</v>
      </c>
      <c r="J65" s="12">
        <v>41762</v>
      </c>
      <c r="K65" s="12">
        <v>30</v>
      </c>
      <c r="L65" s="12">
        <v>0</v>
      </c>
      <c r="M65" s="16">
        <v>0</v>
      </c>
      <c r="N65" s="16">
        <v>0</v>
      </c>
      <c r="P65" s="13">
        <v>0</v>
      </c>
      <c r="Q65" s="13">
        <v>0</v>
      </c>
      <c r="R65" s="13">
        <v>0</v>
      </c>
      <c r="S65" s="13">
        <v>0</v>
      </c>
      <c r="T65" s="13">
        <v>0</v>
      </c>
      <c r="U65" s="13">
        <v>0</v>
      </c>
      <c r="V65" s="13">
        <v>0</v>
      </c>
      <c r="X65" s="13">
        <v>0</v>
      </c>
      <c r="Y65" s="13">
        <v>0</v>
      </c>
      <c r="Z65" s="13">
        <v>0</v>
      </c>
      <c r="AA65" s="13">
        <v>0</v>
      </c>
      <c r="AB65" s="13"/>
      <c r="AC65" s="13">
        <v>0</v>
      </c>
      <c r="AD65" s="13">
        <v>0</v>
      </c>
      <c r="AE65" s="13">
        <v>0</v>
      </c>
      <c r="AF65" s="13">
        <v>0</v>
      </c>
      <c r="AG65" s="13">
        <v>0</v>
      </c>
      <c r="AI65" s="13">
        <v>0</v>
      </c>
      <c r="AJ65" s="13">
        <v>0</v>
      </c>
      <c r="AK65" s="13">
        <v>0</v>
      </c>
      <c r="AL65" s="13">
        <v>0</v>
      </c>
      <c r="AM65" s="13"/>
      <c r="AN65" s="13">
        <v>0</v>
      </c>
      <c r="AO65" s="13">
        <v>0</v>
      </c>
      <c r="AP65" s="13">
        <v>0</v>
      </c>
      <c r="AQ65" s="13">
        <v>0</v>
      </c>
      <c r="AR65" s="14"/>
      <c r="AS65" s="13">
        <v>0</v>
      </c>
      <c r="AT65" s="13">
        <v>0</v>
      </c>
      <c r="AU65" s="13">
        <v>0</v>
      </c>
      <c r="AV65" s="13">
        <v>0</v>
      </c>
      <c r="AW65" s="14"/>
      <c r="AX65" s="13">
        <v>0</v>
      </c>
      <c r="AY65" s="13">
        <v>0</v>
      </c>
      <c r="AZ65" s="13">
        <v>0</v>
      </c>
      <c r="BA65" s="13">
        <v>0</v>
      </c>
      <c r="BB65" s="14"/>
      <c r="BC65" s="13">
        <v>0</v>
      </c>
      <c r="BD65" s="13">
        <v>0</v>
      </c>
      <c r="BE65" s="13">
        <v>0</v>
      </c>
      <c r="BF65" s="13">
        <v>0</v>
      </c>
      <c r="BG65" s="13"/>
      <c r="BH65" s="13">
        <v>0</v>
      </c>
      <c r="BI65" s="13">
        <v>0</v>
      </c>
      <c r="BJ65" s="13">
        <v>0</v>
      </c>
      <c r="BK65" s="13">
        <v>0</v>
      </c>
      <c r="BL65" s="13"/>
      <c r="BM65" s="13">
        <v>0</v>
      </c>
      <c r="BN65" s="13">
        <v>0</v>
      </c>
      <c r="BO65" s="13">
        <v>0</v>
      </c>
      <c r="BP65" s="14">
        <f>+BO65-'ESF GA Cons Acum.'!C62</f>
        <v>0</v>
      </c>
      <c r="BQ65" s="14">
        <f>+BK65-'ESF GA Cons Acum.'!E62</f>
        <v>0</v>
      </c>
    </row>
    <row r="66" spans="1:69" ht="16.5" customHeight="1">
      <c r="A66" s="32"/>
      <c r="B66" s="21" t="s">
        <v>51</v>
      </c>
      <c r="C66" s="12">
        <v>25476</v>
      </c>
      <c r="D66" s="12"/>
      <c r="E66" s="23">
        <f>20905+1</f>
        <v>20906</v>
      </c>
      <c r="F66" s="23">
        <v>79489</v>
      </c>
      <c r="G66" s="23">
        <v>-26163</v>
      </c>
      <c r="H66" s="23">
        <f>25537+446</f>
        <v>25983</v>
      </c>
      <c r="J66" s="12">
        <f>40497</f>
        <v>40497</v>
      </c>
      <c r="K66" s="12">
        <f>9105</f>
        <v>9105</v>
      </c>
      <c r="L66" s="23">
        <f>188355-1</f>
        <v>188354</v>
      </c>
      <c r="M66" s="16">
        <v>102655</v>
      </c>
      <c r="N66" s="16">
        <v>102655</v>
      </c>
      <c r="P66" s="13">
        <v>124495</v>
      </c>
      <c r="Q66" s="13">
        <v>124495</v>
      </c>
      <c r="R66" s="13">
        <v>201607</v>
      </c>
      <c r="S66" s="13">
        <v>201607</v>
      </c>
      <c r="T66" s="13">
        <v>256588</v>
      </c>
      <c r="U66" s="13">
        <v>256588</v>
      </c>
      <c r="V66" s="13">
        <v>246984</v>
      </c>
      <c r="X66" s="13">
        <v>414741</v>
      </c>
      <c r="Y66" s="13">
        <v>441063</v>
      </c>
      <c r="Z66" s="13">
        <v>430327</v>
      </c>
      <c r="AA66" s="13">
        <v>401163</v>
      </c>
      <c r="AB66" s="13"/>
      <c r="AC66" s="13">
        <v>424741</v>
      </c>
      <c r="AD66" s="13">
        <v>436401</v>
      </c>
      <c r="AE66" s="13">
        <v>455659</v>
      </c>
      <c r="AF66" s="13">
        <v>464538</v>
      </c>
      <c r="AG66" s="13">
        <v>464538</v>
      </c>
      <c r="AI66" s="13">
        <v>474959</v>
      </c>
      <c r="AJ66" s="13">
        <v>495347</v>
      </c>
      <c r="AK66" s="13">
        <v>512877</v>
      </c>
      <c r="AL66" s="13">
        <v>510775</v>
      </c>
      <c r="AM66" s="13"/>
      <c r="AN66" s="13">
        <v>540104</v>
      </c>
      <c r="AO66" s="13">
        <v>540862</v>
      </c>
      <c r="AP66" s="13">
        <v>561363</v>
      </c>
      <c r="AQ66" s="13">
        <v>575101</v>
      </c>
      <c r="AR66" s="14"/>
      <c r="AS66" s="13">
        <v>593158</v>
      </c>
      <c r="AT66" s="13">
        <v>607375</v>
      </c>
      <c r="AU66" s="13">
        <v>619555</v>
      </c>
      <c r="AV66" s="13">
        <v>610589</v>
      </c>
      <c r="AW66" s="14"/>
      <c r="AX66" s="13">
        <v>626014</v>
      </c>
      <c r="AY66" s="13">
        <v>140284</v>
      </c>
      <c r="AZ66" s="13">
        <v>498</v>
      </c>
      <c r="BA66" s="13">
        <v>0</v>
      </c>
      <c r="BB66" s="14"/>
      <c r="BC66" s="13">
        <v>0</v>
      </c>
      <c r="BD66" s="13">
        <v>0</v>
      </c>
      <c r="BE66" s="13">
        <v>0</v>
      </c>
      <c r="BF66" s="13">
        <v>0</v>
      </c>
      <c r="BG66" s="13"/>
      <c r="BH66" s="13">
        <v>81461</v>
      </c>
      <c r="BI66" s="13">
        <v>78424</v>
      </c>
      <c r="BJ66" s="13">
        <v>75355</v>
      </c>
      <c r="BK66" s="13">
        <v>72284</v>
      </c>
      <c r="BL66" s="13"/>
      <c r="BM66" s="13">
        <v>69280</v>
      </c>
      <c r="BN66" s="13">
        <v>66243</v>
      </c>
      <c r="BO66" s="13">
        <v>53479</v>
      </c>
      <c r="BP66" s="14">
        <f>+BO66-'ESF GA Cons Acum.'!C63</f>
        <v>0</v>
      </c>
      <c r="BQ66" s="14">
        <f>+BK66-'ESF GA Cons Acum.'!E63</f>
        <v>0</v>
      </c>
    </row>
    <row r="67" spans="1:69" ht="12" customHeight="1">
      <c r="B67" s="21"/>
      <c r="C67" s="20"/>
      <c r="D67" s="20"/>
      <c r="E67" s="20"/>
      <c r="F67" s="20"/>
      <c r="G67" s="20"/>
      <c r="H67" s="20"/>
      <c r="J67" s="20"/>
      <c r="K67" s="20"/>
      <c r="L67" s="20"/>
      <c r="M67" s="20"/>
      <c r="N67" s="20"/>
      <c r="P67" s="20"/>
      <c r="Q67" s="20"/>
      <c r="R67" s="20"/>
      <c r="S67" s="20"/>
      <c r="T67" s="20"/>
      <c r="U67" s="20"/>
      <c r="V67" s="20"/>
      <c r="X67" s="20"/>
      <c r="Y67" s="20"/>
      <c r="Z67" s="20"/>
      <c r="AA67" s="20"/>
      <c r="AB67" s="20"/>
      <c r="AC67" s="20"/>
      <c r="AD67" s="20"/>
      <c r="AE67" s="20"/>
      <c r="AF67" s="20"/>
      <c r="AG67" s="20"/>
      <c r="AI67" s="20"/>
      <c r="AJ67" s="20"/>
      <c r="AK67" s="20"/>
      <c r="AL67" s="20"/>
      <c r="AM67" s="20"/>
      <c r="AN67" s="20"/>
      <c r="AO67" s="20"/>
      <c r="AP67" s="20"/>
      <c r="AQ67" s="20"/>
      <c r="AR67" s="14"/>
      <c r="AS67" s="20"/>
      <c r="AT67" s="20"/>
      <c r="AU67" s="20"/>
      <c r="AV67" s="20"/>
      <c r="AW67" s="14"/>
      <c r="AX67" s="20"/>
      <c r="AY67" s="20"/>
      <c r="AZ67" s="20"/>
      <c r="BA67" s="20"/>
      <c r="BB67" s="14"/>
      <c r="BC67" s="20"/>
      <c r="BD67" s="20"/>
      <c r="BE67" s="20"/>
      <c r="BF67" s="20"/>
      <c r="BG67" s="20"/>
      <c r="BH67" s="20"/>
      <c r="BI67" s="20"/>
      <c r="BJ67" s="20"/>
      <c r="BK67" s="20"/>
      <c r="BL67" s="20"/>
      <c r="BM67" s="20"/>
      <c r="BN67" s="20"/>
      <c r="BO67" s="20"/>
      <c r="BP67" s="14"/>
      <c r="BQ67" s="14"/>
    </row>
    <row r="68" spans="1:69" ht="13">
      <c r="B68" s="17" t="s">
        <v>52</v>
      </c>
      <c r="C68" s="18">
        <f>SUM(C56:C67)</f>
        <v>6249353</v>
      </c>
      <c r="D68" s="18"/>
      <c r="E68" s="18">
        <f>SUM(E56:E67)</f>
        <v>7579322</v>
      </c>
      <c r="F68" s="18">
        <f>SUM(F56:F67)</f>
        <v>6172318</v>
      </c>
      <c r="G68" s="18">
        <f>SUM(G56:G67)</f>
        <v>7637479</v>
      </c>
      <c r="H68" s="18">
        <f>SUM(H56:H67)</f>
        <v>9858167</v>
      </c>
      <c r="J68" s="18">
        <f>SUM(J56:J67)</f>
        <v>10365667</v>
      </c>
      <c r="K68" s="18">
        <f>SUM(K56:K67)</f>
        <v>10432069</v>
      </c>
      <c r="L68" s="18">
        <f>SUM(L56:L67)</f>
        <v>11680762</v>
      </c>
      <c r="M68" s="18">
        <f>SUM(M56:M67)</f>
        <v>11895949</v>
      </c>
      <c r="N68" s="18">
        <f>SUM(N56:N67)</f>
        <v>12395477</v>
      </c>
      <c r="P68" s="18">
        <f t="shared" ref="P68:V68" si="15">SUM(P56:P67)</f>
        <v>11884669</v>
      </c>
      <c r="Q68" s="18">
        <f t="shared" si="15"/>
        <v>12085912</v>
      </c>
      <c r="R68" s="18">
        <f t="shared" si="15"/>
        <v>13022219</v>
      </c>
      <c r="S68" s="18">
        <f t="shared" si="15"/>
        <v>13213296</v>
      </c>
      <c r="T68" s="18">
        <f t="shared" si="15"/>
        <v>13126826</v>
      </c>
      <c r="U68" s="18">
        <f t="shared" si="15"/>
        <v>13131168</v>
      </c>
      <c r="V68" s="18">
        <f t="shared" si="15"/>
        <v>13903859</v>
      </c>
      <c r="X68" s="18">
        <f>SUM(X56:X67)</f>
        <v>14049073</v>
      </c>
      <c r="Y68" s="18">
        <f t="shared" ref="Y68:AG68" si="16">SUM(Y56:Y67)</f>
        <v>15498532</v>
      </c>
      <c r="Z68" s="18">
        <f t="shared" si="16"/>
        <v>14720473</v>
      </c>
      <c r="AA68" s="18">
        <f t="shared" si="16"/>
        <v>16153054</v>
      </c>
      <c r="AB68" s="18"/>
      <c r="AC68" s="18">
        <f t="shared" si="16"/>
        <v>14561959</v>
      </c>
      <c r="AD68" s="18">
        <f t="shared" si="16"/>
        <v>15345520</v>
      </c>
      <c r="AE68" s="18">
        <f t="shared" si="16"/>
        <v>14978580</v>
      </c>
      <c r="AF68" s="18">
        <f t="shared" si="16"/>
        <v>16111769</v>
      </c>
      <c r="AG68" s="18">
        <f t="shared" si="16"/>
        <v>16072329</v>
      </c>
      <c r="AI68" s="18">
        <f t="shared" ref="AI68:AL68" si="17">SUM(AI56:AI67)</f>
        <v>16175543</v>
      </c>
      <c r="AJ68" s="18">
        <f t="shared" si="17"/>
        <v>17748038</v>
      </c>
      <c r="AK68" s="18">
        <f t="shared" si="17"/>
        <v>18269670</v>
      </c>
      <c r="AL68" s="18">
        <f t="shared" si="17"/>
        <v>17574166</v>
      </c>
      <c r="AM68" s="18"/>
      <c r="AN68" s="18">
        <f t="shared" ref="AN68:AQ68" si="18">SUM(AN56:AN67)</f>
        <v>19524690</v>
      </c>
      <c r="AO68" s="18">
        <f t="shared" si="18"/>
        <v>18600618</v>
      </c>
      <c r="AP68" s="18">
        <f t="shared" si="18"/>
        <v>19176995</v>
      </c>
      <c r="AQ68" s="18">
        <f t="shared" si="18"/>
        <v>17919567</v>
      </c>
      <c r="AR68" s="14"/>
      <c r="AS68" s="18">
        <f t="shared" ref="AS68:AV68" si="19">SUM(AS56:AS67)</f>
        <v>18609125</v>
      </c>
      <c r="AT68" s="18">
        <f t="shared" si="19"/>
        <v>17103236</v>
      </c>
      <c r="AU68" s="18">
        <f t="shared" si="19"/>
        <v>17234935</v>
      </c>
      <c r="AV68" s="18">
        <f t="shared" si="19"/>
        <v>16017823</v>
      </c>
      <c r="AW68" s="14"/>
      <c r="AX68" s="18">
        <f t="shared" ref="AX68:AZ68" si="20">SUM(AX56:AX67)</f>
        <v>15993310</v>
      </c>
      <c r="AY68" s="18">
        <f t="shared" si="20"/>
        <v>14370688</v>
      </c>
      <c r="AZ68" s="18">
        <f t="shared" si="20"/>
        <v>13411974</v>
      </c>
      <c r="BA68" s="18">
        <f t="shared" ref="BA68:BC68" si="21">SUM(BA56:BA67)</f>
        <v>14589632</v>
      </c>
      <c r="BB68" s="14"/>
      <c r="BC68" s="18">
        <f t="shared" si="21"/>
        <v>14989828</v>
      </c>
      <c r="BD68" s="18">
        <f t="shared" ref="BD68:BE68" si="22">SUM(BD56:BD67)</f>
        <v>14548535</v>
      </c>
      <c r="BE68" s="18">
        <f t="shared" si="22"/>
        <v>13828546</v>
      </c>
      <c r="BF68" s="18">
        <f t="shared" ref="BF68:BH68" si="23">SUM(BF56:BF67)</f>
        <v>13291217</v>
      </c>
      <c r="BG68" s="18"/>
      <c r="BH68" s="18">
        <f t="shared" si="23"/>
        <v>11434789</v>
      </c>
      <c r="BI68" s="18">
        <f t="shared" ref="BI68:BK68" si="24">SUM(BI56:BI67)</f>
        <v>11296934</v>
      </c>
      <c r="BJ68" s="18">
        <f t="shared" si="24"/>
        <v>11366749</v>
      </c>
      <c r="BK68" s="18">
        <f t="shared" si="24"/>
        <v>11030737</v>
      </c>
      <c r="BL68" s="18"/>
      <c r="BM68" s="18">
        <f t="shared" ref="BM68:BN68" si="25">SUM(BM56:BM67)</f>
        <v>11719833</v>
      </c>
      <c r="BN68" s="18">
        <f t="shared" si="25"/>
        <v>11124574</v>
      </c>
      <c r="BO68" s="18">
        <f t="shared" ref="BO68" si="26">SUM(BO56:BO67)</f>
        <v>11193318</v>
      </c>
      <c r="BP68" s="14">
        <f>+BO68-'ESF GA Cons Acum.'!C65</f>
        <v>0</v>
      </c>
      <c r="BQ68" s="14">
        <f>+BK68-'ESF GA Cons Acum.'!E65</f>
        <v>0</v>
      </c>
    </row>
    <row r="69" spans="1:69" ht="3.75" customHeight="1">
      <c r="B69" s="21"/>
      <c r="C69" s="20"/>
      <c r="D69" s="20"/>
      <c r="E69" s="20"/>
      <c r="F69" s="20"/>
      <c r="G69" s="20"/>
      <c r="H69" s="20"/>
      <c r="J69" s="20"/>
      <c r="K69" s="20"/>
      <c r="L69" s="20"/>
      <c r="M69" s="20"/>
      <c r="N69" s="20"/>
      <c r="P69" s="20"/>
      <c r="Q69" s="20"/>
      <c r="R69" s="20"/>
      <c r="S69" s="20"/>
      <c r="T69" s="20"/>
      <c r="U69" s="20"/>
      <c r="V69" s="20"/>
      <c r="X69" s="20"/>
      <c r="Y69" s="20"/>
      <c r="Z69" s="20"/>
      <c r="AA69" s="20"/>
      <c r="AB69" s="20"/>
      <c r="AC69" s="20"/>
      <c r="AD69" s="20"/>
      <c r="AE69" s="20"/>
      <c r="AF69" s="20"/>
      <c r="AG69" s="20"/>
      <c r="AI69" s="20"/>
      <c r="AJ69" s="20"/>
      <c r="AK69" s="20"/>
      <c r="AL69" s="20"/>
      <c r="AM69" s="20"/>
      <c r="AN69" s="20"/>
      <c r="AO69" s="20"/>
      <c r="AP69" s="20"/>
      <c r="AQ69" s="20"/>
      <c r="AR69" s="14"/>
      <c r="AS69" s="20"/>
      <c r="AT69" s="20"/>
      <c r="AU69" s="20"/>
      <c r="AV69" s="20"/>
      <c r="AW69" s="14"/>
      <c r="AX69" s="20"/>
      <c r="AY69" s="20"/>
      <c r="AZ69" s="20"/>
      <c r="BA69" s="20"/>
      <c r="BB69" s="14"/>
      <c r="BC69" s="20"/>
      <c r="BD69" s="20"/>
      <c r="BE69" s="20"/>
      <c r="BF69" s="20"/>
      <c r="BG69" s="20"/>
      <c r="BH69" s="20"/>
      <c r="BI69" s="20"/>
      <c r="BJ69" s="20"/>
      <c r="BK69" s="20"/>
      <c r="BL69" s="20"/>
      <c r="BM69" s="20"/>
      <c r="BN69" s="20"/>
      <c r="BO69" s="20"/>
      <c r="BP69" s="14"/>
      <c r="BQ69" s="14"/>
    </row>
    <row r="70" spans="1:69" ht="16.5" customHeight="1">
      <c r="B70" s="24" t="s">
        <v>53</v>
      </c>
      <c r="C70" s="25">
        <f>+C54+C68</f>
        <v>9001507</v>
      </c>
      <c r="D70" s="25"/>
      <c r="E70" s="25">
        <f>+E54+E68</f>
        <v>11229979</v>
      </c>
      <c r="F70" s="25">
        <f>+F54+F68</f>
        <v>11717199</v>
      </c>
      <c r="G70" s="25">
        <f>+G54+G68</f>
        <v>11858914</v>
      </c>
      <c r="H70" s="25">
        <f>+H54+H68</f>
        <v>13912123</v>
      </c>
      <c r="I70" s="26"/>
      <c r="J70" s="25">
        <f>+J54+J68</f>
        <v>15226936</v>
      </c>
      <c r="K70" s="25">
        <f>+K54+K68</f>
        <v>15196516</v>
      </c>
      <c r="L70" s="25">
        <f>+L54+L68</f>
        <v>17802924</v>
      </c>
      <c r="M70" s="25">
        <f>+M54+M68</f>
        <v>18885214</v>
      </c>
      <c r="N70" s="25">
        <f>+N54+N68</f>
        <v>19106311</v>
      </c>
      <c r="P70" s="18">
        <f t="shared" ref="P70:V70" si="27">+P54+P68</f>
        <v>19244562</v>
      </c>
      <c r="Q70" s="18">
        <f t="shared" si="27"/>
        <v>19455078</v>
      </c>
      <c r="R70" s="18">
        <f t="shared" si="27"/>
        <v>19564933</v>
      </c>
      <c r="S70" s="18">
        <f t="shared" si="27"/>
        <v>19759112</v>
      </c>
      <c r="T70" s="18">
        <f t="shared" si="27"/>
        <v>19750307</v>
      </c>
      <c r="U70" s="18">
        <f t="shared" si="27"/>
        <v>19746715</v>
      </c>
      <c r="V70" s="18">
        <f t="shared" si="27"/>
        <v>21114978</v>
      </c>
      <c r="X70" s="18">
        <f>+X54+X68</f>
        <v>23880493</v>
      </c>
      <c r="Y70" s="18">
        <f t="shared" ref="Y70:AG70" si="28">+Y54+Y68</f>
        <v>24018124</v>
      </c>
      <c r="Z70" s="18">
        <f t="shared" si="28"/>
        <v>23288094</v>
      </c>
      <c r="AA70" s="18">
        <f t="shared" si="28"/>
        <v>23260800</v>
      </c>
      <c r="AB70" s="18"/>
      <c r="AC70" s="18">
        <f t="shared" si="28"/>
        <v>22129672</v>
      </c>
      <c r="AD70" s="18">
        <f t="shared" si="28"/>
        <v>22881345</v>
      </c>
      <c r="AE70" s="18">
        <f t="shared" si="28"/>
        <v>22626985</v>
      </c>
      <c r="AF70" s="18">
        <f t="shared" si="28"/>
        <v>23141616</v>
      </c>
      <c r="AG70" s="19">
        <f t="shared" si="28"/>
        <v>23075145</v>
      </c>
      <c r="AI70" s="18">
        <f t="shared" ref="AI70:AL70" si="29">+AI54+AI68</f>
        <v>24266859</v>
      </c>
      <c r="AJ70" s="18">
        <f t="shared" si="29"/>
        <v>26105653</v>
      </c>
      <c r="AK70" s="18">
        <f t="shared" si="29"/>
        <v>26106168</v>
      </c>
      <c r="AL70" s="18">
        <f t="shared" si="29"/>
        <v>24334884</v>
      </c>
      <c r="AM70" s="18"/>
      <c r="AN70" s="18">
        <f t="shared" ref="AN70:AQ70" si="30">+AN54+AN68</f>
        <v>27950952</v>
      </c>
      <c r="AO70" s="18">
        <f t="shared" si="30"/>
        <v>26955901</v>
      </c>
      <c r="AP70" s="18">
        <f t="shared" si="30"/>
        <v>26460958</v>
      </c>
      <c r="AQ70" s="18">
        <f t="shared" si="30"/>
        <v>24543716</v>
      </c>
      <c r="AR70" s="14"/>
      <c r="AS70" s="18">
        <f t="shared" ref="AS70:AV70" si="31">+AS54+AS68</f>
        <v>26032506</v>
      </c>
      <c r="AT70" s="18">
        <f t="shared" si="31"/>
        <v>25066325</v>
      </c>
      <c r="AU70" s="18">
        <f t="shared" si="31"/>
        <v>25362138</v>
      </c>
      <c r="AV70" s="18">
        <f t="shared" si="31"/>
        <v>23782786</v>
      </c>
      <c r="AW70" s="14"/>
      <c r="AX70" s="18">
        <f t="shared" ref="AX70:AZ70" si="32">+AX54+AX68</f>
        <v>23963446</v>
      </c>
      <c r="AY70" s="18">
        <f t="shared" si="32"/>
        <v>22211291</v>
      </c>
      <c r="AZ70" s="18">
        <f t="shared" si="32"/>
        <v>23316365</v>
      </c>
      <c r="BA70" s="18">
        <f t="shared" ref="BA70:BC70" si="33">+BA54+BA68</f>
        <v>24911164</v>
      </c>
      <c r="BB70" s="14"/>
      <c r="BC70" s="18">
        <f t="shared" si="33"/>
        <v>25703594</v>
      </c>
      <c r="BD70" s="18">
        <f t="shared" ref="BD70:BE70" si="34">+BD54+BD68</f>
        <v>22505380</v>
      </c>
      <c r="BE70" s="18">
        <f t="shared" si="34"/>
        <v>22980546</v>
      </c>
      <c r="BF70" s="18">
        <f t="shared" ref="BF70:BH70" si="35">+BF54+BF68</f>
        <v>21612927</v>
      </c>
      <c r="BG70" s="18"/>
      <c r="BH70" s="18">
        <f t="shared" si="35"/>
        <v>20094398</v>
      </c>
      <c r="BI70" s="18">
        <f t="shared" ref="BI70:BK70" si="36">+BI54+BI68</f>
        <v>20471992</v>
      </c>
      <c r="BJ70" s="18">
        <f t="shared" si="36"/>
        <v>19926914</v>
      </c>
      <c r="BK70" s="18">
        <f t="shared" si="36"/>
        <v>19297580</v>
      </c>
      <c r="BL70" s="18"/>
      <c r="BM70" s="18">
        <f t="shared" ref="BM70:BN70" si="37">+BM54+BM68</f>
        <v>20963971</v>
      </c>
      <c r="BN70" s="18">
        <f t="shared" si="37"/>
        <v>20357000</v>
      </c>
      <c r="BO70" s="18">
        <f t="shared" ref="BO70" si="38">+BO54+BO68</f>
        <v>20231770</v>
      </c>
      <c r="BP70" s="14">
        <f>+BO70-'ESF GA Cons Acum.'!C67</f>
        <v>0</v>
      </c>
      <c r="BQ70" s="14">
        <f>+BK70-'ESF GA Cons Acum.'!E67</f>
        <v>0</v>
      </c>
    </row>
    <row r="71" spans="1:69" ht="16.5" customHeight="1">
      <c r="B71" s="27" t="s">
        <v>35</v>
      </c>
      <c r="C71" s="28">
        <f>+C70/C95</f>
        <v>4671.6664158228805</v>
      </c>
      <c r="D71" s="28"/>
      <c r="E71" s="28">
        <f>+E70/E95</f>
        <v>5714.0714998066478</v>
      </c>
      <c r="F71" s="28">
        <f>+F70/F95</f>
        <v>6228.6100819162339</v>
      </c>
      <c r="G71" s="28">
        <f>+G70/G95</f>
        <v>5846.207012147026</v>
      </c>
      <c r="H71" s="28">
        <f>+H70/H95</f>
        <v>5814.9866664437441</v>
      </c>
      <c r="I71" s="29"/>
      <c r="J71" s="28">
        <f>+J70/J95</f>
        <v>5910.9629083286427</v>
      </c>
      <c r="K71" s="28">
        <f>+K70/K95</f>
        <v>5878.4794457489234</v>
      </c>
      <c r="L71" s="28">
        <f>+L70/L95</f>
        <v>5702.5195871797659</v>
      </c>
      <c r="M71" s="28">
        <f>+M70/M95</f>
        <v>5996.3149355288351</v>
      </c>
      <c r="N71" s="28">
        <f>+N70/N95</f>
        <v>6066.5162709916276</v>
      </c>
      <c r="P71" s="30">
        <f t="shared" ref="P71:V71" si="39">+P70/P95</f>
        <v>6367.4167452479032</v>
      </c>
      <c r="Q71" s="30">
        <f t="shared" si="39"/>
        <v>6437.0698297682266</v>
      </c>
      <c r="R71" s="30">
        <f t="shared" si="39"/>
        <v>6709.1655093187937</v>
      </c>
      <c r="S71" s="30">
        <f t="shared" si="39"/>
        <v>6775.7529619532597</v>
      </c>
      <c r="T71" s="30">
        <f t="shared" si="39"/>
        <v>6857.8645462594841</v>
      </c>
      <c r="U71" s="30">
        <f t="shared" si="39"/>
        <v>6856.6173023837227</v>
      </c>
      <c r="V71" s="30">
        <f t="shared" si="39"/>
        <v>7036.6606569778487</v>
      </c>
      <c r="X71" s="30">
        <f>+X70/X95</f>
        <v>8291.1469183123627</v>
      </c>
      <c r="Y71" s="30">
        <f t="shared" ref="Y71:AG71" si="40">+Y70/Y95</f>
        <v>7905.223384437144</v>
      </c>
      <c r="Z71" s="30">
        <f t="shared" si="40"/>
        <v>7930.1024629937992</v>
      </c>
      <c r="AA71" s="30">
        <f t="shared" si="40"/>
        <v>7795.1742627345848</v>
      </c>
      <c r="AB71" s="30"/>
      <c r="AC71" s="30">
        <f t="shared" si="40"/>
        <v>7958.968088128986</v>
      </c>
      <c r="AD71" s="30">
        <f t="shared" si="40"/>
        <v>7807.201105500204</v>
      </c>
      <c r="AE71" s="30">
        <f t="shared" si="40"/>
        <v>7612.92552940939</v>
      </c>
      <c r="AF71" s="30">
        <f t="shared" si="40"/>
        <v>7121.0450034618052</v>
      </c>
      <c r="AG71" s="31">
        <f t="shared" si="40"/>
        <v>7100.5908146780521</v>
      </c>
      <c r="AI71" s="30">
        <f t="shared" ref="AI71:AL71" si="41">+AI70/AI95</f>
        <v>7643.6107585068621</v>
      </c>
      <c r="AJ71" s="30">
        <f t="shared" si="41"/>
        <v>8143.587144029173</v>
      </c>
      <c r="AK71" s="30">
        <f t="shared" si="41"/>
        <v>7540.754648311241</v>
      </c>
      <c r="AL71" s="30">
        <f t="shared" si="41"/>
        <v>7425.6467529614238</v>
      </c>
      <c r="AM71" s="30"/>
      <c r="AN71" s="30">
        <f t="shared" ref="AN71:AQ71" si="42">+AN70/AN95</f>
        <v>6876.3243546438825</v>
      </c>
      <c r="AO71" s="30">
        <f t="shared" si="42"/>
        <v>7171.2014919218609</v>
      </c>
      <c r="AP71" s="30">
        <f t="shared" si="42"/>
        <v>6821.6981958988799</v>
      </c>
      <c r="AQ71" s="30">
        <f t="shared" si="42"/>
        <v>7150.3906773488707</v>
      </c>
      <c r="AR71" s="14"/>
      <c r="AS71" s="30">
        <f t="shared" ref="AS71:AV71" si="43">+AS70/AS95</f>
        <v>6966.3186964631204</v>
      </c>
      <c r="AT71" s="30">
        <f t="shared" si="43"/>
        <v>6672.4852063130375</v>
      </c>
      <c r="AU71" s="30">
        <f t="shared" si="43"/>
        <v>6613.886425986002</v>
      </c>
      <c r="AV71" s="30">
        <f t="shared" si="43"/>
        <v>5973.8332546293041</v>
      </c>
      <c r="AW71" s="14"/>
      <c r="AX71" s="30">
        <f t="shared" ref="AX71:AZ71" si="44">+AX70/AX95</f>
        <v>6393.4063471312511</v>
      </c>
      <c r="AY71" s="30">
        <f t="shared" si="44"/>
        <v>5381.3331168972754</v>
      </c>
      <c r="AZ71" s="30">
        <f t="shared" si="44"/>
        <v>5144.7495294644614</v>
      </c>
      <c r="BA71" s="30">
        <f t="shared" ref="BA71:BC71" si="45">+BA70/BA95</f>
        <v>5178.8208390503514</v>
      </c>
      <c r="BB71" s="14"/>
      <c r="BC71" s="30">
        <f t="shared" si="45"/>
        <v>5554.8074782755266</v>
      </c>
      <c r="BD71" s="30">
        <f t="shared" ref="BD71:BE71" si="46">+BD70/BD95</f>
        <v>5369.5720639041056</v>
      </c>
      <c r="BE71" s="30">
        <f t="shared" si="46"/>
        <v>5668.9458675402584</v>
      </c>
      <c r="BF71" s="30">
        <f t="shared" ref="BF71:BH71" si="47">+BF70/BF95</f>
        <v>5654.7996494028075</v>
      </c>
      <c r="BG71" s="30"/>
      <c r="BH71" s="30">
        <f t="shared" si="47"/>
        <v>5229.7837232907368</v>
      </c>
      <c r="BI71" s="30">
        <f t="shared" ref="BI71:BK71" si="48">+BI70/BI95</f>
        <v>4935.3410285339578</v>
      </c>
      <c r="BJ71" s="30">
        <f t="shared" si="48"/>
        <v>4785.280761537002</v>
      </c>
      <c r="BK71" s="30">
        <f t="shared" si="48"/>
        <v>4376.7120646836693</v>
      </c>
      <c r="BL71" s="30"/>
      <c r="BM71" s="30">
        <f t="shared" ref="BM71:BN71" si="49">+BM70/BM95</f>
        <v>5000.2673777659056</v>
      </c>
      <c r="BN71" s="30">
        <f t="shared" si="49"/>
        <v>5002.1254794614797</v>
      </c>
      <c r="BO71" s="30">
        <f t="shared" ref="BO71" si="50">+BO70/BO95</f>
        <v>5185.9179912285426</v>
      </c>
      <c r="BP71" s="14">
        <f>+BO71-'ESF GA Cons Acum.'!C68</f>
        <v>0</v>
      </c>
      <c r="BQ71" s="14">
        <f>+BK71-'ESF GA Cons Acum.'!E68</f>
        <v>0</v>
      </c>
    </row>
    <row r="72" spans="1:69">
      <c r="C72" s="20"/>
      <c r="D72" s="20"/>
      <c r="E72" s="20"/>
      <c r="F72" s="20"/>
      <c r="G72" s="20"/>
      <c r="H72" s="20"/>
      <c r="J72" s="20"/>
      <c r="K72" s="20"/>
      <c r="L72" s="20"/>
      <c r="M72" s="20"/>
      <c r="N72" s="20"/>
      <c r="P72" s="20"/>
      <c r="Q72" s="20"/>
      <c r="R72" s="20"/>
      <c r="S72" s="20"/>
      <c r="T72" s="20"/>
      <c r="U72" s="20"/>
      <c r="V72" s="20"/>
      <c r="X72" s="20"/>
      <c r="Y72" s="20"/>
      <c r="Z72" s="20"/>
      <c r="AA72" s="20"/>
      <c r="AB72" s="20"/>
      <c r="AC72" s="20"/>
      <c r="AD72" s="20"/>
      <c r="AE72" s="20"/>
      <c r="AF72" s="20"/>
      <c r="AG72" s="20"/>
      <c r="AI72" s="20"/>
      <c r="AJ72" s="20"/>
      <c r="AK72" s="20"/>
      <c r="AL72" s="20"/>
      <c r="AM72" s="20"/>
      <c r="AN72" s="20"/>
      <c r="AO72" s="20"/>
      <c r="AP72" s="20"/>
      <c r="AQ72" s="20"/>
      <c r="AR72" s="14"/>
      <c r="AS72" s="20"/>
      <c r="AT72" s="20"/>
      <c r="AU72" s="20"/>
      <c r="AV72" s="20"/>
      <c r="AW72" s="14"/>
      <c r="AX72" s="20"/>
      <c r="AY72" s="20"/>
      <c r="AZ72" s="20"/>
      <c r="BA72" s="20"/>
      <c r="BB72" s="14"/>
      <c r="BC72" s="20"/>
      <c r="BD72" s="20"/>
      <c r="BE72" s="20"/>
      <c r="BF72" s="20"/>
      <c r="BG72" s="20"/>
      <c r="BH72" s="20"/>
      <c r="BI72" s="20"/>
      <c r="BJ72" s="20"/>
      <c r="BK72" s="20"/>
      <c r="BL72" s="20"/>
      <c r="BM72" s="20"/>
      <c r="BN72" s="20"/>
      <c r="BO72" s="20"/>
      <c r="BP72" s="14"/>
      <c r="BQ72" s="14"/>
    </row>
    <row r="73" spans="1:69" ht="16.5" customHeight="1">
      <c r="B73" s="24" t="s">
        <v>54</v>
      </c>
      <c r="C73" s="25">
        <f>+C87</f>
        <v>18983389</v>
      </c>
      <c r="D73" s="25"/>
      <c r="E73" s="25">
        <f>+E87</f>
        <v>19568688</v>
      </c>
      <c r="F73" s="25">
        <f>+F87</f>
        <v>19721544</v>
      </c>
      <c r="G73" s="25">
        <f>+G87</f>
        <v>19940759</v>
      </c>
      <c r="H73" s="25">
        <f>+H87</f>
        <v>20387361</v>
      </c>
      <c r="I73" s="26"/>
      <c r="J73" s="25">
        <f>+J87</f>
        <v>18909158</v>
      </c>
      <c r="K73" s="25">
        <f>+K87</f>
        <v>20047792</v>
      </c>
      <c r="L73" s="25">
        <f>+L87</f>
        <v>22304092</v>
      </c>
      <c r="M73" s="25">
        <f>+M87</f>
        <v>22889799</v>
      </c>
      <c r="N73" s="25">
        <f>+N87</f>
        <v>22974090</v>
      </c>
      <c r="P73" s="18">
        <f t="shared" ref="P73:V73" si="51">+P87</f>
        <v>22316545</v>
      </c>
      <c r="Q73" s="18">
        <f t="shared" si="51"/>
        <v>22416574</v>
      </c>
      <c r="R73" s="18">
        <f t="shared" si="51"/>
        <v>22378748</v>
      </c>
      <c r="S73" s="18">
        <f t="shared" si="51"/>
        <v>22482543</v>
      </c>
      <c r="T73" s="18">
        <f t="shared" si="51"/>
        <v>22786490</v>
      </c>
      <c r="U73" s="18">
        <f t="shared" si="51"/>
        <v>22741000</v>
      </c>
      <c r="V73" s="18">
        <f t="shared" si="51"/>
        <v>23634596</v>
      </c>
      <c r="X73" s="18">
        <f>+X87</f>
        <v>23135940</v>
      </c>
      <c r="Y73" s="18">
        <f t="shared" ref="Y73:AG73" si="52">+Y87</f>
        <v>23696395</v>
      </c>
      <c r="Z73" s="18">
        <f t="shared" si="52"/>
        <v>23875786</v>
      </c>
      <c r="AA73" s="18">
        <f t="shared" si="52"/>
        <v>24307148</v>
      </c>
      <c r="AB73" s="18"/>
      <c r="AC73" s="18">
        <f t="shared" si="52"/>
        <v>23594286</v>
      </c>
      <c r="AD73" s="18">
        <f t="shared" si="52"/>
        <v>23888563</v>
      </c>
      <c r="AE73" s="18">
        <f t="shared" si="52"/>
        <v>24279950</v>
      </c>
      <c r="AF73" s="18">
        <f t="shared" si="52"/>
        <v>25572737</v>
      </c>
      <c r="AG73" s="18">
        <f t="shared" si="52"/>
        <v>25572737</v>
      </c>
      <c r="AI73" s="18">
        <f t="shared" ref="AI73:AL73" si="53">+AI87</f>
        <v>24943947</v>
      </c>
      <c r="AJ73" s="18">
        <f t="shared" si="53"/>
        <v>25179773</v>
      </c>
      <c r="AK73" s="18">
        <f t="shared" si="53"/>
        <v>26633443</v>
      </c>
      <c r="AL73" s="18">
        <f t="shared" si="53"/>
        <v>26490257</v>
      </c>
      <c r="AM73" s="18"/>
      <c r="AN73" s="18">
        <f t="shared" ref="AN73:AQ73" si="54">+AN87</f>
        <v>27828783</v>
      </c>
      <c r="AO73" s="18">
        <f t="shared" si="54"/>
        <v>26956418</v>
      </c>
      <c r="AP73" s="18">
        <f t="shared" si="54"/>
        <v>27811046</v>
      </c>
      <c r="AQ73" s="18">
        <f t="shared" si="54"/>
        <v>26229851</v>
      </c>
      <c r="AR73" s="14"/>
      <c r="AS73" s="18">
        <f t="shared" ref="AS73:AV73" si="55">+AS87</f>
        <v>26797362</v>
      </c>
      <c r="AT73" s="18">
        <f t="shared" si="55"/>
        <v>27485409</v>
      </c>
      <c r="AU73" s="18">
        <f t="shared" si="55"/>
        <v>27820997</v>
      </c>
      <c r="AV73" s="18">
        <f t="shared" si="55"/>
        <v>28806558</v>
      </c>
      <c r="AW73" s="14"/>
      <c r="AX73" s="18">
        <f t="shared" ref="AX73:AZ73" si="56">+AX87</f>
        <v>28055023</v>
      </c>
      <c r="AY73" s="18">
        <f t="shared" si="56"/>
        <v>29092609</v>
      </c>
      <c r="AZ73" s="18">
        <f t="shared" si="56"/>
        <v>30542913</v>
      </c>
      <c r="BA73" s="18">
        <f t="shared" ref="BA73:BC73" si="57">+BA87</f>
        <v>32029904</v>
      </c>
      <c r="BB73" s="14"/>
      <c r="BC73" s="18">
        <f t="shared" si="57"/>
        <v>31409244</v>
      </c>
      <c r="BD73" s="18">
        <f t="shared" ref="BD73:BE73" si="58">+BD87</f>
        <v>29817865</v>
      </c>
      <c r="BE73" s="18">
        <f t="shared" si="58"/>
        <v>29332150</v>
      </c>
      <c r="BF73" s="18">
        <f t="shared" ref="BF73:BH73" si="59">+BF87</f>
        <v>27789414</v>
      </c>
      <c r="BG73" s="18"/>
      <c r="BH73" s="18">
        <f t="shared" si="59"/>
        <v>31076610</v>
      </c>
      <c r="BI73" s="18">
        <f t="shared" ref="BI73:BK73" si="60">+BI87</f>
        <v>32489118</v>
      </c>
      <c r="BJ73" s="18">
        <f t="shared" si="60"/>
        <v>32431416</v>
      </c>
      <c r="BK73" s="18">
        <f t="shared" si="60"/>
        <v>32555069</v>
      </c>
      <c r="BL73" s="18"/>
      <c r="BM73" s="18">
        <f t="shared" ref="BM73:BN73" si="61">+BM87</f>
        <v>32588112</v>
      </c>
      <c r="BN73" s="18">
        <f t="shared" si="61"/>
        <v>32189554</v>
      </c>
      <c r="BO73" s="18">
        <f t="shared" ref="BO73" si="62">+BO87</f>
        <v>20380006</v>
      </c>
      <c r="BP73" s="14">
        <f>+BO73-'ESF GA Cons Acum.'!C70</f>
        <v>0</v>
      </c>
      <c r="BQ73" s="14">
        <f>+BK73-'ESF GA Cons Acum.'!E70</f>
        <v>0</v>
      </c>
    </row>
    <row r="74" spans="1:69" ht="16.5" customHeight="1">
      <c r="B74" s="27" t="s">
        <v>35</v>
      </c>
      <c r="C74" s="28">
        <f>+C73/C95</f>
        <v>9852.1348536196765</v>
      </c>
      <c r="D74" s="28"/>
      <c r="E74" s="28">
        <f>+E73/E95</f>
        <v>9956.998351413511</v>
      </c>
      <c r="F74" s="28">
        <f>+F73/F95</f>
        <v>10483.547116452883</v>
      </c>
      <c r="G74" s="28">
        <f>+G73/G95</f>
        <v>9830.3946797602148</v>
      </c>
      <c r="H74" s="28">
        <f>+H73/H95</f>
        <v>8521.5054797154389</v>
      </c>
      <c r="I74" s="29"/>
      <c r="J74" s="28">
        <f>+J73/J95</f>
        <v>7340.3691698530693</v>
      </c>
      <c r="K74" s="28">
        <f>+K73/K95</f>
        <v>7755.1021039723646</v>
      </c>
      <c r="L74" s="28">
        <f>+L73/L95</f>
        <v>7144.3051435966099</v>
      </c>
      <c r="M74" s="28">
        <f>+M73/M95</f>
        <v>7267.8256976570665</v>
      </c>
      <c r="N74" s="28">
        <f>+N73/N95</f>
        <v>7294.5892483497228</v>
      </c>
      <c r="P74" s="30">
        <f t="shared" ref="P74:V74" si="63">+P73/P95</f>
        <v>7383.8387347593762</v>
      </c>
      <c r="Q74" s="30">
        <f t="shared" si="63"/>
        <v>7416.9351663440702</v>
      </c>
      <c r="R74" s="30">
        <f t="shared" si="63"/>
        <v>7674.0730072184215</v>
      </c>
      <c r="S74" s="30">
        <f t="shared" si="63"/>
        <v>7709.6661694357281</v>
      </c>
      <c r="T74" s="30">
        <f t="shared" si="63"/>
        <v>7912.1130575183606</v>
      </c>
      <c r="U74" s="30">
        <f t="shared" si="63"/>
        <v>7896.3176444035489</v>
      </c>
      <c r="V74" s="30">
        <f t="shared" si="63"/>
        <v>7876.3346008111412</v>
      </c>
      <c r="X74" s="30">
        <f>+X73/X95</f>
        <v>8032.6431130739111</v>
      </c>
      <c r="Y74" s="30">
        <f t="shared" ref="Y74:AG74" si="64">+Y73/Y95</f>
        <v>7799.3308670094066</v>
      </c>
      <c r="Z74" s="30">
        <f t="shared" si="64"/>
        <v>8130.2243697793756</v>
      </c>
      <c r="AA74" s="30">
        <f t="shared" si="64"/>
        <v>8145.8270777479893</v>
      </c>
      <c r="AB74" s="30"/>
      <c r="AC74" s="30">
        <f t="shared" si="64"/>
        <v>8485.7186015313964</v>
      </c>
      <c r="AD74" s="30">
        <f t="shared" si="64"/>
        <v>8150.8676811791993</v>
      </c>
      <c r="AE74" s="30">
        <f t="shared" si="64"/>
        <v>8169.0711868056451</v>
      </c>
      <c r="AF74" s="30">
        <f t="shared" si="64"/>
        <v>7869.1397799830756</v>
      </c>
      <c r="AG74" s="30">
        <f t="shared" si="64"/>
        <v>7869.1397799830756</v>
      </c>
      <c r="AI74" s="30">
        <f t="shared" ref="AI74:AL74" si="65">+AI73/AI95</f>
        <v>7856.8809275574131</v>
      </c>
      <c r="AJ74" s="30">
        <f t="shared" si="65"/>
        <v>7854.7614071317385</v>
      </c>
      <c r="AK74" s="30">
        <f t="shared" si="65"/>
        <v>7693.0577901277002</v>
      </c>
      <c r="AL74" s="18">
        <f t="shared" si="65"/>
        <v>8083.3461493863551</v>
      </c>
      <c r="AM74" s="18"/>
      <c r="AN74" s="30">
        <f t="shared" ref="AN74:AQ74" si="66">+AN73/AN95</f>
        <v>6846.269075307333</v>
      </c>
      <c r="AO74" s="30">
        <f t="shared" si="66"/>
        <v>7171.3390317937919</v>
      </c>
      <c r="AP74" s="30">
        <f t="shared" si="66"/>
        <v>7169.7541080810734</v>
      </c>
      <c r="AQ74" s="30">
        <f t="shared" si="66"/>
        <v>7641.6171886380189</v>
      </c>
      <c r="AR74" s="14"/>
      <c r="AS74" s="30">
        <f t="shared" ref="AS74:AV74" si="67">+AS73/AS95</f>
        <v>7170.9947523488663</v>
      </c>
      <c r="AT74" s="30">
        <f t="shared" si="67"/>
        <v>7316.4289117755879</v>
      </c>
      <c r="AU74" s="30">
        <f t="shared" si="67"/>
        <v>7255.1026422022178</v>
      </c>
      <c r="AV74" s="30">
        <f t="shared" si="67"/>
        <v>7235.719739975284</v>
      </c>
      <c r="AW74" s="14"/>
      <c r="AX74" s="30">
        <f t="shared" ref="AX74:AZ74" si="68">+AX73/AX95</f>
        <v>7485.03208249403</v>
      </c>
      <c r="AY74" s="30">
        <f t="shared" si="68"/>
        <v>7048.5331207737427</v>
      </c>
      <c r="AZ74" s="30">
        <f t="shared" si="68"/>
        <v>6739.2853596700852</v>
      </c>
      <c r="BA74" s="30">
        <f t="shared" ref="BA74:BC74" si="69">+BA73/BA95</f>
        <v>6658.7468296536526</v>
      </c>
      <c r="BB74" s="14"/>
      <c r="BC74" s="30">
        <f t="shared" si="69"/>
        <v>6787.8563386186661</v>
      </c>
      <c r="BD74" s="30">
        <f t="shared" ref="BD74:BE74" si="70">+BD73/BD95</f>
        <v>7114.2622301540341</v>
      </c>
      <c r="BE74" s="30">
        <f t="shared" si="70"/>
        <v>7235.7885025260493</v>
      </c>
      <c r="BF74" s="30">
        <f t="shared" ref="BF74:BH74" si="71">+BF73/BF95</f>
        <v>7270.8138302743291</v>
      </c>
      <c r="BG74" s="30"/>
      <c r="BH74" s="30">
        <f t="shared" si="71"/>
        <v>8088.0227988444421</v>
      </c>
      <c r="BI74" s="30">
        <f t="shared" ref="BI74:BK74" si="72">+BI73/BI95</f>
        <v>7832.4022912025921</v>
      </c>
      <c r="BJ74" s="30">
        <f t="shared" si="72"/>
        <v>7788.1317224635641</v>
      </c>
      <c r="BK74" s="30">
        <f t="shared" si="72"/>
        <v>7383.5249424492258</v>
      </c>
      <c r="BL74" s="30"/>
      <c r="BM74" s="30">
        <f t="shared" ref="BM74:BN74" si="73">+BM73/BM95</f>
        <v>7772.824782889732</v>
      </c>
      <c r="BN74" s="30">
        <f t="shared" si="73"/>
        <v>7909.622647536532</v>
      </c>
      <c r="BO74" s="30">
        <f t="shared" ref="BO74" si="74">+BO73/BO95</f>
        <v>5223.9146538708992</v>
      </c>
      <c r="BP74" s="14">
        <f>+BO74-'ESF GA Cons Acum.'!C71</f>
        <v>0</v>
      </c>
      <c r="BQ74" s="14">
        <f>+BK74-'ESF GA Cons Acum.'!E71</f>
        <v>0</v>
      </c>
    </row>
    <row r="75" spans="1:69" ht="7.5" customHeight="1">
      <c r="B75" s="21"/>
      <c r="C75" s="20"/>
      <c r="D75" s="20"/>
      <c r="E75" s="20"/>
      <c r="F75" s="20"/>
      <c r="G75" s="20"/>
      <c r="H75" s="20"/>
      <c r="J75" s="20"/>
      <c r="K75" s="20"/>
      <c r="L75" s="20"/>
      <c r="M75" s="20"/>
      <c r="N75" s="20"/>
      <c r="P75" s="20"/>
      <c r="Q75" s="20"/>
      <c r="R75" s="20"/>
      <c r="S75" s="20"/>
      <c r="T75" s="20"/>
      <c r="U75" s="20"/>
      <c r="V75" s="20"/>
      <c r="X75" s="20"/>
      <c r="Y75" s="20"/>
      <c r="Z75" s="20"/>
      <c r="AA75" s="20"/>
      <c r="AB75" s="20"/>
      <c r="AC75" s="20"/>
      <c r="AD75" s="20"/>
      <c r="AE75" s="20"/>
      <c r="AF75" s="20"/>
      <c r="AG75" s="20"/>
      <c r="AI75" s="20"/>
      <c r="AJ75" s="20"/>
      <c r="AK75" s="20"/>
      <c r="AL75" s="30"/>
      <c r="AM75" s="18"/>
      <c r="AN75" s="20"/>
      <c r="AO75" s="20"/>
      <c r="AP75" s="20"/>
      <c r="AQ75" s="20"/>
      <c r="AR75" s="14"/>
      <c r="AS75" s="20"/>
      <c r="AT75" s="20"/>
      <c r="AU75" s="20"/>
      <c r="AV75" s="20"/>
      <c r="AW75" s="14"/>
      <c r="AX75" s="20"/>
      <c r="AY75" s="20"/>
      <c r="AZ75" s="20"/>
      <c r="BA75" s="20"/>
      <c r="BB75" s="14"/>
      <c r="BC75" s="20"/>
      <c r="BD75" s="20"/>
      <c r="BE75" s="20"/>
      <c r="BF75" s="20"/>
      <c r="BG75" s="20"/>
      <c r="BH75" s="20"/>
      <c r="BI75" s="20"/>
      <c r="BJ75" s="20"/>
      <c r="BK75" s="20"/>
      <c r="BL75" s="20"/>
      <c r="BM75" s="20"/>
      <c r="BN75" s="20"/>
      <c r="BO75" s="20"/>
      <c r="BP75" s="14"/>
      <c r="BQ75" s="14"/>
    </row>
    <row r="76" spans="1:69" ht="20.25" customHeight="1">
      <c r="B76" s="17" t="s">
        <v>55</v>
      </c>
      <c r="C76" s="18">
        <f>+C70+C73</f>
        <v>27984896</v>
      </c>
      <c r="D76" s="18"/>
      <c r="E76" s="18">
        <f>+E70+E73</f>
        <v>30798667</v>
      </c>
      <c r="F76" s="18">
        <f>+F70+F73</f>
        <v>31438743</v>
      </c>
      <c r="G76" s="18">
        <f>+G70+G73</f>
        <v>31799673</v>
      </c>
      <c r="H76" s="18">
        <f>+H70+H73</f>
        <v>34299484</v>
      </c>
      <c r="J76" s="18">
        <f>+J70+J73</f>
        <v>34136094</v>
      </c>
      <c r="K76" s="18">
        <f>+K70+K73</f>
        <v>35244308</v>
      </c>
      <c r="L76" s="18">
        <f>+L70+L73</f>
        <v>40107016</v>
      </c>
      <c r="M76" s="18">
        <f>+M70+M73</f>
        <v>41775013</v>
      </c>
      <c r="N76" s="18">
        <f>+N70+N73</f>
        <v>42080401</v>
      </c>
      <c r="P76" s="18">
        <f t="shared" ref="P76:V76" si="75">+P70+P73</f>
        <v>41561107</v>
      </c>
      <c r="Q76" s="18">
        <f t="shared" si="75"/>
        <v>41871652</v>
      </c>
      <c r="R76" s="18">
        <f t="shared" si="75"/>
        <v>41943681</v>
      </c>
      <c r="S76" s="18">
        <f t="shared" si="75"/>
        <v>42241655</v>
      </c>
      <c r="T76" s="18">
        <f t="shared" si="75"/>
        <v>42536797</v>
      </c>
      <c r="U76" s="18">
        <f t="shared" si="75"/>
        <v>42487715</v>
      </c>
      <c r="V76" s="18">
        <f t="shared" si="75"/>
        <v>44749574</v>
      </c>
      <c r="X76" s="18">
        <f>+X70+X73</f>
        <v>47016433</v>
      </c>
      <c r="Y76" s="18">
        <f t="shared" ref="Y76:AG76" si="76">+Y70+Y73</f>
        <v>47714519</v>
      </c>
      <c r="Z76" s="18">
        <f t="shared" si="76"/>
        <v>47163880</v>
      </c>
      <c r="AA76" s="18">
        <f t="shared" si="76"/>
        <v>47567948</v>
      </c>
      <c r="AB76" s="18"/>
      <c r="AC76" s="18">
        <f t="shared" si="76"/>
        <v>45723958</v>
      </c>
      <c r="AD76" s="18">
        <f t="shared" si="76"/>
        <v>46769908</v>
      </c>
      <c r="AE76" s="18">
        <f t="shared" si="76"/>
        <v>46906935</v>
      </c>
      <c r="AF76" s="18">
        <f t="shared" si="76"/>
        <v>48714353</v>
      </c>
      <c r="AG76" s="19">
        <f t="shared" si="76"/>
        <v>48647882</v>
      </c>
      <c r="AI76" s="18">
        <f t="shared" ref="AI76:AL76" si="77">+AI70+AI73</f>
        <v>49210806</v>
      </c>
      <c r="AJ76" s="18">
        <f t="shared" si="77"/>
        <v>51285426</v>
      </c>
      <c r="AK76" s="18">
        <f t="shared" si="77"/>
        <v>52739611</v>
      </c>
      <c r="AL76" s="18">
        <f t="shared" si="77"/>
        <v>50825141</v>
      </c>
      <c r="AM76" s="18"/>
      <c r="AN76" s="18">
        <f t="shared" ref="AN76:AQ76" si="78">+AN70+AN73</f>
        <v>55779735</v>
      </c>
      <c r="AO76" s="18">
        <f t="shared" si="78"/>
        <v>53912319</v>
      </c>
      <c r="AP76" s="18">
        <f t="shared" si="78"/>
        <v>54272004</v>
      </c>
      <c r="AQ76" s="18">
        <f t="shared" si="78"/>
        <v>50773567</v>
      </c>
      <c r="AR76" s="14"/>
      <c r="AS76" s="18">
        <f t="shared" ref="AS76:AV76" si="79">+AS70+AS73</f>
        <v>52829868</v>
      </c>
      <c r="AT76" s="18">
        <f t="shared" si="79"/>
        <v>52551734</v>
      </c>
      <c r="AU76" s="18">
        <f t="shared" si="79"/>
        <v>53183135</v>
      </c>
      <c r="AV76" s="18">
        <f t="shared" si="79"/>
        <v>52589344</v>
      </c>
      <c r="AW76" s="14"/>
      <c r="AX76" s="18">
        <f t="shared" ref="AX76:AZ76" si="80">+AX70+AX73</f>
        <v>52018469</v>
      </c>
      <c r="AY76" s="18">
        <f t="shared" si="80"/>
        <v>51303900</v>
      </c>
      <c r="AZ76" s="18">
        <f t="shared" si="80"/>
        <v>53859278</v>
      </c>
      <c r="BA76" s="18">
        <f t="shared" ref="BA76:BC76" si="81">+BA70+BA73</f>
        <v>56941068</v>
      </c>
      <c r="BB76" s="14"/>
      <c r="BC76" s="18">
        <f t="shared" si="81"/>
        <v>57112838</v>
      </c>
      <c r="BD76" s="18">
        <f t="shared" ref="BD76:BE76" si="82">+BD70+BD73</f>
        <v>52323245</v>
      </c>
      <c r="BE76" s="18">
        <f t="shared" si="82"/>
        <v>52312696</v>
      </c>
      <c r="BF76" s="18">
        <f t="shared" ref="BF76:BH76" si="83">+BF70+BF73</f>
        <v>49402341</v>
      </c>
      <c r="BG76" s="18"/>
      <c r="BH76" s="18">
        <f t="shared" si="83"/>
        <v>51171008</v>
      </c>
      <c r="BI76" s="18">
        <f t="shared" ref="BI76:BK76" si="84">+BI70+BI73</f>
        <v>52961110</v>
      </c>
      <c r="BJ76" s="18">
        <f t="shared" si="84"/>
        <v>52358330</v>
      </c>
      <c r="BK76" s="18">
        <f t="shared" si="84"/>
        <v>51852649</v>
      </c>
      <c r="BL76" s="18"/>
      <c r="BM76" s="18">
        <f t="shared" ref="BM76:BN76" si="85">+BM70+BM73</f>
        <v>53552083</v>
      </c>
      <c r="BN76" s="18">
        <f t="shared" si="85"/>
        <v>52546554</v>
      </c>
      <c r="BO76" s="18">
        <f t="shared" ref="BO76" si="86">+BO70+BO73</f>
        <v>40611776</v>
      </c>
      <c r="BP76" s="14">
        <f>+BO76-'ESF GA Cons Acum.'!C73</f>
        <v>0</v>
      </c>
      <c r="BQ76" s="14">
        <f>+BK76-'ESF GA Cons Acum.'!E73</f>
        <v>0</v>
      </c>
    </row>
    <row r="77" spans="1:69" ht="7.5" customHeight="1">
      <c r="C77" s="23"/>
      <c r="D77" s="23"/>
      <c r="E77" s="23"/>
      <c r="F77" s="23"/>
      <c r="G77" s="23"/>
      <c r="H77" s="23"/>
      <c r="J77" s="23"/>
      <c r="K77" s="23"/>
      <c r="L77" s="23"/>
      <c r="M77" s="23"/>
      <c r="N77" s="23"/>
      <c r="P77" s="12"/>
      <c r="Q77" s="12"/>
      <c r="R77" s="12"/>
      <c r="S77" s="12"/>
      <c r="T77" s="12"/>
      <c r="U77" s="12"/>
      <c r="V77" s="12"/>
      <c r="X77" s="12"/>
      <c r="Y77" s="12"/>
      <c r="Z77" s="12"/>
      <c r="AA77" s="12"/>
      <c r="AB77" s="12"/>
      <c r="AC77" s="12"/>
      <c r="AD77" s="12"/>
      <c r="AE77" s="12"/>
      <c r="AF77" s="12"/>
      <c r="AG77" s="12"/>
      <c r="AI77" s="12"/>
      <c r="AJ77" s="12"/>
      <c r="AK77" s="12"/>
      <c r="AL77" s="18"/>
      <c r="AM77" s="18"/>
      <c r="AN77" s="12"/>
      <c r="AO77" s="12"/>
      <c r="AP77" s="12"/>
      <c r="AQ77" s="12"/>
      <c r="AR77" s="14"/>
      <c r="AS77" s="12"/>
      <c r="AT77" s="12"/>
      <c r="AU77" s="12"/>
      <c r="AV77" s="12"/>
      <c r="AW77" s="14"/>
      <c r="AX77" s="12"/>
      <c r="AY77" s="12"/>
      <c r="AZ77" s="12"/>
      <c r="BA77" s="12"/>
      <c r="BB77" s="14"/>
      <c r="BC77" s="12"/>
      <c r="BD77" s="12"/>
      <c r="BE77" s="12"/>
      <c r="BF77" s="12"/>
      <c r="BG77" s="12"/>
      <c r="BH77" s="12"/>
      <c r="BI77" s="12"/>
      <c r="BJ77" s="12"/>
      <c r="BK77" s="12"/>
      <c r="BL77" s="12"/>
      <c r="BM77" s="12"/>
      <c r="BN77" s="12"/>
      <c r="BO77" s="12"/>
      <c r="BP77" s="14"/>
      <c r="BQ77" s="14"/>
    </row>
    <row r="78" spans="1:69" s="10" customFormat="1" ht="16.5" customHeight="1">
      <c r="B78" s="21" t="s">
        <v>56</v>
      </c>
      <c r="C78" s="12">
        <v>51510</v>
      </c>
      <c r="D78" s="12"/>
      <c r="E78" s="12">
        <v>51481</v>
      </c>
      <c r="F78" s="12">
        <v>51481</v>
      </c>
      <c r="G78" s="12">
        <v>51481</v>
      </c>
      <c r="H78" s="12">
        <v>51510</v>
      </c>
      <c r="I78" s="2"/>
      <c r="J78" s="12">
        <v>51481</v>
      </c>
      <c r="K78" s="12">
        <v>50744</v>
      </c>
      <c r="L78" s="12">
        <v>50744</v>
      </c>
      <c r="M78" s="16">
        <v>51510</v>
      </c>
      <c r="N78" s="13">
        <v>51510</v>
      </c>
      <c r="P78" s="13">
        <v>51510</v>
      </c>
      <c r="Q78" s="13">
        <v>51510</v>
      </c>
      <c r="R78" s="13">
        <v>51510</v>
      </c>
      <c r="S78" s="13">
        <v>51510</v>
      </c>
      <c r="T78" s="13">
        <v>51510</v>
      </c>
      <c r="U78" s="13">
        <v>51510</v>
      </c>
      <c r="V78" s="13">
        <v>53933</v>
      </c>
      <c r="X78" s="13">
        <v>53933</v>
      </c>
      <c r="Y78" s="13">
        <v>53933</v>
      </c>
      <c r="Z78" s="13">
        <v>53933</v>
      </c>
      <c r="AA78" s="13">
        <v>53933</v>
      </c>
      <c r="AB78" s="13"/>
      <c r="AC78" s="13">
        <v>53933</v>
      </c>
      <c r="AD78" s="13">
        <v>53933</v>
      </c>
      <c r="AE78" s="13">
        <v>53933</v>
      </c>
      <c r="AF78" s="13">
        <v>53933</v>
      </c>
      <c r="AG78" s="13">
        <v>53933</v>
      </c>
      <c r="AI78" s="13">
        <v>53933</v>
      </c>
      <c r="AJ78" s="13">
        <v>53933</v>
      </c>
      <c r="AK78" s="13">
        <v>53933</v>
      </c>
      <c r="AL78" s="13">
        <v>53933</v>
      </c>
      <c r="AM78" s="18"/>
      <c r="AN78" s="13">
        <v>53933</v>
      </c>
      <c r="AO78" s="13">
        <v>53933</v>
      </c>
      <c r="AP78" s="13">
        <v>53933</v>
      </c>
      <c r="AQ78" s="13">
        <v>53933</v>
      </c>
      <c r="AR78" s="14"/>
      <c r="AS78" s="13">
        <v>53933</v>
      </c>
      <c r="AT78" s="13">
        <v>54697</v>
      </c>
      <c r="AU78" s="13">
        <v>54697</v>
      </c>
      <c r="AV78" s="13">
        <v>54697</v>
      </c>
      <c r="AW78" s="14"/>
      <c r="AX78" s="13">
        <v>54697</v>
      </c>
      <c r="AY78" s="13">
        <v>54697</v>
      </c>
      <c r="AZ78" s="13">
        <v>54697</v>
      </c>
      <c r="BA78" s="13">
        <v>54697</v>
      </c>
      <c r="BB78" s="14"/>
      <c r="BC78" s="13">
        <v>54697</v>
      </c>
      <c r="BD78" s="13">
        <v>54697</v>
      </c>
      <c r="BE78" s="13">
        <v>54697</v>
      </c>
      <c r="BF78" s="13">
        <v>54697</v>
      </c>
      <c r="BG78" s="13"/>
      <c r="BH78" s="13">
        <v>54697</v>
      </c>
      <c r="BI78" s="13">
        <v>54697</v>
      </c>
      <c r="BJ78" s="13">
        <v>54697</v>
      </c>
      <c r="BK78" s="13">
        <v>54697</v>
      </c>
      <c r="BL78" s="13"/>
      <c r="BM78" s="13">
        <v>54697</v>
      </c>
      <c r="BN78" s="13">
        <v>54697</v>
      </c>
      <c r="BO78" s="13">
        <v>54934</v>
      </c>
      <c r="BP78" s="14">
        <f>+BO78-'ESF GA Cons Acum.'!C95</f>
        <v>0</v>
      </c>
      <c r="BQ78" s="14">
        <f>+BK78-'ESF GA Cons Acum.'!E95</f>
        <v>0</v>
      </c>
    </row>
    <row r="79" spans="1:69" s="10" customFormat="1" ht="16.5" customHeight="1">
      <c r="B79" s="21" t="s">
        <v>57</v>
      </c>
      <c r="C79" s="12">
        <v>667459</v>
      </c>
      <c r="D79" s="12"/>
      <c r="E79" s="12">
        <v>687062</v>
      </c>
      <c r="F79" s="12">
        <v>697292</v>
      </c>
      <c r="G79" s="12">
        <v>680690</v>
      </c>
      <c r="H79" s="12">
        <v>680051</v>
      </c>
      <c r="I79" s="2"/>
      <c r="J79" s="12">
        <v>689585</v>
      </c>
      <c r="K79" s="12">
        <v>681444</v>
      </c>
      <c r="L79" s="12">
        <v>680280</v>
      </c>
      <c r="M79" s="16">
        <v>680218</v>
      </c>
      <c r="N79" s="13">
        <v>680218</v>
      </c>
      <c r="P79" s="13">
        <v>680218</v>
      </c>
      <c r="Q79" s="13">
        <v>680218</v>
      </c>
      <c r="R79" s="13">
        <v>680218</v>
      </c>
      <c r="S79" s="13">
        <v>680218</v>
      </c>
      <c r="T79" s="13">
        <v>680218</v>
      </c>
      <c r="U79" s="13">
        <v>680218</v>
      </c>
      <c r="V79" s="13">
        <v>1354759</v>
      </c>
      <c r="X79" s="13">
        <v>1354759</v>
      </c>
      <c r="Y79" s="13">
        <v>1354759</v>
      </c>
      <c r="Z79" s="13">
        <v>1354759</v>
      </c>
      <c r="AA79" s="13">
        <v>1354759</v>
      </c>
      <c r="AB79" s="13"/>
      <c r="AC79" s="13">
        <v>1354759</v>
      </c>
      <c r="AD79" s="13">
        <v>1354759</v>
      </c>
      <c r="AE79" s="13">
        <v>1354759</v>
      </c>
      <c r="AF79" s="13">
        <v>1354759</v>
      </c>
      <c r="AG79" s="13">
        <v>1354759</v>
      </c>
      <c r="AI79" s="13">
        <v>1354759</v>
      </c>
      <c r="AJ79" s="13">
        <v>1354759</v>
      </c>
      <c r="AK79" s="13">
        <v>1354759</v>
      </c>
      <c r="AL79" s="13">
        <v>1354759</v>
      </c>
      <c r="AM79" s="18"/>
      <c r="AN79" s="13">
        <v>1354759</v>
      </c>
      <c r="AO79" s="13">
        <v>1354759</v>
      </c>
      <c r="AP79" s="13">
        <v>1354759</v>
      </c>
      <c r="AQ79" s="13">
        <v>1354759</v>
      </c>
      <c r="AR79" s="14"/>
      <c r="AS79" s="13">
        <v>1354759</v>
      </c>
      <c r="AT79" s="13">
        <v>1503373</v>
      </c>
      <c r="AU79" s="13">
        <v>1503373</v>
      </c>
      <c r="AV79" s="13">
        <v>1503373</v>
      </c>
      <c r="AW79" s="14"/>
      <c r="AX79" s="13">
        <v>1503373</v>
      </c>
      <c r="AY79" s="13">
        <v>1503373</v>
      </c>
      <c r="AZ79" s="13">
        <v>1503373</v>
      </c>
      <c r="BA79" s="13">
        <v>1503373</v>
      </c>
      <c r="BB79" s="14"/>
      <c r="BC79" s="13">
        <v>1503373</v>
      </c>
      <c r="BD79" s="13">
        <v>1503373</v>
      </c>
      <c r="BE79" s="13">
        <v>1503373</v>
      </c>
      <c r="BF79" s="13">
        <v>1503373</v>
      </c>
      <c r="BG79" s="13"/>
      <c r="BH79" s="13">
        <v>1503373</v>
      </c>
      <c r="BI79" s="13">
        <v>1503373</v>
      </c>
      <c r="BJ79" s="13">
        <v>1503373</v>
      </c>
      <c r="BK79" s="13">
        <v>1503373</v>
      </c>
      <c r="BL79" s="13"/>
      <c r="BM79" s="13">
        <v>1503373</v>
      </c>
      <c r="BN79" s="13">
        <v>1503373</v>
      </c>
      <c r="BO79" s="13">
        <v>0</v>
      </c>
      <c r="BP79" s="14">
        <f>+BO79-'ESF GA Cons Acum.'!C96</f>
        <v>0</v>
      </c>
      <c r="BQ79" s="14">
        <f>+BK79-'ESF GA Cons Acum.'!E96</f>
        <v>0</v>
      </c>
    </row>
    <row r="80" spans="1:69" s="10" customFormat="1" ht="16.5" customHeight="1">
      <c r="B80" s="21" t="s">
        <v>249</v>
      </c>
      <c r="C80" s="12"/>
      <c r="D80" s="12"/>
      <c r="E80" s="12"/>
      <c r="F80" s="12"/>
      <c r="G80" s="12"/>
      <c r="H80" s="12"/>
      <c r="I80" s="2"/>
      <c r="J80" s="12"/>
      <c r="K80" s="12"/>
      <c r="L80" s="12"/>
      <c r="M80" s="16"/>
      <c r="N80" s="13"/>
      <c r="P80" s="13"/>
      <c r="Q80" s="13"/>
      <c r="R80" s="13"/>
      <c r="S80" s="13"/>
      <c r="T80" s="13"/>
      <c r="U80" s="13"/>
      <c r="V80" s="13"/>
      <c r="X80" s="13"/>
      <c r="Y80" s="13"/>
      <c r="Z80" s="13"/>
      <c r="AA80" s="13"/>
      <c r="AB80" s="13"/>
      <c r="AC80" s="13"/>
      <c r="AD80" s="13"/>
      <c r="AE80" s="13"/>
      <c r="AF80" s="13"/>
      <c r="AG80" s="13"/>
      <c r="AI80" s="13"/>
      <c r="AJ80" s="13"/>
      <c r="AK80" s="13"/>
      <c r="AL80" s="13"/>
      <c r="AM80" s="18"/>
      <c r="AN80" s="13"/>
      <c r="AO80" s="13"/>
      <c r="AP80" s="13"/>
      <c r="AQ80" s="13"/>
      <c r="AR80" s="14"/>
      <c r="AS80" s="13"/>
      <c r="AT80" s="13"/>
      <c r="AU80" s="13"/>
      <c r="AV80" s="13"/>
      <c r="AW80" s="14"/>
      <c r="AX80" s="13"/>
      <c r="AY80" s="13"/>
      <c r="AZ80" s="13"/>
      <c r="BA80" s="13"/>
      <c r="BB80" s="14"/>
      <c r="BC80" s="13">
        <v>-11611</v>
      </c>
      <c r="BD80" s="13">
        <v>-13392</v>
      </c>
      <c r="BE80" s="13">
        <v>-34094</v>
      </c>
      <c r="BF80" s="13">
        <v>-68994</v>
      </c>
      <c r="BG80" s="13"/>
      <c r="BH80" s="13">
        <v>-104872</v>
      </c>
      <c r="BI80" s="13">
        <v>-159866</v>
      </c>
      <c r="BJ80" s="13">
        <v>-183958</v>
      </c>
      <c r="BK80" s="13">
        <v>-428360</v>
      </c>
      <c r="BL80" s="13"/>
      <c r="BM80" s="13">
        <v>-451090</v>
      </c>
      <c r="BN80" s="13">
        <v>-481582</v>
      </c>
      <c r="BO80" s="13">
        <v>-525164</v>
      </c>
      <c r="BP80" s="14">
        <f>+BO80-'ESF GA Cons Acum.'!C97</f>
        <v>0</v>
      </c>
      <c r="BQ80" s="14">
        <f>+BK80-'ESF GA Cons Acum.'!E97</f>
        <v>0</v>
      </c>
    </row>
    <row r="81" spans="2:71" s="10" customFormat="1" ht="16.5" customHeight="1">
      <c r="B81" s="21" t="s">
        <v>58</v>
      </c>
      <c r="C81" s="12">
        <v>1143369</v>
      </c>
      <c r="D81" s="12"/>
      <c r="E81" s="12">
        <v>1574666</v>
      </c>
      <c r="F81" s="12">
        <v>1320750</v>
      </c>
      <c r="G81" s="12">
        <v>1342775</v>
      </c>
      <c r="H81" s="12">
        <v>1959674</v>
      </c>
      <c r="I81" s="2"/>
      <c r="J81" s="12">
        <v>832993</v>
      </c>
      <c r="K81" s="12">
        <v>1283551</v>
      </c>
      <c r="L81" s="12">
        <v>1657585</v>
      </c>
      <c r="M81" s="12">
        <f>1962250+12828</f>
        <v>1975078</v>
      </c>
      <c r="N81" s="13">
        <v>2028667</v>
      </c>
      <c r="P81" s="13">
        <v>1684719</v>
      </c>
      <c r="Q81" s="13">
        <v>1684812</v>
      </c>
      <c r="R81" s="13">
        <v>1487562</v>
      </c>
      <c r="S81" s="13">
        <f>1653819-1</f>
        <v>1653818</v>
      </c>
      <c r="T81" s="13">
        <v>1320770</v>
      </c>
      <c r="U81" s="13">
        <v>1656385</v>
      </c>
      <c r="V81" s="13">
        <v>1987756</v>
      </c>
      <c r="X81" s="13">
        <v>1709366</v>
      </c>
      <c r="Y81" s="13">
        <v>2152249</v>
      </c>
      <c r="Z81" s="13">
        <v>1954715</v>
      </c>
      <c r="AA81" s="13">
        <v>2159131</v>
      </c>
      <c r="AB81" s="13"/>
      <c r="AC81" s="13">
        <v>1608320</v>
      </c>
      <c r="AD81" s="13">
        <v>1818377</v>
      </c>
      <c r="AE81" s="13">
        <v>1767936</v>
      </c>
      <c r="AF81" s="13">
        <v>2375778</v>
      </c>
      <c r="AG81" s="13">
        <v>2375778</v>
      </c>
      <c r="AI81" s="13">
        <v>2342892</v>
      </c>
      <c r="AJ81" s="13">
        <v>2334625</v>
      </c>
      <c r="AK81" s="13">
        <v>2856255</v>
      </c>
      <c r="AL81" s="13">
        <v>2364976</v>
      </c>
      <c r="AM81" s="18"/>
      <c r="AN81" s="13">
        <v>3322310</v>
      </c>
      <c r="AO81" s="13">
        <v>2840869</v>
      </c>
      <c r="AP81" s="13">
        <v>3344086</v>
      </c>
      <c r="AQ81" s="13">
        <v>2591296</v>
      </c>
      <c r="AR81" s="14"/>
      <c r="AS81" s="13">
        <v>3203635</v>
      </c>
      <c r="AT81" s="13">
        <v>3232673</v>
      </c>
      <c r="AU81" s="13">
        <v>3278415</v>
      </c>
      <c r="AV81" s="13">
        <v>3996628</v>
      </c>
      <c r="AW81" s="14"/>
      <c r="AX81" s="13">
        <v>4425781</v>
      </c>
      <c r="AY81" s="13">
        <v>4829855</v>
      </c>
      <c r="AZ81" s="13">
        <v>5537316</v>
      </c>
      <c r="BA81" s="13">
        <v>6303067</v>
      </c>
      <c r="BB81" s="14"/>
      <c r="BC81" s="13">
        <v>6341481</v>
      </c>
      <c r="BD81" s="13">
        <v>5232795</v>
      </c>
      <c r="BE81" s="13">
        <v>4607952</v>
      </c>
      <c r="BF81" s="13">
        <v>3770085</v>
      </c>
      <c r="BG81" s="13"/>
      <c r="BH81" s="13">
        <v>979507</v>
      </c>
      <c r="BI81" s="13">
        <v>1916263</v>
      </c>
      <c r="BJ81" s="13">
        <v>2082158</v>
      </c>
      <c r="BK81" s="13">
        <v>2374619</v>
      </c>
      <c r="BL81" s="13"/>
      <c r="BM81" s="13">
        <v>2077635</v>
      </c>
      <c r="BN81" s="13">
        <v>1802784</v>
      </c>
      <c r="BO81" s="13">
        <v>178319</v>
      </c>
      <c r="BP81" s="14">
        <f>+BO81-'ESF GA Cons Acum.'!C98</f>
        <v>0</v>
      </c>
      <c r="BQ81" s="14">
        <f>+BK81-'ESF GA Cons Acum.'!E98</f>
        <v>0</v>
      </c>
    </row>
    <row r="82" spans="2:71" s="10" customFormat="1" ht="16.5" customHeight="1">
      <c r="B82" s="21" t="s">
        <v>59</v>
      </c>
      <c r="C82" s="12">
        <v>2331912</v>
      </c>
      <c r="D82" s="12"/>
      <c r="E82" s="23">
        <v>2430710</v>
      </c>
      <c r="F82" s="23">
        <v>2423797</v>
      </c>
      <c r="G82" s="23">
        <v>2424948</v>
      </c>
      <c r="H82" s="23">
        <f>2423257+7358</f>
        <v>2430615</v>
      </c>
      <c r="I82" s="2"/>
      <c r="J82" s="23">
        <v>2543398</v>
      </c>
      <c r="K82" s="23">
        <v>2573413</v>
      </c>
      <c r="L82" s="23">
        <v>2554541</v>
      </c>
      <c r="M82" s="12">
        <f>2459858+147001</f>
        <v>2606859</v>
      </c>
      <c r="N82" s="13">
        <v>2606859</v>
      </c>
      <c r="P82" s="13">
        <v>2743765</v>
      </c>
      <c r="Q82" s="13">
        <v>2743765</v>
      </c>
      <c r="R82" s="13">
        <v>2743765</v>
      </c>
      <c r="S82" s="13">
        <v>2743765</v>
      </c>
      <c r="T82" s="13">
        <v>2743765</v>
      </c>
      <c r="U82" s="13">
        <v>2743765</v>
      </c>
      <c r="V82" s="13">
        <v>2743764</v>
      </c>
      <c r="X82" s="13">
        <v>2829844</v>
      </c>
      <c r="Y82" s="13">
        <v>2829844</v>
      </c>
      <c r="Z82" s="13">
        <v>2829845</v>
      </c>
      <c r="AA82" s="13">
        <v>2829844</v>
      </c>
      <c r="AB82" s="13"/>
      <c r="AC82" s="13">
        <v>2829845</v>
      </c>
      <c r="AD82" s="13">
        <v>3001515</v>
      </c>
      <c r="AE82" s="13">
        <v>3001515</v>
      </c>
      <c r="AF82" s="13">
        <v>3001515</v>
      </c>
      <c r="AG82" s="13">
        <v>3001515</v>
      </c>
      <c r="AI82" s="13">
        <v>3513161</v>
      </c>
      <c r="AJ82" s="13">
        <v>3513161</v>
      </c>
      <c r="AK82" s="13">
        <v>3513161</v>
      </c>
      <c r="AL82" s="13">
        <v>3513161</v>
      </c>
      <c r="AM82" s="18"/>
      <c r="AN82" s="13">
        <v>3673583</v>
      </c>
      <c r="AO82" s="13">
        <v>3673583</v>
      </c>
      <c r="AP82" s="13">
        <v>3673583</v>
      </c>
      <c r="AQ82" s="13">
        <v>3673583</v>
      </c>
      <c r="AR82" s="14"/>
      <c r="AS82" s="13">
        <v>3339623</v>
      </c>
      <c r="AT82" s="13">
        <v>3339623</v>
      </c>
      <c r="AU82" s="13">
        <v>3339623</v>
      </c>
      <c r="AV82" s="13">
        <v>3339623</v>
      </c>
      <c r="AW82" s="14"/>
      <c r="AX82" s="13">
        <v>3241099</v>
      </c>
      <c r="AY82" s="13">
        <v>3241099</v>
      </c>
      <c r="AZ82" s="13">
        <v>3241099</v>
      </c>
      <c r="BA82" s="13">
        <v>3241099</v>
      </c>
      <c r="BB82" s="14"/>
      <c r="BC82" s="13">
        <v>3093302</v>
      </c>
      <c r="BD82" s="13">
        <v>3093389</v>
      </c>
      <c r="BE82" s="13">
        <v>3094102</v>
      </c>
      <c r="BF82" s="13">
        <v>3094653</v>
      </c>
      <c r="BG82" s="13"/>
      <c r="BH82" s="13">
        <v>3337154</v>
      </c>
      <c r="BI82" s="13">
        <v>3338842</v>
      </c>
      <c r="BJ82" s="13">
        <v>3339332</v>
      </c>
      <c r="BK82" s="13">
        <v>3344004</v>
      </c>
      <c r="BL82" s="13"/>
      <c r="BM82" s="13">
        <v>5299320</v>
      </c>
      <c r="BN82" s="13">
        <v>5300095</v>
      </c>
      <c r="BO82" s="13">
        <v>2739886</v>
      </c>
      <c r="BP82" s="14">
        <f>+BO82-'ESF GA Cons Acum.'!C99</f>
        <v>0</v>
      </c>
      <c r="BQ82" s="14">
        <f>+BK82-'ESF GA Cons Acum.'!E99</f>
        <v>0</v>
      </c>
    </row>
    <row r="83" spans="2:71" s="10" customFormat="1" ht="16.5" customHeight="1">
      <c r="B83" s="21" t="s">
        <v>60</v>
      </c>
      <c r="C83" s="12">
        <v>0</v>
      </c>
      <c r="D83" s="12"/>
      <c r="E83" s="23">
        <v>-20539</v>
      </c>
      <c r="F83" s="23">
        <v>-19793</v>
      </c>
      <c r="G83" s="23">
        <v>-19793</v>
      </c>
      <c r="H83" s="23">
        <v>-20227</v>
      </c>
      <c r="I83" s="2"/>
      <c r="J83" s="23">
        <v>-21627</v>
      </c>
      <c r="K83" s="23">
        <v>-19792</v>
      </c>
      <c r="L83" s="23">
        <v>259087</v>
      </c>
      <c r="M83" s="12">
        <v>241008</v>
      </c>
      <c r="N83" s="12">
        <f>421098+37788</f>
        <v>458886</v>
      </c>
      <c r="P83" s="13">
        <v>241008</v>
      </c>
      <c r="Q83" s="13">
        <f>535479-1</f>
        <v>535478</v>
      </c>
      <c r="R83" s="13">
        <v>241008</v>
      </c>
      <c r="S83" s="13">
        <v>365934</v>
      </c>
      <c r="T83" s="13">
        <v>241008</v>
      </c>
      <c r="U83" s="13">
        <f>154490-1</f>
        <v>154489</v>
      </c>
      <c r="V83" s="13">
        <f>-59093+37788</f>
        <v>-21305</v>
      </c>
      <c r="X83" s="13">
        <v>173072</v>
      </c>
      <c r="Y83" s="13">
        <v>-52568</v>
      </c>
      <c r="Z83" s="13">
        <v>-23313</v>
      </c>
      <c r="AA83" s="13">
        <v>-7225</v>
      </c>
      <c r="AB83" s="13"/>
      <c r="AC83" s="13">
        <v>-167939</v>
      </c>
      <c r="AD83" s="13">
        <v>-164106</v>
      </c>
      <c r="AE83" s="13">
        <v>-165908</v>
      </c>
      <c r="AF83" s="13">
        <v>-178650</v>
      </c>
      <c r="AG83" s="13">
        <v>-178650</v>
      </c>
      <c r="AI83" s="13">
        <v>-143411</v>
      </c>
      <c r="AJ83" s="13">
        <v>-134952</v>
      </c>
      <c r="AK83" s="13">
        <v>-129308</v>
      </c>
      <c r="AL83" s="13">
        <v>-165142</v>
      </c>
      <c r="AM83" s="18"/>
      <c r="AN83" s="13">
        <v>-138182</v>
      </c>
      <c r="AO83" s="13">
        <v>-146718</v>
      </c>
      <c r="AP83" s="13">
        <v>-141453</v>
      </c>
      <c r="AQ83" s="13">
        <v>-143779</v>
      </c>
      <c r="AR83" s="14"/>
      <c r="AS83" s="13">
        <v>-110978</v>
      </c>
      <c r="AT83" s="13">
        <v>-88036</v>
      </c>
      <c r="AU83" s="13">
        <v>-113374</v>
      </c>
      <c r="AV83" s="13">
        <v>-111432</v>
      </c>
      <c r="AW83" s="14"/>
      <c r="AX83" s="13">
        <v>-84876</v>
      </c>
      <c r="AY83" s="13">
        <v>-61913</v>
      </c>
      <c r="AZ83" s="13">
        <v>-185871</v>
      </c>
      <c r="BA83" s="13">
        <v>-151350</v>
      </c>
      <c r="BB83" s="14"/>
      <c r="BC83" s="13">
        <v>-147469</v>
      </c>
      <c r="BD83" s="13">
        <v>-180388</v>
      </c>
      <c r="BE83" s="13">
        <v>-152874</v>
      </c>
      <c r="BF83" s="13">
        <v>-133226</v>
      </c>
      <c r="BG83" s="13"/>
      <c r="BH83" s="13">
        <v>-311235</v>
      </c>
      <c r="BI83" s="13">
        <v>-193844</v>
      </c>
      <c r="BJ83" s="13">
        <v>-553133</v>
      </c>
      <c r="BK83" s="13">
        <v>-1267586</v>
      </c>
      <c r="BL83" s="13"/>
      <c r="BM83" s="13">
        <v>-1396959</v>
      </c>
      <c r="BN83" s="13">
        <v>-1402050</v>
      </c>
      <c r="BO83" s="13">
        <v>537695</v>
      </c>
      <c r="BP83" s="14">
        <f>+BO83-'ESF GA Cons Acum.'!C100</f>
        <v>0</v>
      </c>
      <c r="BQ83" s="14">
        <f>+BK83-'ESF GA Cons Acum.'!E100</f>
        <v>0</v>
      </c>
    </row>
    <row r="84" spans="2:71" ht="16.5" customHeight="1">
      <c r="B84" s="33" t="s">
        <v>61</v>
      </c>
      <c r="C84" s="12">
        <v>8906252</v>
      </c>
      <c r="D84" s="12"/>
      <c r="E84" s="12">
        <v>8845095</v>
      </c>
      <c r="F84" s="12">
        <v>8845095</v>
      </c>
      <c r="G84" s="12">
        <v>8845095</v>
      </c>
      <c r="H84" s="12">
        <f>8611302-7358</f>
        <v>8603944</v>
      </c>
      <c r="J84" s="12">
        <v>9242878</v>
      </c>
      <c r="K84" s="12">
        <v>9242878</v>
      </c>
      <c r="L84" s="12">
        <v>9242878</v>
      </c>
      <c r="M84" s="12">
        <f>9096767-159829</f>
        <v>8936938</v>
      </c>
      <c r="N84" s="12">
        <f>8814764-37788</f>
        <v>8776976</v>
      </c>
      <c r="P84" s="13">
        <v>9007749</v>
      </c>
      <c r="Q84" s="13">
        <v>8870137</v>
      </c>
      <c r="R84" s="13">
        <v>9007749</v>
      </c>
      <c r="S84" s="13">
        <v>8870137</v>
      </c>
      <c r="T84" s="13">
        <v>9173922</v>
      </c>
      <c r="U84" s="13">
        <v>9053460</v>
      </c>
      <c r="V84" s="13">
        <f>8936243-37788</f>
        <v>8898455</v>
      </c>
      <c r="X84" s="13">
        <v>9052809</v>
      </c>
      <c r="Y84" s="13">
        <v>9052810</v>
      </c>
      <c r="Z84" s="13">
        <v>9053167</v>
      </c>
      <c r="AA84" s="13">
        <v>9045006</v>
      </c>
      <c r="AB84" s="13"/>
      <c r="AC84" s="13">
        <v>9654742</v>
      </c>
      <c r="AD84" s="13">
        <v>9215320</v>
      </c>
      <c r="AE84" s="13">
        <v>9199945</v>
      </c>
      <c r="AF84" s="13">
        <v>9147229</v>
      </c>
      <c r="AG84" s="13">
        <v>9147229</v>
      </c>
      <c r="AI84" s="13">
        <v>9007211</v>
      </c>
      <c r="AJ84" s="13">
        <v>9023506</v>
      </c>
      <c r="AK84" s="13">
        <v>9023542</v>
      </c>
      <c r="AL84" s="13">
        <v>9022034</v>
      </c>
      <c r="AM84" s="13"/>
      <c r="AN84" s="13">
        <v>9253570</v>
      </c>
      <c r="AO84" s="13">
        <v>9253606</v>
      </c>
      <c r="AP84" s="13">
        <v>9253642</v>
      </c>
      <c r="AQ84" s="13">
        <v>9218462</v>
      </c>
      <c r="AR84" s="14"/>
      <c r="AS84" s="13">
        <v>9124738</v>
      </c>
      <c r="AT84" s="13">
        <v>9124775</v>
      </c>
      <c r="AU84" s="13">
        <v>9057776</v>
      </c>
      <c r="AV84" s="13">
        <v>9083552</v>
      </c>
      <c r="AW84" s="14"/>
      <c r="AX84" s="13">
        <v>9337215</v>
      </c>
      <c r="AY84" s="13">
        <v>9337903</v>
      </c>
      <c r="AZ84" s="13">
        <v>9337688</v>
      </c>
      <c r="BA84" s="13">
        <v>9218971</v>
      </c>
      <c r="BB84" s="14"/>
      <c r="BC84" s="13">
        <v>9753962</v>
      </c>
      <c r="BD84" s="13">
        <v>9752724</v>
      </c>
      <c r="BE84" s="13">
        <v>9751781</v>
      </c>
      <c r="BF84" s="13">
        <v>9750839</v>
      </c>
      <c r="BG84" s="13"/>
      <c r="BH84" s="13">
        <v>11502863</v>
      </c>
      <c r="BI84" s="13">
        <v>11494894</v>
      </c>
      <c r="BJ84" s="13">
        <v>11492754</v>
      </c>
      <c r="BK84" s="13">
        <v>11651505</v>
      </c>
      <c r="BL84" s="13"/>
      <c r="BM84" s="13">
        <v>13661648</v>
      </c>
      <c r="BN84" s="13">
        <v>13713137</v>
      </c>
      <c r="BO84" s="13">
        <v>5188413</v>
      </c>
      <c r="BP84" s="14">
        <f>+BO84-'ESF GA Cons Acum.'!C101</f>
        <v>0</v>
      </c>
      <c r="BQ84" s="14">
        <f>+BK84-'ESF GA Cons Acum.'!E101</f>
        <v>0</v>
      </c>
      <c r="BS84" s="2" t="s">
        <v>62</v>
      </c>
    </row>
    <row r="85" spans="2:71" ht="16.5" customHeight="1">
      <c r="B85" s="21" t="s">
        <v>63</v>
      </c>
      <c r="C85" s="23">
        <v>0</v>
      </c>
      <c r="D85" s="23"/>
      <c r="E85" s="23">
        <v>158313</v>
      </c>
      <c r="F85" s="23">
        <v>573250</v>
      </c>
      <c r="G85" s="23">
        <v>678618</v>
      </c>
      <c r="H85" s="23">
        <v>521133</v>
      </c>
      <c r="J85" s="23">
        <v>51649</v>
      </c>
      <c r="K85" s="23">
        <v>293490</v>
      </c>
      <c r="L85" s="23">
        <v>376276</v>
      </c>
      <c r="M85" s="16">
        <v>301000</v>
      </c>
      <c r="N85" s="12">
        <f>326829+1</f>
        <v>326830</v>
      </c>
      <c r="P85" s="13">
        <v>111905</v>
      </c>
      <c r="Q85" s="13">
        <v>105929</v>
      </c>
      <c r="R85" s="13">
        <v>252302</v>
      </c>
      <c r="S85" s="13">
        <v>252150</v>
      </c>
      <c r="T85" s="13">
        <v>389061</v>
      </c>
      <c r="U85" s="13">
        <v>409717</v>
      </c>
      <c r="V85" s="13">
        <v>589466</v>
      </c>
      <c r="X85" s="13">
        <v>120680</v>
      </c>
      <c r="Y85" s="13">
        <v>226494</v>
      </c>
      <c r="Z85" s="13">
        <v>566393</v>
      </c>
      <c r="AA85" s="13">
        <v>610659</v>
      </c>
      <c r="AB85" s="13"/>
      <c r="AC85" s="13">
        <v>109465</v>
      </c>
      <c r="AD85" s="13">
        <v>228574</v>
      </c>
      <c r="AE85" s="13">
        <v>494293</v>
      </c>
      <c r="AF85" s="13">
        <v>671327</v>
      </c>
      <c r="AG85" s="13">
        <v>671327</v>
      </c>
      <c r="AI85" s="13">
        <v>144233</v>
      </c>
      <c r="AJ85" s="13">
        <v>264816</v>
      </c>
      <c r="AK85" s="13">
        <v>566216</v>
      </c>
      <c r="AL85" s="13">
        <v>689565</v>
      </c>
      <c r="AM85" s="18"/>
      <c r="AN85" s="13">
        <v>-32189</v>
      </c>
      <c r="AO85" s="13">
        <v>-22582</v>
      </c>
      <c r="AP85" s="13">
        <v>-15726</v>
      </c>
      <c r="AQ85" s="13">
        <v>-100013</v>
      </c>
      <c r="AR85" s="14"/>
      <c r="AS85" s="13">
        <v>73889</v>
      </c>
      <c r="AT85" s="13">
        <v>285381</v>
      </c>
      <c r="AU85" s="13">
        <v>496760</v>
      </c>
      <c r="AV85" s="13">
        <v>589799</v>
      </c>
      <c r="AW85" s="14"/>
      <c r="AX85" s="13">
        <v>161408</v>
      </c>
      <c r="AY85" s="13">
        <v>390841</v>
      </c>
      <c r="AZ85" s="13">
        <v>582817</v>
      </c>
      <c r="BA85" s="13">
        <v>881424</v>
      </c>
      <c r="BB85" s="14"/>
      <c r="BC85" s="13">
        <v>405958</v>
      </c>
      <c r="BD85" s="13">
        <v>718498</v>
      </c>
      <c r="BE85" s="13">
        <v>908270</v>
      </c>
      <c r="BF85" s="13">
        <v>915503</v>
      </c>
      <c r="BG85" s="13"/>
      <c r="BH85" s="13">
        <v>3790726</v>
      </c>
      <c r="BI85" s="13">
        <v>3979680</v>
      </c>
      <c r="BJ85" s="13">
        <v>4311300</v>
      </c>
      <c r="BK85" s="13">
        <v>4544419</v>
      </c>
      <c r="BL85" s="13"/>
      <c r="BM85" s="13">
        <v>1185798</v>
      </c>
      <c r="BN85" s="13">
        <v>1224683</v>
      </c>
      <c r="BO85" s="13">
        <v>2643751</v>
      </c>
      <c r="BP85" s="14">
        <f>+BO85-'ESF GA Cons Acum.'!C102</f>
        <v>0</v>
      </c>
      <c r="BQ85" s="14">
        <f>+BK85-'ESF GA Cons Acum.'!E102</f>
        <v>0</v>
      </c>
      <c r="BR85" s="34">
        <f>+BO85-'ER GA Cons Acum.'!C65</f>
        <v>0</v>
      </c>
      <c r="BS85" s="34">
        <f>+BJ85-'ER GA Cons Acum.'!E65</f>
        <v>0</v>
      </c>
    </row>
    <row r="86" spans="2:71" ht="7.5" customHeight="1">
      <c r="B86" s="21"/>
      <c r="C86" s="23"/>
      <c r="D86" s="23"/>
      <c r="E86" s="23"/>
      <c r="F86" s="23"/>
      <c r="G86" s="23"/>
      <c r="H86" s="23"/>
      <c r="J86" s="23"/>
      <c r="K86" s="23"/>
      <c r="L86" s="23"/>
      <c r="M86" s="23"/>
      <c r="N86" s="23"/>
      <c r="P86" s="12"/>
      <c r="Q86" s="12"/>
      <c r="R86" s="12"/>
      <c r="S86" s="12"/>
      <c r="T86" s="12"/>
      <c r="U86" s="12"/>
      <c r="V86" s="12"/>
      <c r="X86" s="12"/>
      <c r="Y86" s="12"/>
      <c r="Z86" s="12"/>
      <c r="AA86" s="12">
        <v>0</v>
      </c>
      <c r="AB86" s="12"/>
      <c r="AC86" s="12"/>
      <c r="AD86" s="12"/>
      <c r="AE86" s="12"/>
      <c r="AF86" s="12"/>
      <c r="AG86" s="12"/>
      <c r="AI86" s="12"/>
      <c r="AJ86" s="12"/>
      <c r="AK86" s="12"/>
      <c r="AL86" s="20"/>
      <c r="AM86" s="18"/>
      <c r="AN86" s="12"/>
      <c r="AO86" s="12"/>
      <c r="AP86" s="12"/>
      <c r="AQ86" s="12"/>
      <c r="AR86" s="14"/>
      <c r="AS86" s="12"/>
      <c r="AT86" s="12"/>
      <c r="AU86" s="12">
        <v>0</v>
      </c>
      <c r="AV86" s="12">
        <v>0</v>
      </c>
      <c r="AW86" s="14"/>
      <c r="AX86" s="12">
        <v>0</v>
      </c>
      <c r="AY86" s="12"/>
      <c r="AZ86" s="12"/>
      <c r="BA86" s="12"/>
      <c r="BB86" s="14"/>
      <c r="BC86" s="12"/>
      <c r="BD86" s="12"/>
      <c r="BE86" s="12"/>
      <c r="BF86" s="12"/>
      <c r="BG86" s="12"/>
      <c r="BH86" s="12"/>
      <c r="BI86" s="12"/>
      <c r="BJ86" s="12"/>
      <c r="BK86" s="12"/>
      <c r="BL86" s="12"/>
      <c r="BM86" s="12"/>
      <c r="BN86" s="12"/>
      <c r="BO86" s="12"/>
      <c r="BP86" s="14"/>
      <c r="BQ86" s="14"/>
    </row>
    <row r="87" spans="2:71" ht="16.5" customHeight="1">
      <c r="B87" s="24" t="s">
        <v>54</v>
      </c>
      <c r="C87" s="35">
        <f>+SUM(C78:C85)+C92</f>
        <v>18983389</v>
      </c>
      <c r="D87" s="35"/>
      <c r="E87" s="35">
        <f>+SUM(E78:E85)+E92</f>
        <v>19568688</v>
      </c>
      <c r="F87" s="35">
        <f>+SUM(F78:F85)+F92</f>
        <v>19721544</v>
      </c>
      <c r="G87" s="35">
        <f>+SUM(G78:G85)+G92</f>
        <v>19940759</v>
      </c>
      <c r="H87" s="35">
        <f>+SUM(H78:H85)+H92</f>
        <v>20387361</v>
      </c>
      <c r="J87" s="35">
        <f>+SUM(J78:J85)+J92</f>
        <v>18909158</v>
      </c>
      <c r="K87" s="35">
        <f>+SUM(K78:K85)+K92</f>
        <v>20047792</v>
      </c>
      <c r="L87" s="35">
        <f>+SUM(L78:L85)+L92</f>
        <v>22304092</v>
      </c>
      <c r="M87" s="35">
        <f>+SUM(M78:M85)+M92</f>
        <v>22889799</v>
      </c>
      <c r="N87" s="35">
        <f>+SUM(N78:N85)+N92</f>
        <v>22974090</v>
      </c>
      <c r="P87" s="36">
        <f t="shared" ref="P87:V87" si="87">+SUM(P78:P85)+P92</f>
        <v>22316545</v>
      </c>
      <c r="Q87" s="36">
        <f t="shared" si="87"/>
        <v>22416574</v>
      </c>
      <c r="R87" s="36">
        <f t="shared" si="87"/>
        <v>22378748</v>
      </c>
      <c r="S87" s="36">
        <f t="shared" si="87"/>
        <v>22482543</v>
      </c>
      <c r="T87" s="36">
        <f t="shared" si="87"/>
        <v>22786490</v>
      </c>
      <c r="U87" s="36">
        <f t="shared" si="87"/>
        <v>22741000</v>
      </c>
      <c r="V87" s="36">
        <f t="shared" si="87"/>
        <v>23634596</v>
      </c>
      <c r="X87" s="36">
        <f>+SUM(X78:X85)+X92</f>
        <v>23135940</v>
      </c>
      <c r="Y87" s="36">
        <f t="shared" ref="Y87:AG87" si="88">+SUM(Y78:Y85)+Y92</f>
        <v>23696395</v>
      </c>
      <c r="Z87" s="36">
        <f t="shared" si="88"/>
        <v>23875786</v>
      </c>
      <c r="AA87" s="36">
        <f t="shared" si="88"/>
        <v>24307148</v>
      </c>
      <c r="AB87" s="36"/>
      <c r="AC87" s="36">
        <f t="shared" si="88"/>
        <v>23594286</v>
      </c>
      <c r="AD87" s="36">
        <f t="shared" si="88"/>
        <v>23888563</v>
      </c>
      <c r="AE87" s="36">
        <f t="shared" si="88"/>
        <v>24279950</v>
      </c>
      <c r="AF87" s="36">
        <f t="shared" si="88"/>
        <v>25572737</v>
      </c>
      <c r="AG87" s="36">
        <f t="shared" si="88"/>
        <v>25572737</v>
      </c>
      <c r="AI87" s="36">
        <f t="shared" ref="AI87:AL87" si="89">+SUM(AI78:AI85)+AI92</f>
        <v>24943947</v>
      </c>
      <c r="AJ87" s="36">
        <f t="shared" si="89"/>
        <v>25179773</v>
      </c>
      <c r="AK87" s="36">
        <f t="shared" si="89"/>
        <v>26633443</v>
      </c>
      <c r="AL87" s="18">
        <f t="shared" si="89"/>
        <v>26490257</v>
      </c>
      <c r="AM87" s="18"/>
      <c r="AN87" s="18">
        <f t="shared" ref="AN87:AZ87" si="90">+SUM(AN78:AN85)+AN92</f>
        <v>27828783</v>
      </c>
      <c r="AO87" s="18">
        <f t="shared" si="90"/>
        <v>26956418</v>
      </c>
      <c r="AP87" s="18">
        <f t="shared" si="90"/>
        <v>27811046</v>
      </c>
      <c r="AQ87" s="18">
        <f t="shared" si="90"/>
        <v>26229851</v>
      </c>
      <c r="AR87" s="14"/>
      <c r="AS87" s="18">
        <f t="shared" si="90"/>
        <v>26797362</v>
      </c>
      <c r="AT87" s="18">
        <f t="shared" si="90"/>
        <v>27485409</v>
      </c>
      <c r="AU87" s="18">
        <f t="shared" si="90"/>
        <v>27820997</v>
      </c>
      <c r="AV87" s="18">
        <f t="shared" si="90"/>
        <v>28806558</v>
      </c>
      <c r="AW87" s="14"/>
      <c r="AX87" s="18">
        <f t="shared" si="90"/>
        <v>28055023</v>
      </c>
      <c r="AY87" s="18">
        <f t="shared" si="90"/>
        <v>29092609</v>
      </c>
      <c r="AZ87" s="18">
        <f t="shared" si="90"/>
        <v>30542913</v>
      </c>
      <c r="BA87" s="18">
        <f t="shared" ref="BA87:BC87" si="91">+SUM(BA78:BA85)+BA92</f>
        <v>32029904</v>
      </c>
      <c r="BB87" s="14"/>
      <c r="BC87" s="18">
        <f t="shared" si="91"/>
        <v>31409244</v>
      </c>
      <c r="BD87" s="18">
        <f t="shared" ref="BD87:BE87" si="92">+SUM(BD78:BD85)+BD92</f>
        <v>29817865</v>
      </c>
      <c r="BE87" s="18">
        <f t="shared" si="92"/>
        <v>29332150</v>
      </c>
      <c r="BF87" s="18">
        <f t="shared" ref="BF87:BH87" si="93">+SUM(BF78:BF85)+BF92</f>
        <v>27789414</v>
      </c>
      <c r="BG87" s="18"/>
      <c r="BH87" s="18">
        <f t="shared" si="93"/>
        <v>31076610</v>
      </c>
      <c r="BI87" s="18">
        <f t="shared" ref="BI87:BK87" si="94">+SUM(BI78:BI85)+BI92</f>
        <v>32489118</v>
      </c>
      <c r="BJ87" s="18">
        <f t="shared" si="94"/>
        <v>32431416</v>
      </c>
      <c r="BK87" s="18">
        <f t="shared" si="94"/>
        <v>32555069</v>
      </c>
      <c r="BL87" s="18"/>
      <c r="BM87" s="18">
        <f t="shared" ref="BM87:BN87" si="95">+SUM(BM78:BM85)+BM92</f>
        <v>32588112</v>
      </c>
      <c r="BN87" s="18">
        <f t="shared" si="95"/>
        <v>32189554</v>
      </c>
      <c r="BO87" s="18">
        <f t="shared" ref="BO87" si="96">+SUM(BO78:BO85)+BO92</f>
        <v>20380006</v>
      </c>
      <c r="BP87" s="14">
        <f>+BO87-'ESF GA Cons Acum.'!C104</f>
        <v>0</v>
      </c>
      <c r="BQ87" s="14">
        <f>+BK87-'ESF GA Cons Acum.'!E104</f>
        <v>0</v>
      </c>
    </row>
    <row r="88" spans="2:71" ht="7.5" customHeight="1">
      <c r="C88" s="10"/>
      <c r="D88" s="10"/>
      <c r="J88" s="10"/>
      <c r="K88" s="10"/>
      <c r="L88" s="10"/>
      <c r="M88" s="10"/>
      <c r="N88" s="10"/>
      <c r="P88" s="10"/>
      <c r="Q88" s="10"/>
      <c r="R88" s="10"/>
      <c r="S88" s="10"/>
      <c r="T88" s="10"/>
      <c r="U88" s="10"/>
      <c r="V88" s="10"/>
      <c r="X88" s="10"/>
      <c r="Y88" s="10"/>
      <c r="Z88" s="10"/>
      <c r="AA88" s="10"/>
      <c r="AB88" s="10"/>
      <c r="AC88" s="10"/>
      <c r="AD88" s="10"/>
      <c r="AE88" s="10"/>
      <c r="AF88" s="10"/>
      <c r="AG88" s="10"/>
      <c r="AI88" s="10"/>
      <c r="AJ88" s="10"/>
      <c r="AK88" s="10"/>
      <c r="AL88" s="18"/>
      <c r="AM88" s="30"/>
      <c r="AN88" s="10"/>
      <c r="AO88" s="10"/>
      <c r="AP88" s="10"/>
      <c r="AQ88" s="10"/>
      <c r="AR88" s="14"/>
      <c r="AS88" s="10"/>
      <c r="AT88" s="10"/>
      <c r="AU88" s="10"/>
      <c r="AV88" s="10"/>
      <c r="AW88" s="14"/>
      <c r="AX88" s="10"/>
      <c r="AY88" s="10"/>
      <c r="AZ88" s="10"/>
      <c r="BA88" s="10"/>
      <c r="BB88" s="14"/>
      <c r="BC88" s="10"/>
      <c r="BD88" s="10"/>
      <c r="BE88" s="10"/>
      <c r="BF88" s="10"/>
      <c r="BG88" s="10"/>
      <c r="BH88" s="10"/>
      <c r="BI88" s="10"/>
      <c r="BJ88" s="10"/>
      <c r="BK88" s="10"/>
      <c r="BL88" s="10"/>
      <c r="BM88" s="10"/>
      <c r="BN88" s="10"/>
      <c r="BO88" s="10"/>
      <c r="BP88" s="14"/>
      <c r="BQ88" s="14"/>
    </row>
    <row r="89" spans="2:71" ht="13">
      <c r="B89" s="24" t="s">
        <v>64</v>
      </c>
      <c r="C89" s="25">
        <f>+SUM(C78:C85)</f>
        <v>13100502</v>
      </c>
      <c r="D89" s="25"/>
      <c r="E89" s="25">
        <f>+SUM(E78:E85)</f>
        <v>13726788</v>
      </c>
      <c r="F89" s="25">
        <f>+SUM(F78:F85)</f>
        <v>13891872</v>
      </c>
      <c r="G89" s="25">
        <f>+SUM(G78:G85)</f>
        <v>14003814</v>
      </c>
      <c r="H89" s="25">
        <f>+SUM(H78:H85)</f>
        <v>14226700</v>
      </c>
      <c r="J89" s="25">
        <f>+SUM(J78:J85)</f>
        <v>13390357</v>
      </c>
      <c r="K89" s="25">
        <f>+SUM(K78:K85)</f>
        <v>14105728</v>
      </c>
      <c r="L89" s="25">
        <f>+SUM(L78:L85)</f>
        <v>14821391</v>
      </c>
      <c r="M89" s="25">
        <f>+SUM(M78:M85)</f>
        <v>14792611</v>
      </c>
      <c r="N89" s="25">
        <f>+SUM(N78:N85)</f>
        <v>14929946</v>
      </c>
      <c r="P89" s="18">
        <f t="shared" ref="P89:V89" si="97">+SUM(P78:P85)</f>
        <v>14520874</v>
      </c>
      <c r="Q89" s="18">
        <f t="shared" si="97"/>
        <v>14671849</v>
      </c>
      <c r="R89" s="18">
        <f t="shared" si="97"/>
        <v>14464114</v>
      </c>
      <c r="S89" s="18">
        <f t="shared" si="97"/>
        <v>14617532</v>
      </c>
      <c r="T89" s="18">
        <f t="shared" si="97"/>
        <v>14600254</v>
      </c>
      <c r="U89" s="18">
        <f t="shared" si="97"/>
        <v>14749544</v>
      </c>
      <c r="V89" s="18">
        <f t="shared" si="97"/>
        <v>15606828</v>
      </c>
      <c r="X89" s="18">
        <f>+SUM(X78:X85)</f>
        <v>15294463</v>
      </c>
      <c r="Y89" s="18">
        <f t="shared" ref="Y89:AG89" si="98">+SUM(Y78:Y85)</f>
        <v>15617521</v>
      </c>
      <c r="Z89" s="18">
        <f t="shared" si="98"/>
        <v>15789499</v>
      </c>
      <c r="AA89" s="18">
        <f t="shared" si="98"/>
        <v>16046107</v>
      </c>
      <c r="AB89" s="18"/>
      <c r="AC89" s="18">
        <f t="shared" si="98"/>
        <v>15443125</v>
      </c>
      <c r="AD89" s="18">
        <f t="shared" si="98"/>
        <v>15508372</v>
      </c>
      <c r="AE89" s="18">
        <f t="shared" si="98"/>
        <v>15706473</v>
      </c>
      <c r="AF89" s="18">
        <f t="shared" si="98"/>
        <v>16425891</v>
      </c>
      <c r="AG89" s="18">
        <f t="shared" si="98"/>
        <v>16425891</v>
      </c>
      <c r="AI89" s="18">
        <f t="shared" ref="AI89:AL89" si="99">+SUM(AI78:AI85)</f>
        <v>16272778</v>
      </c>
      <c r="AJ89" s="18">
        <f t="shared" si="99"/>
        <v>16409848</v>
      </c>
      <c r="AK89" s="18">
        <f t="shared" si="99"/>
        <v>17238558</v>
      </c>
      <c r="AL89" s="18">
        <f t="shared" si="99"/>
        <v>16833286</v>
      </c>
      <c r="AM89" s="20"/>
      <c r="AN89" s="18">
        <f t="shared" ref="AN89:AQ89" si="100">+SUM(AN78:AN85)</f>
        <v>17487784</v>
      </c>
      <c r="AO89" s="18">
        <f t="shared" si="100"/>
        <v>17007450</v>
      </c>
      <c r="AP89" s="18">
        <f t="shared" si="100"/>
        <v>17522824</v>
      </c>
      <c r="AQ89" s="18">
        <f t="shared" si="100"/>
        <v>16648241</v>
      </c>
      <c r="AR89" s="14"/>
      <c r="AS89" s="18">
        <f t="shared" ref="AS89:AV89" si="101">+SUM(AS78:AS85)</f>
        <v>17039599</v>
      </c>
      <c r="AT89" s="18">
        <f t="shared" si="101"/>
        <v>17452486</v>
      </c>
      <c r="AU89" s="18">
        <f t="shared" si="101"/>
        <v>17617270</v>
      </c>
      <c r="AV89" s="18">
        <f t="shared" si="101"/>
        <v>18456240</v>
      </c>
      <c r="AW89" s="14"/>
      <c r="AX89" s="18">
        <f t="shared" ref="AX89:AZ89" si="102">+SUM(AX78:AX85)</f>
        <v>18638697</v>
      </c>
      <c r="AY89" s="18">
        <f t="shared" si="102"/>
        <v>19295855</v>
      </c>
      <c r="AZ89" s="18">
        <f t="shared" si="102"/>
        <v>20071119</v>
      </c>
      <c r="BA89" s="18">
        <f t="shared" ref="BA89:BC89" si="103">+SUM(BA78:BA85)</f>
        <v>21051281</v>
      </c>
      <c r="BB89" s="14"/>
      <c r="BC89" s="18">
        <f t="shared" si="103"/>
        <v>20993693</v>
      </c>
      <c r="BD89" s="18">
        <f t="shared" ref="BD89:BE89" si="104">+SUM(BD78:BD85)</f>
        <v>20161696</v>
      </c>
      <c r="BE89" s="18">
        <f t="shared" si="104"/>
        <v>19733207</v>
      </c>
      <c r="BF89" s="18">
        <f t="shared" ref="BF89:BH89" si="105">+SUM(BF78:BF85)</f>
        <v>18886930</v>
      </c>
      <c r="BG89" s="18"/>
      <c r="BH89" s="18">
        <f t="shared" si="105"/>
        <v>20752213</v>
      </c>
      <c r="BI89" s="18">
        <f t="shared" ref="BI89:BK89" si="106">+SUM(BI78:BI85)</f>
        <v>21934039</v>
      </c>
      <c r="BJ89" s="18">
        <f t="shared" si="106"/>
        <v>22046523</v>
      </c>
      <c r="BK89" s="18">
        <f t="shared" si="106"/>
        <v>21776671</v>
      </c>
      <c r="BL89" s="18"/>
      <c r="BM89" s="18">
        <f t="shared" ref="BM89:BN89" si="107">+SUM(BM78:BM85)</f>
        <v>21934422</v>
      </c>
      <c r="BN89" s="18">
        <f t="shared" si="107"/>
        <v>21715137</v>
      </c>
      <c r="BO89" s="18">
        <f t="shared" ref="BO89" si="108">+SUM(BO78:BO85)</f>
        <v>10817834</v>
      </c>
      <c r="BP89" s="14">
        <f>+BO89-SUM('ESF GA Cons Acum.'!C95:C102)</f>
        <v>0</v>
      </c>
      <c r="BQ89" s="14">
        <f>+BK89-SUM('ESF GA Cons Acum.'!E95:E102)</f>
        <v>0</v>
      </c>
    </row>
    <row r="90" spans="2:71" ht="13">
      <c r="B90" s="27" t="s">
        <v>35</v>
      </c>
      <c r="C90" s="28">
        <f>+C89/C95</f>
        <v>6798.9921269650149</v>
      </c>
      <c r="D90" s="28"/>
      <c r="E90" s="28">
        <f>+E89/E95</f>
        <v>6984.5053222884826</v>
      </c>
      <c r="F90" s="28">
        <f>+F89/F95</f>
        <v>7384.6193101175322</v>
      </c>
      <c r="G90" s="28">
        <f>+G89/G95</f>
        <v>6903.5997397065785</v>
      </c>
      <c r="H90" s="28">
        <f>+H89/H95</f>
        <v>5946.4735042592147</v>
      </c>
      <c r="J90" s="28">
        <f>+J89/J95</f>
        <v>5198.019060189049</v>
      </c>
      <c r="K90" s="28">
        <f>+K89/K95</f>
        <v>5456.5291225518449</v>
      </c>
      <c r="L90" s="28">
        <f>+L89/L95</f>
        <v>4747.4938659935806</v>
      </c>
      <c r="M90" s="28">
        <f>+M89/M95</f>
        <v>4696.8572489974504</v>
      </c>
      <c r="N90" s="28">
        <f>+N89/N95</f>
        <v>4740.4629985362617</v>
      </c>
      <c r="P90" s="30">
        <f t="shared" ref="P90:V90" si="109">+P89/P95</f>
        <v>4804.4978245405064</v>
      </c>
      <c r="Q90" s="30">
        <f t="shared" si="109"/>
        <v>4854.4506757986337</v>
      </c>
      <c r="R90" s="30">
        <f t="shared" si="109"/>
        <v>4960.0034291788834</v>
      </c>
      <c r="S90" s="30">
        <f t="shared" si="109"/>
        <v>5012.6132057678788</v>
      </c>
      <c r="T90" s="30">
        <f t="shared" si="109"/>
        <v>5069.6206531363396</v>
      </c>
      <c r="U90" s="30">
        <f t="shared" si="109"/>
        <v>5121.4583586520603</v>
      </c>
      <c r="V90" s="30">
        <f t="shared" si="109"/>
        <v>5201.0450859963139</v>
      </c>
      <c r="X90" s="30">
        <f>+X89/X95</f>
        <v>5310.1349193122796</v>
      </c>
      <c r="Y90" s="30">
        <f t="shared" ref="Y90:AA90" si="110">+Y89/Y95</f>
        <v>5140.2845707740607</v>
      </c>
      <c r="Z90" s="30">
        <f t="shared" si="110"/>
        <v>5376.6677903884329</v>
      </c>
      <c r="AA90" s="30">
        <f t="shared" si="110"/>
        <v>5377.3817024128684</v>
      </c>
      <c r="AB90" s="30"/>
      <c r="AC90" s="30">
        <f t="shared" ref="AC90:AG90" si="111">+AC89/AC95</f>
        <v>5554.1419256456647</v>
      </c>
      <c r="AD90" s="30">
        <f t="shared" si="111"/>
        <v>5291.5149447249896</v>
      </c>
      <c r="AE90" s="30">
        <f t="shared" si="111"/>
        <v>5284.4958919042592</v>
      </c>
      <c r="AF90" s="30">
        <f t="shared" si="111"/>
        <v>5054.5091160858528</v>
      </c>
      <c r="AG90" s="30">
        <f t="shared" si="111"/>
        <v>5054.5091160858528</v>
      </c>
      <c r="AI90" s="30">
        <f t="shared" ref="AI90:AL90" si="112">+AI89/AI95</f>
        <v>5125.6234270613177</v>
      </c>
      <c r="AJ90" s="30">
        <f t="shared" si="112"/>
        <v>5119.0072590129366</v>
      </c>
      <c r="AK90" s="30">
        <f t="shared" si="112"/>
        <v>4979.3495686032102</v>
      </c>
      <c r="AL90" s="30">
        <f t="shared" si="112"/>
        <v>5136.5782359008163</v>
      </c>
      <c r="AM90" s="30"/>
      <c r="AN90" s="30">
        <f t="shared" ref="AN90:AQ90" si="113">+AN89/AN95</f>
        <v>4302.2389730393306</v>
      </c>
      <c r="AO90" s="30">
        <f t="shared" si="113"/>
        <v>4524.5696225767579</v>
      </c>
      <c r="AP90" s="30">
        <f t="shared" si="113"/>
        <v>4517.4258947031922</v>
      </c>
      <c r="AQ90" s="30">
        <f t="shared" si="113"/>
        <v>4850.1794610342313</v>
      </c>
      <c r="AR90" s="14"/>
      <c r="AS90" s="30">
        <f t="shared" ref="AS90:AV90" si="114">+AS89/AS95</f>
        <v>4559.8098428915873</v>
      </c>
      <c r="AT90" s="30">
        <f t="shared" si="114"/>
        <v>4645.7330561374838</v>
      </c>
      <c r="AU90" s="30">
        <f t="shared" si="114"/>
        <v>4594.1956043268283</v>
      </c>
      <c r="AV90" s="30">
        <f t="shared" si="114"/>
        <v>4635.8950657597288</v>
      </c>
      <c r="AW90" s="14"/>
      <c r="AX90" s="30">
        <f t="shared" ref="AX90:AZ90" si="115">+AX89/AX95</f>
        <v>4972.7724344009712</v>
      </c>
      <c r="AY90" s="30">
        <f t="shared" si="115"/>
        <v>4674.9837067259114</v>
      </c>
      <c r="AZ90" s="30">
        <f t="shared" si="115"/>
        <v>4428.686891420477</v>
      </c>
      <c r="BA90" s="30">
        <f t="shared" ref="BA90:BC90" si="116">+BA89/BA95</f>
        <v>4376.3837262483894</v>
      </c>
      <c r="BB90" s="14"/>
      <c r="BC90" s="30">
        <f t="shared" si="116"/>
        <v>4536.9500807171398</v>
      </c>
      <c r="BD90" s="30">
        <f t="shared" ref="BD90:BE90" si="117">+BD89/BD95</f>
        <v>4810.3910977076221</v>
      </c>
      <c r="BE90" s="30">
        <f t="shared" si="117"/>
        <v>4867.8774767129771</v>
      </c>
      <c r="BF90" s="30">
        <f t="shared" ref="BF90:BH90" si="118">+BF89/BF95</f>
        <v>4941.5706230949354</v>
      </c>
      <c r="BG90" s="30"/>
      <c r="BH90" s="30">
        <f t="shared" si="118"/>
        <v>5400.9871691434819</v>
      </c>
      <c r="BI90" s="30">
        <f t="shared" ref="BI90:BK90" si="119">+BI89/BI95</f>
        <v>5287.8079767793943</v>
      </c>
      <c r="BJ90" s="30">
        <f t="shared" si="119"/>
        <v>5294.2870316338513</v>
      </c>
      <c r="BK90" s="30">
        <f t="shared" si="119"/>
        <v>4938.9725910889856</v>
      </c>
      <c r="BL90" s="30"/>
      <c r="BM90" s="30">
        <f t="shared" ref="BM90:BN90" si="120">+BM89/BM95</f>
        <v>5231.7366197821384</v>
      </c>
      <c r="BN90" s="30">
        <f t="shared" si="120"/>
        <v>5335.8471325684886</v>
      </c>
      <c r="BO90" s="30">
        <f t="shared" ref="BO90" si="121">+BO89/BO95</f>
        <v>2772.8864042406485</v>
      </c>
      <c r="BP90" s="14"/>
      <c r="BQ90" s="14"/>
    </row>
    <row r="91" spans="2:71" ht="13">
      <c r="C91" s="10"/>
      <c r="D91" s="10"/>
      <c r="J91" s="10"/>
      <c r="K91" s="10"/>
      <c r="L91" s="10"/>
      <c r="M91" s="10"/>
      <c r="N91" s="10"/>
      <c r="P91" s="10"/>
      <c r="Q91" s="10"/>
      <c r="R91" s="10"/>
      <c r="S91" s="10"/>
      <c r="T91" s="10"/>
      <c r="U91" s="10"/>
      <c r="V91" s="10"/>
      <c r="X91" s="10"/>
      <c r="Y91" s="10"/>
      <c r="Z91" s="10"/>
      <c r="AA91" s="10"/>
      <c r="AB91" s="10"/>
      <c r="AC91" s="10"/>
      <c r="AD91" s="10"/>
      <c r="AE91" s="10"/>
      <c r="AF91" s="10"/>
      <c r="AG91" s="10"/>
      <c r="AI91" s="10"/>
      <c r="AJ91" s="10"/>
      <c r="AK91" s="10"/>
      <c r="AL91" s="10"/>
      <c r="AM91" s="18"/>
      <c r="AN91" s="10"/>
      <c r="AO91" s="10"/>
      <c r="AP91" s="10"/>
      <c r="AQ91" s="10"/>
      <c r="AR91" s="14"/>
      <c r="AS91" s="10"/>
      <c r="AT91" s="10"/>
      <c r="AU91" s="10"/>
      <c r="AV91" s="10"/>
      <c r="AW91" s="14"/>
      <c r="AX91" s="10"/>
      <c r="AY91" s="10"/>
      <c r="AZ91" s="10"/>
      <c r="BA91" s="10"/>
      <c r="BB91" s="14"/>
      <c r="BC91" s="10"/>
      <c r="BD91" s="10"/>
      <c r="BE91" s="10"/>
      <c r="BF91" s="10"/>
      <c r="BG91" s="10"/>
      <c r="BH91" s="10"/>
      <c r="BI91" s="10"/>
      <c r="BJ91" s="10"/>
      <c r="BK91" s="10"/>
      <c r="BL91" s="10"/>
      <c r="BM91" s="10"/>
      <c r="BN91" s="10"/>
      <c r="BO91" s="10"/>
      <c r="BP91" s="14"/>
      <c r="BQ91" s="14"/>
    </row>
    <row r="92" spans="2:71" ht="21" customHeight="1">
      <c r="B92" s="24" t="s">
        <v>65</v>
      </c>
      <c r="C92" s="25">
        <v>5882887</v>
      </c>
      <c r="D92" s="25"/>
      <c r="E92" s="25">
        <v>5841900</v>
      </c>
      <c r="F92" s="25">
        <v>5829672</v>
      </c>
      <c r="G92" s="25">
        <v>5936945</v>
      </c>
      <c r="H92" s="25">
        <v>6160661</v>
      </c>
      <c r="J92" s="25">
        <v>5518801</v>
      </c>
      <c r="K92" s="25">
        <v>5942064</v>
      </c>
      <c r="L92" s="25">
        <v>7482701</v>
      </c>
      <c r="M92" s="25">
        <v>8097188</v>
      </c>
      <c r="N92" s="25">
        <v>8044144</v>
      </c>
      <c r="P92" s="18">
        <v>7795671</v>
      </c>
      <c r="Q92" s="18">
        <v>7744725</v>
      </c>
      <c r="R92" s="18">
        <v>7914634</v>
      </c>
      <c r="S92" s="18">
        <v>7865011</v>
      </c>
      <c r="T92" s="18">
        <v>8186236</v>
      </c>
      <c r="U92" s="18">
        <v>7991456</v>
      </c>
      <c r="V92" s="18">
        <v>8027768</v>
      </c>
      <c r="X92" s="18">
        <v>7841477</v>
      </c>
      <c r="Y92" s="18">
        <v>8078874</v>
      </c>
      <c r="Z92" s="18">
        <v>8086287</v>
      </c>
      <c r="AA92" s="18">
        <v>8261041</v>
      </c>
      <c r="AB92" s="18"/>
      <c r="AC92" s="18">
        <v>8151161</v>
      </c>
      <c r="AD92" s="18">
        <v>8380191</v>
      </c>
      <c r="AE92" s="18">
        <v>8573477</v>
      </c>
      <c r="AF92" s="18">
        <v>9146846</v>
      </c>
      <c r="AG92" s="18">
        <v>9146846</v>
      </c>
      <c r="AI92" s="18">
        <v>8671169</v>
      </c>
      <c r="AJ92" s="18">
        <v>8769925</v>
      </c>
      <c r="AK92" s="18">
        <v>9394885</v>
      </c>
      <c r="AL92" s="18">
        <v>9656971</v>
      </c>
      <c r="AM92" s="18"/>
      <c r="AN92" s="18">
        <v>10340999</v>
      </c>
      <c r="AO92" s="18">
        <v>9948968</v>
      </c>
      <c r="AP92" s="18">
        <v>10288222</v>
      </c>
      <c r="AQ92" s="18">
        <v>9581610</v>
      </c>
      <c r="AR92" s="14"/>
      <c r="AS92" s="18">
        <v>9757763</v>
      </c>
      <c r="AT92" s="18">
        <v>10032923</v>
      </c>
      <c r="AU92" s="18">
        <v>10203727</v>
      </c>
      <c r="AV92" s="18">
        <v>10350318</v>
      </c>
      <c r="AW92" s="14"/>
      <c r="AX92" s="18">
        <v>9416326</v>
      </c>
      <c r="AY92" s="18">
        <v>9796754</v>
      </c>
      <c r="AZ92" s="18">
        <v>10471794</v>
      </c>
      <c r="BA92" s="18">
        <v>10978623</v>
      </c>
      <c r="BB92" s="14"/>
      <c r="BC92" s="18">
        <v>10415551</v>
      </c>
      <c r="BD92" s="18">
        <v>9656169</v>
      </c>
      <c r="BE92" s="18">
        <v>9598943</v>
      </c>
      <c r="BF92" s="18">
        <v>8902484</v>
      </c>
      <c r="BG92" s="18"/>
      <c r="BH92" s="18">
        <v>10324397</v>
      </c>
      <c r="BI92" s="18">
        <v>10555079</v>
      </c>
      <c r="BJ92" s="18">
        <v>10384893</v>
      </c>
      <c r="BK92" s="18">
        <v>10778398</v>
      </c>
      <c r="BL92" s="18"/>
      <c r="BM92" s="18">
        <v>10653690</v>
      </c>
      <c r="BN92" s="18">
        <v>10474417</v>
      </c>
      <c r="BO92" s="18">
        <v>9562172</v>
      </c>
      <c r="BP92" s="14">
        <f>+BO92-'ESF GA Cons Acum.'!C103</f>
        <v>0</v>
      </c>
      <c r="BQ92" s="14">
        <f>+BK92-'ESF GA Cons Acum.'!E103</f>
        <v>0</v>
      </c>
    </row>
    <row r="93" spans="2:71" ht="13">
      <c r="B93" s="27" t="s">
        <v>35</v>
      </c>
      <c r="C93" s="28">
        <f>+C92/C95</f>
        <v>3053.1427266546607</v>
      </c>
      <c r="D93" s="28"/>
      <c r="E93" s="28">
        <f>+E92/E95</f>
        <v>2972.493029125028</v>
      </c>
      <c r="F93" s="28">
        <f>+F92/F95</f>
        <v>3098.9278063353513</v>
      </c>
      <c r="G93" s="28">
        <f>+G92/G95</f>
        <v>2926.7949400536363</v>
      </c>
      <c r="H93" s="28">
        <f>+H92/H95</f>
        <v>2575.0319754562252</v>
      </c>
      <c r="J93" s="28">
        <f>+J92/J95</f>
        <v>2142.3501096640202</v>
      </c>
      <c r="K93" s="28">
        <f>+K92/K95</f>
        <v>2298.5729814205197</v>
      </c>
      <c r="L93" s="28">
        <f>+L92/L95</f>
        <v>2396.8112776030289</v>
      </c>
      <c r="M93" s="28">
        <f>+M92/M95</f>
        <v>2570.9684486596161</v>
      </c>
      <c r="N93" s="28">
        <f>+N92/N95</f>
        <v>2554.1262498134606</v>
      </c>
      <c r="P93" s="30">
        <f t="shared" ref="P93:V93" si="122">+P92/P95</f>
        <v>2579.3409102188693</v>
      </c>
      <c r="Q93" s="30">
        <f t="shared" si="122"/>
        <v>2562.4844905454365</v>
      </c>
      <c r="R93" s="30">
        <f t="shared" si="122"/>
        <v>2714.0695780395386</v>
      </c>
      <c r="S93" s="30">
        <f t="shared" si="122"/>
        <v>2697.0529636678498</v>
      </c>
      <c r="T93" s="30">
        <f t="shared" si="122"/>
        <v>2842.4924043820206</v>
      </c>
      <c r="U93" s="30">
        <f t="shared" si="122"/>
        <v>2774.8592857514891</v>
      </c>
      <c r="V93" s="30">
        <f t="shared" si="122"/>
        <v>2675.2895148148273</v>
      </c>
      <c r="X93" s="30">
        <f>+X92/X95</f>
        <v>2722.508193761631</v>
      </c>
      <c r="Y93" s="30">
        <f t="shared" ref="Y93:AG93" si="123">+Y92/Y95</f>
        <v>2659.0462962353449</v>
      </c>
      <c r="Z93" s="30">
        <f t="shared" si="123"/>
        <v>2753.5565793909427</v>
      </c>
      <c r="AA93" s="30">
        <f t="shared" si="123"/>
        <v>2768.4453753351208</v>
      </c>
      <c r="AB93" s="30"/>
      <c r="AC93" s="30">
        <f t="shared" si="123"/>
        <v>2931.5766758857317</v>
      </c>
      <c r="AD93" s="30">
        <f t="shared" si="123"/>
        <v>2859.3527364542101</v>
      </c>
      <c r="AE93" s="30">
        <f t="shared" si="123"/>
        <v>2884.5752949013859</v>
      </c>
      <c r="AF93" s="30">
        <f t="shared" si="123"/>
        <v>2814.6306638972228</v>
      </c>
      <c r="AG93" s="30">
        <f t="shared" si="123"/>
        <v>2814.6306638972228</v>
      </c>
      <c r="AI93" s="30">
        <f t="shared" ref="AI93:AL93" si="124">+AI92/AI95</f>
        <v>2731.2575004960959</v>
      </c>
      <c r="AJ93" s="30">
        <f t="shared" si="124"/>
        <v>2735.7541481188018</v>
      </c>
      <c r="AK93" s="30">
        <f t="shared" si="124"/>
        <v>2713.70822152449</v>
      </c>
      <c r="AL93" s="30">
        <f t="shared" si="124"/>
        <v>2946.7679134855393</v>
      </c>
      <c r="AM93" s="18"/>
      <c r="AN93" s="30">
        <f t="shared" ref="AN93:AQ93" si="125">+AN92/AN95</f>
        <v>2544.0301022680028</v>
      </c>
      <c r="AO93" s="30">
        <f t="shared" si="125"/>
        <v>2646.7694092170336</v>
      </c>
      <c r="AP93" s="30">
        <f t="shared" si="125"/>
        <v>2652.3282133778816</v>
      </c>
      <c r="AQ93" s="30">
        <f t="shared" si="125"/>
        <v>2791.4377276037872</v>
      </c>
      <c r="AR93" s="14"/>
      <c r="AS93" s="30">
        <f t="shared" ref="AS93:AV93" si="126">+AS92/AS95</f>
        <v>2611.184909457279</v>
      </c>
      <c r="AT93" s="30">
        <f t="shared" si="126"/>
        <v>2670.6958556381051</v>
      </c>
      <c r="AU93" s="30">
        <f t="shared" si="126"/>
        <v>2660.90703787539</v>
      </c>
      <c r="AV93" s="30">
        <f t="shared" si="126"/>
        <v>2599.8246742155552</v>
      </c>
      <c r="AW93" s="14"/>
      <c r="AX93" s="30">
        <f t="shared" ref="AX93:AZ93" si="127">+AX92/AX95</f>
        <v>2512.2596480930592</v>
      </c>
      <c r="AY93" s="30">
        <f t="shared" si="127"/>
        <v>2373.5494140478304</v>
      </c>
      <c r="AZ93" s="30">
        <f t="shared" si="127"/>
        <v>2310.5984682496078</v>
      </c>
      <c r="BA93" s="30">
        <f t="shared" ref="BA93:BC93" si="128">+BA92/BA95</f>
        <v>2282.3631034052637</v>
      </c>
      <c r="BB93" s="14"/>
      <c r="BC93" s="30">
        <f t="shared" si="128"/>
        <v>2250.9062579015272</v>
      </c>
      <c r="BD93" s="30">
        <f t="shared" ref="BD93:BE93" si="129">+BD92/BD95</f>
        <v>2303.8711324464125</v>
      </c>
      <c r="BE93" s="30">
        <f t="shared" si="129"/>
        <v>2367.9110258130722</v>
      </c>
      <c r="BF93" s="30">
        <f t="shared" ref="BF93:BH93" si="130">+BF92/BF95</f>
        <v>2329.2432071793933</v>
      </c>
      <c r="BG93" s="30"/>
      <c r="BH93" s="30">
        <f t="shared" si="130"/>
        <v>2687.0356297009603</v>
      </c>
      <c r="BI93" s="30">
        <f t="shared" ref="BI93:BK93" si="131">+BI92/BI95</f>
        <v>2544.5943144231974</v>
      </c>
      <c r="BJ93" s="30">
        <f t="shared" si="131"/>
        <v>2493.8446908297133</v>
      </c>
      <c r="BK93" s="30">
        <f t="shared" si="131"/>
        <v>2444.5523513602398</v>
      </c>
      <c r="BL93" s="30"/>
      <c r="BM93" s="30">
        <f t="shared" ref="BM93:BN93" si="132">+BM92/BM95</f>
        <v>2541.0881631075931</v>
      </c>
      <c r="BN93" s="30">
        <f t="shared" si="132"/>
        <v>2573.7755149680443</v>
      </c>
      <c r="BO93" s="30">
        <f t="shared" ref="BO93" si="133">+BO92/BO95</f>
        <v>2451.0282496302507</v>
      </c>
      <c r="BP93" s="14"/>
      <c r="BQ93" s="14"/>
    </row>
    <row r="94" spans="2:71" ht="16.5" customHeight="1">
      <c r="C94" s="10"/>
      <c r="D94" s="10"/>
      <c r="K94" s="37"/>
      <c r="AR94" s="14"/>
      <c r="AW94" s="14"/>
      <c r="BB94" s="14"/>
      <c r="BP94" s="14"/>
      <c r="BQ94" s="14"/>
    </row>
    <row r="95" spans="2:71" ht="16.5" customHeight="1">
      <c r="B95" s="2" t="s">
        <v>66</v>
      </c>
      <c r="C95" s="38">
        <v>1926.83</v>
      </c>
      <c r="D95" s="38"/>
      <c r="E95" s="38">
        <v>1965.32</v>
      </c>
      <c r="F95" s="38">
        <v>1881.19</v>
      </c>
      <c r="G95" s="38">
        <v>2028.48</v>
      </c>
      <c r="H95" s="38">
        <v>2392.46</v>
      </c>
      <c r="I95" s="39"/>
      <c r="J95" s="37">
        <v>2576.0500000000002</v>
      </c>
      <c r="K95" s="37">
        <v>2585.11</v>
      </c>
      <c r="L95" s="40">
        <v>3121.94</v>
      </c>
      <c r="M95" s="40">
        <v>3149.47</v>
      </c>
      <c r="N95" s="40">
        <v>3149.47</v>
      </c>
      <c r="P95" s="41">
        <v>3022.35</v>
      </c>
      <c r="Q95" s="41">
        <v>3022.35</v>
      </c>
      <c r="R95" s="41">
        <v>2916.15</v>
      </c>
      <c r="S95" s="41">
        <v>2916.15</v>
      </c>
      <c r="T95" s="41">
        <v>2879.95</v>
      </c>
      <c r="U95" s="41">
        <v>2879.95</v>
      </c>
      <c r="V95" s="41">
        <v>3000.71</v>
      </c>
      <c r="X95" s="41">
        <v>2880.24</v>
      </c>
      <c r="Y95" s="41">
        <v>3038.26</v>
      </c>
      <c r="Z95" s="41">
        <v>2936.67</v>
      </c>
      <c r="AA95" s="41">
        <v>2984</v>
      </c>
      <c r="AB95" s="41"/>
      <c r="AC95" s="41">
        <v>2780.47</v>
      </c>
      <c r="AD95" s="41">
        <v>2930.8</v>
      </c>
      <c r="AE95" s="41">
        <v>2972.18</v>
      </c>
      <c r="AF95" s="41">
        <v>3249.75</v>
      </c>
      <c r="AG95" s="41">
        <v>3249.75</v>
      </c>
      <c r="AI95" s="41">
        <v>3174.79</v>
      </c>
      <c r="AJ95" s="41">
        <v>3205.67</v>
      </c>
      <c r="AK95" s="41">
        <v>3462.01</v>
      </c>
      <c r="AL95" s="41">
        <v>3277.14</v>
      </c>
      <c r="AM95" s="41"/>
      <c r="AN95" s="41">
        <v>4064.81</v>
      </c>
      <c r="AO95" s="41">
        <v>3758.91</v>
      </c>
      <c r="AP95" s="41">
        <v>3878.94</v>
      </c>
      <c r="AQ95" s="41">
        <v>3432.5</v>
      </c>
      <c r="AR95" s="14"/>
      <c r="AS95" s="41">
        <v>3736.91</v>
      </c>
      <c r="AT95" s="41">
        <v>3756.67</v>
      </c>
      <c r="AU95" s="41">
        <v>3834.68</v>
      </c>
      <c r="AV95" s="41">
        <v>3981.16</v>
      </c>
      <c r="AW95" s="14"/>
      <c r="AX95" s="41">
        <v>3748.15</v>
      </c>
      <c r="AY95" s="41">
        <v>4127.47</v>
      </c>
      <c r="AZ95" s="41">
        <v>4532.07</v>
      </c>
      <c r="BA95" s="41">
        <v>4810.2</v>
      </c>
      <c r="BB95" s="14"/>
      <c r="BC95" s="41">
        <v>4627.2700000000004</v>
      </c>
      <c r="BD95" s="217">
        <v>4191.28</v>
      </c>
      <c r="BE95" s="217">
        <v>4053.76</v>
      </c>
      <c r="BF95" s="217">
        <v>3822.05</v>
      </c>
      <c r="BG95" s="845"/>
      <c r="BH95" s="217">
        <v>3842.3</v>
      </c>
      <c r="BI95" s="217">
        <v>4148.04</v>
      </c>
      <c r="BJ95" s="217">
        <v>4164.21</v>
      </c>
      <c r="BK95" s="217">
        <v>4409.1499999999996</v>
      </c>
      <c r="BL95" s="845"/>
      <c r="BM95" s="217">
        <v>4192.57</v>
      </c>
      <c r="BN95" s="217">
        <v>4069.67</v>
      </c>
      <c r="BO95" s="217">
        <v>3901.29</v>
      </c>
      <c r="BP95" s="14">
        <f>+BO95-'ESF GA Cons Acum.'!C108</f>
        <v>0</v>
      </c>
      <c r="BQ95" s="14">
        <f>+BK95-'ESF GA Cons Acum.'!E108</f>
        <v>0</v>
      </c>
    </row>
    <row r="96" spans="2:71" ht="16.5" customHeight="1">
      <c r="C96" s="10"/>
      <c r="D96" s="10"/>
      <c r="K96" s="37"/>
    </row>
    <row r="97" spans="2:67" ht="16.5" customHeight="1">
      <c r="C97" s="10"/>
      <c r="D97" s="10"/>
      <c r="E97" s="42"/>
      <c r="K97" s="37"/>
    </row>
    <row r="98" spans="2:67" ht="16.5" customHeight="1">
      <c r="C98" s="10"/>
      <c r="D98" s="10"/>
      <c r="K98" s="37"/>
    </row>
    <row r="99" spans="2:67" ht="16.5" customHeight="1">
      <c r="C99" s="38">
        <f>+C37-C70-C73</f>
        <v>0</v>
      </c>
      <c r="D99" s="38"/>
      <c r="E99" s="38">
        <f t="shared" ref="E99:H100" si="134">+E37-E70-E73</f>
        <v>0</v>
      </c>
      <c r="F99" s="38">
        <f t="shared" si="134"/>
        <v>0</v>
      </c>
      <c r="G99" s="38">
        <f t="shared" si="134"/>
        <v>0</v>
      </c>
      <c r="H99" s="38">
        <f t="shared" si="134"/>
        <v>0</v>
      </c>
      <c r="J99" s="38">
        <f t="shared" ref="J99:N100" si="135">+J37-J70-J73</f>
        <v>0</v>
      </c>
      <c r="K99" s="38">
        <f t="shared" si="135"/>
        <v>0</v>
      </c>
      <c r="L99" s="38">
        <f t="shared" si="135"/>
        <v>0</v>
      </c>
      <c r="M99" s="23">
        <f t="shared" si="135"/>
        <v>0</v>
      </c>
      <c r="N99" s="23">
        <f t="shared" si="135"/>
        <v>0</v>
      </c>
      <c r="P99" s="12">
        <f t="shared" ref="P99:V100" si="136">+P37-P70-P73</f>
        <v>0</v>
      </c>
      <c r="Q99" s="12">
        <f t="shared" si="136"/>
        <v>0</v>
      </c>
      <c r="R99" s="12">
        <f t="shared" si="136"/>
        <v>0</v>
      </c>
      <c r="S99" s="12">
        <f t="shared" si="136"/>
        <v>0</v>
      </c>
      <c r="T99" s="12">
        <f t="shared" si="136"/>
        <v>0</v>
      </c>
      <c r="U99" s="12">
        <f t="shared" si="136"/>
        <v>0</v>
      </c>
      <c r="V99" s="12">
        <f t="shared" si="136"/>
        <v>0</v>
      </c>
      <c r="X99" s="12">
        <f t="shared" ref="X99:AA100" si="137">+X37-X70-X73</f>
        <v>0</v>
      </c>
      <c r="Y99" s="12">
        <f t="shared" si="137"/>
        <v>0</v>
      </c>
      <c r="Z99" s="12">
        <f t="shared" si="137"/>
        <v>0</v>
      </c>
      <c r="AA99" s="12">
        <f t="shared" si="137"/>
        <v>0</v>
      </c>
      <c r="AB99" s="12"/>
      <c r="AC99" s="12">
        <f t="shared" ref="AC99:AG100" si="138">+AC37-AC70-AC73</f>
        <v>0</v>
      </c>
      <c r="AD99" s="12">
        <f t="shared" si="138"/>
        <v>0</v>
      </c>
      <c r="AE99" s="12">
        <f t="shared" si="138"/>
        <v>0</v>
      </c>
      <c r="AF99" s="12">
        <f t="shared" si="138"/>
        <v>0</v>
      </c>
      <c r="AG99" s="12">
        <f t="shared" si="138"/>
        <v>0</v>
      </c>
      <c r="AI99" s="12">
        <f t="shared" ref="AI99:AL100" si="139">+AI37-AI70-AI73</f>
        <v>0</v>
      </c>
      <c r="AJ99" s="12">
        <f t="shared" si="139"/>
        <v>0</v>
      </c>
      <c r="AK99" s="12">
        <f t="shared" si="139"/>
        <v>0</v>
      </c>
      <c r="AL99" s="12">
        <f t="shared" si="139"/>
        <v>0</v>
      </c>
      <c r="AM99" s="12"/>
      <c r="AN99" s="12">
        <f t="shared" ref="AN99:AQ100" si="140">+AN37-AN70-AN73</f>
        <v>0</v>
      </c>
      <c r="AO99" s="12">
        <f t="shared" si="140"/>
        <v>0</v>
      </c>
      <c r="AP99" s="12">
        <f t="shared" si="140"/>
        <v>0</v>
      </c>
      <c r="AQ99" s="12">
        <f t="shared" si="140"/>
        <v>0</v>
      </c>
      <c r="AS99" s="12">
        <f t="shared" ref="AS99:AV100" si="141">+AS37-AS70-AS73</f>
        <v>0</v>
      </c>
      <c r="AT99" s="12">
        <f t="shared" si="141"/>
        <v>0</v>
      </c>
      <c r="AU99" s="12">
        <f t="shared" si="141"/>
        <v>0</v>
      </c>
      <c r="AV99" s="12">
        <f t="shared" si="141"/>
        <v>0</v>
      </c>
      <c r="AX99" s="12">
        <f t="shared" ref="AX99:AZ100" si="142">+AX37-AX70-AX73</f>
        <v>0</v>
      </c>
      <c r="AY99" s="12">
        <f t="shared" si="142"/>
        <v>0</v>
      </c>
      <c r="AZ99" s="12">
        <f t="shared" si="142"/>
        <v>0</v>
      </c>
      <c r="BA99" s="12">
        <f t="shared" ref="BA99:BC99" si="143">+BA37-BA70-BA73</f>
        <v>0</v>
      </c>
      <c r="BC99" s="12">
        <f t="shared" si="143"/>
        <v>0</v>
      </c>
      <c r="BD99" s="12">
        <f t="shared" ref="BD99:BE99" si="144">+BD37-BD70-BD73</f>
        <v>0</v>
      </c>
      <c r="BE99" s="12">
        <f t="shared" si="144"/>
        <v>0</v>
      </c>
      <c r="BF99" s="12">
        <f t="shared" ref="BF99:BH99" si="145">+BF37-BF70-BF73</f>
        <v>0</v>
      </c>
      <c r="BG99" s="12"/>
      <c r="BH99" s="12">
        <f t="shared" si="145"/>
        <v>0</v>
      </c>
      <c r="BI99" s="12">
        <f t="shared" ref="BI99:BK99" si="146">+BI37-BI70-BI73</f>
        <v>0</v>
      </c>
      <c r="BJ99" s="12">
        <f t="shared" si="146"/>
        <v>0</v>
      </c>
      <c r="BK99" s="12">
        <f t="shared" si="146"/>
        <v>0</v>
      </c>
      <c r="BL99" s="12"/>
      <c r="BM99" s="12">
        <f t="shared" ref="BM99:BN99" si="147">+BM37-BM70-BM73</f>
        <v>0</v>
      </c>
      <c r="BN99" s="12">
        <f t="shared" si="147"/>
        <v>0</v>
      </c>
      <c r="BO99" s="12">
        <f t="shared" ref="BO99" si="148">+BO37-BO70-BO73</f>
        <v>0</v>
      </c>
    </row>
    <row r="100" spans="2:67" ht="16.5" customHeight="1">
      <c r="C100" s="38">
        <f>+C38-C71-C74</f>
        <v>0</v>
      </c>
      <c r="D100" s="38"/>
      <c r="E100" s="38">
        <f t="shared" si="134"/>
        <v>0</v>
      </c>
      <c r="F100" s="38">
        <f t="shared" si="134"/>
        <v>0</v>
      </c>
      <c r="G100" s="38">
        <f t="shared" si="134"/>
        <v>0</v>
      </c>
      <c r="H100" s="38">
        <f t="shared" si="134"/>
        <v>0</v>
      </c>
      <c r="J100" s="38">
        <f t="shared" si="135"/>
        <v>0</v>
      </c>
      <c r="K100" s="38">
        <f t="shared" si="135"/>
        <v>0</v>
      </c>
      <c r="L100" s="38">
        <f t="shared" si="135"/>
        <v>0</v>
      </c>
      <c r="M100" s="23">
        <f t="shared" si="135"/>
        <v>0</v>
      </c>
      <c r="N100" s="23">
        <f t="shared" si="135"/>
        <v>0</v>
      </c>
      <c r="P100" s="12">
        <f t="shared" si="136"/>
        <v>0</v>
      </c>
      <c r="Q100" s="12">
        <f t="shared" si="136"/>
        <v>0</v>
      </c>
      <c r="R100" s="12">
        <f t="shared" si="136"/>
        <v>0</v>
      </c>
      <c r="S100" s="12">
        <f t="shared" si="136"/>
        <v>0</v>
      </c>
      <c r="T100" s="12">
        <f t="shared" si="136"/>
        <v>0</v>
      </c>
      <c r="U100" s="12">
        <f t="shared" si="136"/>
        <v>0</v>
      </c>
      <c r="V100" s="12">
        <f t="shared" si="136"/>
        <v>0</v>
      </c>
      <c r="X100" s="12">
        <f t="shared" si="137"/>
        <v>0</v>
      </c>
      <c r="Y100" s="12">
        <f t="shared" si="137"/>
        <v>0</v>
      </c>
      <c r="Z100" s="12">
        <f t="shared" si="137"/>
        <v>0</v>
      </c>
      <c r="AA100" s="12">
        <f t="shared" si="137"/>
        <v>0</v>
      </c>
      <c r="AB100" s="12"/>
      <c r="AC100" s="12">
        <f t="shared" si="138"/>
        <v>0</v>
      </c>
      <c r="AD100" s="12">
        <f t="shared" si="138"/>
        <v>0</v>
      </c>
      <c r="AE100" s="12">
        <f t="shared" si="138"/>
        <v>0</v>
      </c>
      <c r="AF100" s="12">
        <f t="shared" si="138"/>
        <v>0</v>
      </c>
      <c r="AG100" s="12">
        <f t="shared" si="138"/>
        <v>0</v>
      </c>
      <c r="AI100" s="12">
        <f t="shared" si="139"/>
        <v>0</v>
      </c>
      <c r="AJ100" s="12">
        <f t="shared" si="139"/>
        <v>0</v>
      </c>
      <c r="AK100" s="12">
        <f t="shared" si="139"/>
        <v>0</v>
      </c>
      <c r="AL100" s="12">
        <f t="shared" si="139"/>
        <v>0</v>
      </c>
      <c r="AM100" s="12"/>
      <c r="AN100" s="12">
        <f t="shared" si="140"/>
        <v>0</v>
      </c>
      <c r="AO100" s="12">
        <f t="shared" si="140"/>
        <v>0</v>
      </c>
      <c r="AP100" s="12">
        <f t="shared" si="140"/>
        <v>0</v>
      </c>
      <c r="AQ100" s="12">
        <f t="shared" si="140"/>
        <v>0</v>
      </c>
      <c r="AS100" s="12">
        <f t="shared" si="141"/>
        <v>0</v>
      </c>
      <c r="AT100" s="12">
        <f t="shared" si="141"/>
        <v>0</v>
      </c>
      <c r="AU100" s="12">
        <f t="shared" si="141"/>
        <v>0</v>
      </c>
      <c r="AV100" s="12">
        <f t="shared" si="141"/>
        <v>0</v>
      </c>
      <c r="AX100" s="12">
        <f t="shared" si="142"/>
        <v>0</v>
      </c>
      <c r="AY100" s="12">
        <f t="shared" si="142"/>
        <v>0</v>
      </c>
      <c r="AZ100" s="12">
        <f t="shared" si="142"/>
        <v>0</v>
      </c>
      <c r="BA100" s="12">
        <f t="shared" ref="BA100:BC100" si="149">+BA38-BA71-BA74</f>
        <v>0</v>
      </c>
      <c r="BC100" s="12">
        <f t="shared" si="149"/>
        <v>0</v>
      </c>
      <c r="BD100" s="12">
        <f t="shared" ref="BD100:BE100" si="150">+BD38-BD71-BD74</f>
        <v>0</v>
      </c>
      <c r="BE100" s="12">
        <f t="shared" si="150"/>
        <v>0</v>
      </c>
      <c r="BF100" s="12">
        <f t="shared" ref="BF100:BH100" si="151">+BF38-BF71-BF74</f>
        <v>0</v>
      </c>
      <c r="BG100" s="12"/>
      <c r="BH100" s="12">
        <f t="shared" si="151"/>
        <v>0</v>
      </c>
      <c r="BI100" s="12">
        <f t="shared" ref="BI100:BK100" si="152">+BI38-BI71-BI74</f>
        <v>0</v>
      </c>
      <c r="BJ100" s="12">
        <f t="shared" si="152"/>
        <v>0</v>
      </c>
      <c r="BK100" s="12">
        <f t="shared" si="152"/>
        <v>0</v>
      </c>
      <c r="BL100" s="12"/>
      <c r="BM100" s="12">
        <f t="shared" ref="BM100:BN100" si="153">+BM38-BM71-BM74</f>
        <v>0</v>
      </c>
      <c r="BN100" s="12">
        <f t="shared" si="153"/>
        <v>0</v>
      </c>
      <c r="BO100" s="12">
        <f t="shared" ref="BO100" si="154">+BO38-BO71-BO74</f>
        <v>0</v>
      </c>
    </row>
    <row r="101" spans="2:67" ht="16.5" customHeight="1">
      <c r="C101" s="10"/>
      <c r="D101" s="10"/>
      <c r="M101" s="14"/>
      <c r="N101" s="14"/>
      <c r="P101" s="14"/>
      <c r="Q101" s="14"/>
      <c r="R101" s="14"/>
      <c r="S101" s="14"/>
      <c r="T101" s="14"/>
      <c r="U101" s="14"/>
      <c r="V101" s="14"/>
      <c r="X101" s="14"/>
      <c r="Y101" s="14"/>
      <c r="Z101" s="14"/>
      <c r="AA101" s="14"/>
      <c r="AB101" s="14"/>
      <c r="AC101" s="14"/>
      <c r="AD101" s="14"/>
      <c r="AE101" s="14"/>
      <c r="AF101" s="14"/>
      <c r="AG101" s="14"/>
      <c r="AI101" s="14"/>
      <c r="AJ101" s="14"/>
      <c r="AK101" s="14"/>
      <c r="AL101" s="14"/>
      <c r="AM101" s="14"/>
      <c r="AN101" s="14"/>
      <c r="AO101" s="14"/>
      <c r="AP101" s="14"/>
      <c r="AQ101" s="14"/>
      <c r="AS101" s="14"/>
      <c r="AT101" s="14"/>
      <c r="AU101" s="14"/>
      <c r="AV101" s="14"/>
      <c r="AX101" s="14"/>
      <c r="AY101" s="14"/>
      <c r="AZ101" s="14"/>
      <c r="BA101" s="14"/>
      <c r="BC101" s="14"/>
      <c r="BD101" s="14"/>
      <c r="BE101" s="14"/>
      <c r="BF101" s="14"/>
      <c r="BG101" s="14"/>
      <c r="BH101" s="14"/>
      <c r="BI101" s="14"/>
      <c r="BJ101" s="14"/>
      <c r="BK101" s="14"/>
      <c r="BL101" s="14"/>
      <c r="BM101" s="14"/>
      <c r="BN101" s="14"/>
      <c r="BO101" s="14"/>
    </row>
    <row r="102" spans="2:67" ht="14.25" customHeight="1">
      <c r="C102" s="38">
        <f>+C87-C89-C92</f>
        <v>0</v>
      </c>
      <c r="D102" s="38"/>
      <c r="E102" s="38">
        <f>+E87-E89-E92</f>
        <v>0</v>
      </c>
      <c r="F102" s="38">
        <f>+F87-F89-F92</f>
        <v>0</v>
      </c>
      <c r="G102" s="38">
        <f>+G87-G89-G92</f>
        <v>0</v>
      </c>
      <c r="H102" s="38">
        <f>+H87-H89-H92</f>
        <v>0</v>
      </c>
      <c r="J102" s="38">
        <f>+J87-J89-J92</f>
        <v>0</v>
      </c>
      <c r="K102" s="38">
        <f>+K87-K89-K92</f>
        <v>0</v>
      </c>
      <c r="L102" s="38">
        <f>+L87-L89-L92</f>
        <v>0</v>
      </c>
      <c r="M102" s="38">
        <f>+M87-M89-M92</f>
        <v>0</v>
      </c>
      <c r="N102" s="38">
        <f>+N87-N89-N92</f>
        <v>0</v>
      </c>
      <c r="P102" s="43">
        <f t="shared" ref="P102:V102" si="155">+P87-P89-P92</f>
        <v>0</v>
      </c>
      <c r="Q102" s="43">
        <f t="shared" si="155"/>
        <v>0</v>
      </c>
      <c r="R102" s="43">
        <f t="shared" si="155"/>
        <v>0</v>
      </c>
      <c r="S102" s="43">
        <f t="shared" si="155"/>
        <v>0</v>
      </c>
      <c r="T102" s="43">
        <f t="shared" si="155"/>
        <v>0</v>
      </c>
      <c r="U102" s="43">
        <f t="shared" si="155"/>
        <v>0</v>
      </c>
      <c r="V102" s="43">
        <f t="shared" si="155"/>
        <v>0</v>
      </c>
      <c r="X102" s="43">
        <f>+X87-X89-X92</f>
        <v>0</v>
      </c>
      <c r="Y102" s="43">
        <f>+Y87-Y89-Y92</f>
        <v>0</v>
      </c>
      <c r="Z102" s="43">
        <f>+Z87-Z89-Z92</f>
        <v>0</v>
      </c>
      <c r="AA102" s="43">
        <f>+AA87-AA89-AA92</f>
        <v>0</v>
      </c>
      <c r="AB102" s="43"/>
      <c r="AC102" s="43">
        <f>+AC87-AC89-AC92</f>
        <v>0</v>
      </c>
      <c r="AD102" s="43">
        <f>+AD87-AD89-AD92</f>
        <v>0</v>
      </c>
      <c r="AE102" s="43">
        <f>+AE87-AE89-AE92</f>
        <v>0</v>
      </c>
      <c r="AF102" s="43">
        <f>+AF87-AF89-AF92</f>
        <v>0</v>
      </c>
      <c r="AG102" s="43">
        <f>+AG87-AG89-AG92</f>
        <v>0</v>
      </c>
      <c r="AI102" s="43">
        <f>+AI87-AI89-AI92</f>
        <v>0</v>
      </c>
      <c r="AJ102" s="43">
        <f>+AJ87-AJ89-AJ92</f>
        <v>0</v>
      </c>
      <c r="AK102" s="43">
        <f>+AK87-AK89-AK92</f>
        <v>0</v>
      </c>
      <c r="AL102" s="43">
        <f>+AL87-AL89-AL92</f>
        <v>0</v>
      </c>
      <c r="AM102" s="43"/>
      <c r="AN102" s="43">
        <f>+AN87-AN89-AN92</f>
        <v>0</v>
      </c>
      <c r="AO102" s="43">
        <f>+AO87-AO89-AO92</f>
        <v>0</v>
      </c>
      <c r="AP102" s="43">
        <f>+AP87-AP89-AP92</f>
        <v>0</v>
      </c>
      <c r="AQ102" s="43">
        <f>+AQ87-AQ89-AQ92</f>
        <v>0</v>
      </c>
      <c r="AS102" s="43">
        <f>+AS87-AS89-AS92</f>
        <v>0</v>
      </c>
      <c r="AT102" s="43">
        <f>+AT87-AT89-AT92</f>
        <v>0</v>
      </c>
      <c r="AU102" s="43">
        <f>+AU87-AU89-AU92</f>
        <v>0</v>
      </c>
      <c r="AV102" s="43">
        <f>+AV87-AV89-AV92</f>
        <v>0</v>
      </c>
      <c r="AX102" s="43">
        <f>+AX87-AX89-AX92</f>
        <v>0</v>
      </c>
      <c r="AY102" s="43">
        <f>+AY87-AY89-AY92</f>
        <v>0</v>
      </c>
      <c r="AZ102" s="43">
        <f>+AZ87-AZ89-AZ92</f>
        <v>0</v>
      </c>
      <c r="BA102" s="43">
        <f>+BA87-BA89-BA92</f>
        <v>0</v>
      </c>
      <c r="BC102" s="43">
        <f>+BC87-BC89-BC92</f>
        <v>0</v>
      </c>
      <c r="BD102" s="43">
        <f>+BD87-BD89-BD92</f>
        <v>0</v>
      </c>
      <c r="BE102" s="43">
        <f>+BE87-BE89-BE92</f>
        <v>0</v>
      </c>
      <c r="BF102" s="43">
        <f>+BF87-BF89-BF92</f>
        <v>0</v>
      </c>
      <c r="BG102" s="43"/>
      <c r="BH102" s="43">
        <f>+BH87-BH89-BH92</f>
        <v>0</v>
      </c>
      <c r="BI102" s="43">
        <f>+BI87-BI89-BI92</f>
        <v>0</v>
      </c>
      <c r="BJ102" s="43">
        <f>+BJ87-BJ89-BJ92</f>
        <v>0</v>
      </c>
      <c r="BK102" s="43">
        <f>+BK87-BK89-BK92</f>
        <v>0</v>
      </c>
      <c r="BL102" s="43"/>
      <c r="BM102" s="43">
        <f>+BM87-BM89-BM92</f>
        <v>0</v>
      </c>
      <c r="BN102" s="43">
        <f>+BN87-BN89-BN92</f>
        <v>0</v>
      </c>
      <c r="BO102" s="43">
        <f>+BO87-BO89-BO92</f>
        <v>0</v>
      </c>
    </row>
    <row r="103" spans="2:67" ht="16.5" customHeight="1"/>
    <row r="104" spans="2:67" ht="3.75" customHeight="1"/>
    <row r="105" spans="2:67" ht="16.5" customHeight="1">
      <c r="Z105" s="44"/>
      <c r="AA105" s="44"/>
    </row>
    <row r="106" spans="2:67" ht="126" customHeight="1">
      <c r="AC106" s="1198" t="s">
        <v>67</v>
      </c>
      <c r="AD106" s="1198"/>
      <c r="AE106" s="1198"/>
      <c r="AF106" s="1198"/>
      <c r="AG106" s="1198"/>
    </row>
    <row r="107" spans="2:67" ht="14.25" customHeight="1">
      <c r="B107" s="1197"/>
      <c r="C107" s="1197"/>
      <c r="D107" s="1197"/>
      <c r="E107" s="1197"/>
      <c r="F107" s="1197"/>
      <c r="G107" s="2"/>
      <c r="H107" s="2"/>
    </row>
    <row r="108" spans="2:67" ht="12.75" customHeight="1">
      <c r="AC108" s="1198" t="s">
        <v>68</v>
      </c>
      <c r="AD108" s="1198"/>
      <c r="AE108" s="1198"/>
      <c r="AF108" s="1198"/>
      <c r="AG108" s="1198"/>
    </row>
    <row r="109" spans="2:67">
      <c r="AC109" s="1198" t="s">
        <v>69</v>
      </c>
      <c r="AD109" s="1198"/>
      <c r="AE109" s="1198"/>
      <c r="AF109" s="1198"/>
      <c r="AG109" s="1198"/>
    </row>
    <row r="110" spans="2:67" ht="14.5">
      <c r="B110" s="45"/>
      <c r="C110" s="45"/>
      <c r="D110" s="45"/>
      <c r="E110" s="46"/>
      <c r="F110" s="46"/>
      <c r="G110" s="46"/>
      <c r="H110" s="46"/>
    </row>
    <row r="111" spans="2:67" ht="14.5">
      <c r="B111" s="47"/>
      <c r="C111" s="47"/>
      <c r="D111" s="47"/>
      <c r="E111" s="46"/>
      <c r="F111" s="48"/>
      <c r="G111" s="48"/>
      <c r="H111" s="48"/>
    </row>
    <row r="112" spans="2:67" ht="14.5">
      <c r="B112" s="47"/>
      <c r="C112" s="47"/>
      <c r="D112" s="47"/>
      <c r="E112" s="46"/>
      <c r="F112" s="48"/>
      <c r="G112" s="48"/>
      <c r="H112" s="48"/>
    </row>
    <row r="113" spans="2:8" ht="14.5">
      <c r="B113" s="47"/>
      <c r="C113" s="47"/>
      <c r="D113" s="47"/>
      <c r="E113" s="46"/>
      <c r="F113" s="48"/>
      <c r="G113" s="48"/>
      <c r="H113" s="48"/>
    </row>
    <row r="114" spans="2:8" ht="14.5">
      <c r="B114" s="47"/>
      <c r="C114" s="47"/>
      <c r="D114" s="47"/>
      <c r="E114" s="46"/>
      <c r="F114" s="48"/>
      <c r="G114" s="48"/>
      <c r="H114" s="48"/>
    </row>
    <row r="115" spans="2:8" ht="14.5">
      <c r="B115" s="45"/>
      <c r="C115" s="45"/>
      <c r="D115" s="45"/>
      <c r="E115" s="49"/>
      <c r="F115" s="49"/>
      <c r="G115" s="49"/>
      <c r="H115" s="49"/>
    </row>
  </sheetData>
  <mergeCells count="19">
    <mergeCell ref="B107:F107"/>
    <mergeCell ref="AC108:AG108"/>
    <mergeCell ref="BC6:BF6"/>
    <mergeCell ref="BM6:BO6"/>
    <mergeCell ref="AC109:AG109"/>
    <mergeCell ref="X6:AA6"/>
    <mergeCell ref="AC6:AF6"/>
    <mergeCell ref="P6:V6"/>
    <mergeCell ref="AX6:BA6"/>
    <mergeCell ref="AI6:AL6"/>
    <mergeCell ref="AN6:AQ6"/>
    <mergeCell ref="AS6:AV6"/>
    <mergeCell ref="BH6:BK6"/>
    <mergeCell ref="AC106:AG106"/>
    <mergeCell ref="B1:L1"/>
    <mergeCell ref="B2:L2"/>
    <mergeCell ref="B3:L3"/>
    <mergeCell ref="E6:H6"/>
    <mergeCell ref="J6:N6"/>
  </mergeCells>
  <pageMargins left="0.7" right="0.7" top="0.75" bottom="0.75" header="0.3" footer="0.3"/>
  <customProperties>
    <customPr name="EpmWorksheetKeyString_GUID" r:id="rId1"/>
    <customPr name="FPMExcelClientCellBasedFunctionStatus" r:id="rId2"/>
  </customProperties>
  <ignoredErrors>
    <ignoredError sqref="BQ89" formulaRange="1"/>
    <ignoredError sqref="BC6" numberStoredAsText="1"/>
  </ignoredError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42C6-CAD9-4072-9074-6050B2DCB721}">
  <sheetPr codeName="Hoja2"/>
  <dimension ref="B1:CH106"/>
  <sheetViews>
    <sheetView showGridLines="0" zoomScale="90" zoomScaleNormal="90" workbookViewId="0">
      <pane xSplit="2" ySplit="9" topLeftCell="BW57" activePane="bottomRight" state="frozen"/>
      <selection pane="topRight" activeCell="C1" sqref="C1"/>
      <selection pane="bottomLeft" activeCell="A10" sqref="A10"/>
      <selection pane="bottomRight" activeCell="BY57" sqref="BY57"/>
    </sheetView>
  </sheetViews>
  <sheetFormatPr baseColWidth="10" defaultColWidth="13" defaultRowHeight="12.5"/>
  <cols>
    <col min="1" max="1" width="2.26953125" style="51" customWidth="1"/>
    <col min="2" max="2" width="45.26953125" style="51" customWidth="1"/>
    <col min="3" max="3" width="11.26953125" style="51" hidden="1" customWidth="1"/>
    <col min="4" max="6" width="11.26953125" style="55" hidden="1" customWidth="1"/>
    <col min="7" max="7" width="1.26953125" style="51" hidden="1" customWidth="1"/>
    <col min="8" max="11" width="11.26953125" style="51" hidden="1" customWidth="1"/>
    <col min="12" max="12" width="11.7265625" style="51" hidden="1" customWidth="1"/>
    <col min="13" max="13" width="1.26953125" style="51" hidden="1" customWidth="1"/>
    <col min="14" max="14" width="11.26953125" style="51" hidden="1" customWidth="1"/>
    <col min="15" max="15" width="12.26953125" style="51" hidden="1" customWidth="1"/>
    <col min="16" max="19" width="0" style="51" hidden="1" customWidth="1"/>
    <col min="20" max="21" width="13.7265625" style="51" hidden="1" customWidth="1"/>
    <col min="22" max="22" width="1.54296875" style="51" hidden="1" customWidth="1"/>
    <col min="23" max="26" width="0" style="51" hidden="1" customWidth="1"/>
    <col min="27" max="28" width="10.26953125" style="51" hidden="1" customWidth="1"/>
    <col min="29" max="30" width="0" style="51" hidden="1" customWidth="1"/>
    <col min="31" max="31" width="1.54296875" style="51" hidden="1" customWidth="1"/>
    <col min="32" max="37" width="0" style="51" hidden="1" customWidth="1"/>
    <col min="38" max="39" width="13" style="51" hidden="1" customWidth="1"/>
    <col min="40" max="41" width="0" style="51" hidden="1" customWidth="1"/>
    <col min="42" max="42" width="1.54296875" style="51" hidden="1" customWidth="1"/>
    <col min="43" max="48" width="0" style="51" hidden="1" customWidth="1"/>
    <col min="49" max="49" width="1.54296875" style="51" hidden="1" customWidth="1"/>
    <col min="50" max="53" width="0" style="51" hidden="1" customWidth="1"/>
    <col min="54" max="54" width="1.54296875" style="51" hidden="1" customWidth="1"/>
    <col min="55" max="58" width="0" style="51" hidden="1" customWidth="1"/>
    <col min="59" max="59" width="1.54296875" style="51" hidden="1" customWidth="1"/>
    <col min="60" max="63" width="0" style="51" hidden="1" customWidth="1"/>
    <col min="64" max="64" width="1.453125" style="51" hidden="1" customWidth="1"/>
    <col min="65" max="72" width="0" style="51" hidden="1" customWidth="1"/>
    <col min="73" max="73" width="1.36328125" style="51" hidden="1" customWidth="1"/>
    <col min="74" max="74" width="10.7265625" style="51" hidden="1" customWidth="1"/>
    <col min="75" max="75" width="10.7265625" style="51" customWidth="1"/>
    <col min="76" max="76" width="10.7265625" style="51" hidden="1" customWidth="1"/>
    <col min="77" max="77" width="10.7265625" style="51" customWidth="1"/>
    <col min="78" max="78" width="10.7265625" style="51" hidden="1" customWidth="1"/>
    <col min="79" max="79" width="10.7265625" style="51" customWidth="1"/>
    <col min="80" max="80" width="10.7265625" style="51" hidden="1" customWidth="1"/>
    <col min="81" max="81" width="1.453125" style="51" customWidth="1"/>
    <col min="82" max="84" width="10.7265625" style="51" customWidth="1"/>
    <col min="85" max="16384" width="13" style="51"/>
  </cols>
  <sheetData>
    <row r="1" spans="2:86" ht="16.5" customHeight="1">
      <c r="B1" s="1201" t="s">
        <v>0</v>
      </c>
      <c r="C1" s="1201"/>
      <c r="D1" s="1201"/>
      <c r="E1" s="1201"/>
      <c r="F1" s="1201"/>
      <c r="G1" s="1201"/>
      <c r="H1" s="1201"/>
      <c r="I1" s="1201"/>
    </row>
    <row r="2" spans="2:86" ht="12.75" customHeight="1">
      <c r="B2" s="1201" t="s">
        <v>70</v>
      </c>
      <c r="C2" s="1201"/>
      <c r="D2" s="1201"/>
      <c r="E2" s="1201"/>
      <c r="F2" s="1201"/>
      <c r="G2" s="1201"/>
      <c r="H2" s="1201"/>
      <c r="I2" s="1201"/>
    </row>
    <row r="3" spans="2:86" ht="12.75" customHeight="1">
      <c r="B3" s="1194" t="s">
        <v>2</v>
      </c>
      <c r="C3" s="1194"/>
      <c r="D3" s="1194"/>
      <c r="E3" s="1194"/>
      <c r="F3" s="1194"/>
      <c r="G3" s="1194"/>
      <c r="H3" s="1194"/>
      <c r="I3" s="1194"/>
      <c r="J3" s="52"/>
      <c r="K3" s="52"/>
      <c r="L3" s="52"/>
    </row>
    <row r="4" spans="2:86" ht="12.75" customHeight="1">
      <c r="B4" s="3"/>
      <c r="C4" s="3"/>
      <c r="D4" s="3"/>
      <c r="E4" s="3"/>
      <c r="F4" s="3"/>
      <c r="G4" s="3"/>
      <c r="H4" s="3"/>
      <c r="I4" s="3"/>
      <c r="J4" s="52"/>
      <c r="K4" s="52"/>
      <c r="L4" s="52"/>
      <c r="N4" s="3"/>
      <c r="O4" s="3"/>
    </row>
    <row r="5" spans="2:86" ht="12.75" customHeight="1">
      <c r="B5" s="53"/>
      <c r="C5" s="53"/>
      <c r="D5" s="53"/>
      <c r="E5" s="53"/>
      <c r="F5" s="53"/>
      <c r="G5" s="53"/>
    </row>
    <row r="6" spans="2:86" ht="21" customHeight="1">
      <c r="B6" s="53"/>
      <c r="C6" s="1202" t="s">
        <v>3</v>
      </c>
      <c r="D6" s="1203"/>
      <c r="E6" s="1203"/>
      <c r="F6" s="1203"/>
      <c r="G6" s="2"/>
      <c r="H6" s="1202" t="s">
        <v>4</v>
      </c>
      <c r="I6" s="1203"/>
      <c r="J6" s="1203"/>
      <c r="K6" s="1203"/>
      <c r="L6" s="54"/>
      <c r="N6" s="1205" t="s">
        <v>5</v>
      </c>
      <c r="O6" s="1206"/>
      <c r="P6" s="1206"/>
      <c r="Q6" s="1206"/>
      <c r="R6" s="1206"/>
      <c r="S6" s="1206"/>
      <c r="T6" s="1206"/>
      <c r="U6" s="1206"/>
      <c r="W6" s="1200" t="s">
        <v>6</v>
      </c>
      <c r="X6" s="1199"/>
      <c r="Y6" s="1199"/>
      <c r="Z6" s="1199"/>
      <c r="AA6" s="1199"/>
      <c r="AB6" s="1199"/>
      <c r="AC6" s="1199"/>
      <c r="AD6" s="5"/>
      <c r="AE6" s="6"/>
      <c r="AF6" s="1200" t="s">
        <v>7</v>
      </c>
      <c r="AG6" s="1199"/>
      <c r="AH6" s="1199"/>
      <c r="AI6" s="1199"/>
      <c r="AJ6" s="1199"/>
      <c r="AK6" s="1199"/>
      <c r="AL6" s="1199"/>
      <c r="AM6" s="1199"/>
      <c r="AN6" s="1199"/>
      <c r="AO6" s="5"/>
      <c r="AQ6" s="1200" t="s">
        <v>8</v>
      </c>
      <c r="AR6" s="1199"/>
      <c r="AS6" s="1199"/>
      <c r="AT6" s="1199"/>
      <c r="AU6" s="1199"/>
      <c r="AV6" s="1199"/>
      <c r="AX6" s="1200" t="s">
        <v>71</v>
      </c>
      <c r="AY6" s="1199"/>
      <c r="AZ6" s="1199"/>
      <c r="BA6" s="1199"/>
      <c r="BC6" s="1200" t="s">
        <v>9</v>
      </c>
      <c r="BD6" s="1199"/>
      <c r="BE6" s="1199"/>
      <c r="BF6" s="1199"/>
      <c r="BG6" s="6"/>
      <c r="BH6" s="1200">
        <v>2022</v>
      </c>
      <c r="BI6" s="1199"/>
      <c r="BJ6" s="1199"/>
      <c r="BK6" s="1199"/>
      <c r="BM6" s="1199" t="s">
        <v>438</v>
      </c>
      <c r="BN6" s="1199"/>
      <c r="BO6" s="1199"/>
      <c r="BP6" s="1199"/>
      <c r="BQ6" s="1199"/>
      <c r="BR6" s="1199"/>
      <c r="BS6" s="1199"/>
      <c r="BT6" s="5"/>
      <c r="BU6" s="6"/>
      <c r="BV6" s="1200" t="s">
        <v>480</v>
      </c>
      <c r="BW6" s="1199"/>
      <c r="BX6" s="1199"/>
      <c r="BY6" s="1199"/>
      <c r="BZ6" s="1199"/>
      <c r="CA6" s="1199"/>
      <c r="CB6" s="1199"/>
      <c r="CC6" s="6"/>
      <c r="CD6" s="1200" t="s">
        <v>504</v>
      </c>
      <c r="CE6" s="1199"/>
      <c r="CF6" s="1199"/>
    </row>
    <row r="7" spans="2:86" ht="5.25" customHeight="1" thickBot="1">
      <c r="C7" s="55"/>
      <c r="G7" s="55"/>
      <c r="H7" s="55"/>
      <c r="I7" s="55"/>
      <c r="J7" s="55"/>
      <c r="N7" s="55"/>
      <c r="O7" s="55"/>
      <c r="BV7" s="2"/>
      <c r="BW7" s="2"/>
      <c r="BX7" s="2"/>
      <c r="BY7" s="2"/>
      <c r="BZ7" s="2"/>
      <c r="CA7" s="2"/>
      <c r="CB7" s="2"/>
      <c r="CC7" s="2"/>
      <c r="CD7" s="2"/>
      <c r="CE7" s="2"/>
      <c r="CF7" s="2"/>
    </row>
    <row r="8" spans="2:86" ht="27" thickTop="1" thickBot="1">
      <c r="C8" s="7" t="s">
        <v>72</v>
      </c>
      <c r="D8" s="7" t="s">
        <v>73</v>
      </c>
      <c r="E8" s="7" t="s">
        <v>74</v>
      </c>
      <c r="F8" s="7" t="s">
        <v>75</v>
      </c>
      <c r="G8" s="55"/>
      <c r="H8" s="7" t="s">
        <v>76</v>
      </c>
      <c r="I8" s="7" t="s">
        <v>77</v>
      </c>
      <c r="J8" s="7" t="s">
        <v>78</v>
      </c>
      <c r="K8" s="7" t="s">
        <v>79</v>
      </c>
      <c r="L8" s="7" t="s">
        <v>80</v>
      </c>
      <c r="N8" s="7" t="s">
        <v>81</v>
      </c>
      <c r="O8" s="7" t="s">
        <v>82</v>
      </c>
      <c r="P8" s="7" t="s">
        <v>83</v>
      </c>
      <c r="Q8" s="7" t="s">
        <v>84</v>
      </c>
      <c r="R8" s="7" t="s">
        <v>85</v>
      </c>
      <c r="S8" s="7" t="s">
        <v>86</v>
      </c>
      <c r="T8" s="7" t="s">
        <v>87</v>
      </c>
      <c r="U8" s="7" t="s">
        <v>88</v>
      </c>
      <c r="W8" s="7" t="s">
        <v>89</v>
      </c>
      <c r="X8" s="7" t="s">
        <v>90</v>
      </c>
      <c r="Y8" s="7" t="s">
        <v>91</v>
      </c>
      <c r="Z8" s="7" t="s">
        <v>92</v>
      </c>
      <c r="AA8" s="7" t="s">
        <v>93</v>
      </c>
      <c r="AB8" s="7" t="s">
        <v>94</v>
      </c>
      <c r="AC8" s="7" t="s">
        <v>95</v>
      </c>
      <c r="AD8" s="7" t="s">
        <v>96</v>
      </c>
      <c r="AE8" s="8"/>
      <c r="AF8" s="7" t="s">
        <v>97</v>
      </c>
      <c r="AG8" s="7" t="s">
        <v>98</v>
      </c>
      <c r="AH8" s="7" t="s">
        <v>99</v>
      </c>
      <c r="AI8" s="7" t="s">
        <v>100</v>
      </c>
      <c r="AJ8" s="7" t="s">
        <v>101</v>
      </c>
      <c r="AK8" s="7" t="s">
        <v>102</v>
      </c>
      <c r="AN8" s="7" t="s">
        <v>103</v>
      </c>
      <c r="AO8" s="7" t="s">
        <v>104</v>
      </c>
      <c r="AQ8" s="7" t="s">
        <v>105</v>
      </c>
      <c r="AR8" s="7" t="s">
        <v>106</v>
      </c>
      <c r="AS8" s="7" t="s">
        <v>107</v>
      </c>
      <c r="AT8" s="7" t="s">
        <v>108</v>
      </c>
      <c r="AU8" s="7" t="s">
        <v>109</v>
      </c>
      <c r="AV8" s="7" t="s">
        <v>110</v>
      </c>
      <c r="AX8" s="7" t="s">
        <v>111</v>
      </c>
      <c r="AY8" s="7" t="s">
        <v>112</v>
      </c>
      <c r="AZ8" s="7" t="s">
        <v>113</v>
      </c>
      <c r="BA8" s="7" t="s">
        <v>114</v>
      </c>
      <c r="BC8" s="7" t="s">
        <v>115</v>
      </c>
      <c r="BD8" s="7" t="s">
        <v>116</v>
      </c>
      <c r="BE8" s="7" t="s">
        <v>117</v>
      </c>
      <c r="BF8" s="7" t="s">
        <v>118</v>
      </c>
      <c r="BG8" s="8"/>
      <c r="BH8" s="7" t="s">
        <v>119</v>
      </c>
      <c r="BI8" s="7" t="s">
        <v>120</v>
      </c>
      <c r="BJ8" s="7" t="s">
        <v>121</v>
      </c>
      <c r="BK8" s="7" t="s">
        <v>426</v>
      </c>
      <c r="BM8" s="7" t="s">
        <v>481</v>
      </c>
      <c r="BN8" s="7" t="s">
        <v>486</v>
      </c>
      <c r="BO8" s="7" t="s">
        <v>482</v>
      </c>
      <c r="BP8" s="7" t="s">
        <v>487</v>
      </c>
      <c r="BQ8" s="7" t="s">
        <v>483</v>
      </c>
      <c r="BR8" s="7" t="s">
        <v>490</v>
      </c>
      <c r="BS8" s="7" t="s">
        <v>473</v>
      </c>
      <c r="BT8" s="7" t="s">
        <v>491</v>
      </c>
      <c r="BU8" s="8"/>
      <c r="BV8" s="7">
        <v>45352</v>
      </c>
      <c r="BW8" s="7" t="s">
        <v>505</v>
      </c>
      <c r="BX8" s="7">
        <v>45444</v>
      </c>
      <c r="BY8" s="7" t="s">
        <v>531</v>
      </c>
      <c r="BZ8" s="7">
        <v>45536</v>
      </c>
      <c r="CA8" s="7" t="s">
        <v>588</v>
      </c>
      <c r="CB8" s="7">
        <v>45627</v>
      </c>
      <c r="CC8" s="8"/>
      <c r="CD8" s="7">
        <v>45717</v>
      </c>
      <c r="CE8" s="7">
        <v>45809</v>
      </c>
      <c r="CF8" s="7">
        <v>45901</v>
      </c>
    </row>
    <row r="9" spans="2:86" ht="4.5" customHeight="1" thickTop="1">
      <c r="G9" s="55"/>
      <c r="I9" s="55"/>
    </row>
    <row r="10" spans="2:86" ht="16.5" customHeight="1">
      <c r="B10" s="56" t="s">
        <v>264</v>
      </c>
      <c r="C10" s="57">
        <f>SUM(C12:C15)-C16</f>
        <v>2292775</v>
      </c>
      <c r="D10" s="57">
        <f>SUM(D12:D15)-D16</f>
        <v>2545153</v>
      </c>
      <c r="E10" s="57">
        <f>SUM(E12:E15)-E16</f>
        <v>2234744</v>
      </c>
      <c r="F10" s="57">
        <f>SUM(F12:F15)-F16</f>
        <v>2223617</v>
      </c>
      <c r="G10" s="58"/>
      <c r="H10" s="57">
        <f>SUM(H12:H15)-H16</f>
        <v>2640110</v>
      </c>
      <c r="I10" s="57">
        <f>SUM(I12:I15)-I16</f>
        <v>2849871</v>
      </c>
      <c r="J10" s="57">
        <f>SUM(J12:J15)-J16</f>
        <v>3212391</v>
      </c>
      <c r="K10" s="57">
        <f>SUM(K12:K15)-K16</f>
        <v>3877306</v>
      </c>
      <c r="L10" s="57">
        <f>SUM(L12:L15)-L16</f>
        <v>3997932</v>
      </c>
      <c r="M10" s="57"/>
      <c r="N10" s="57">
        <f t="shared" ref="N10:U10" si="0">SUM(N12:N15)-N16</f>
        <v>4056133</v>
      </c>
      <c r="O10" s="57">
        <f t="shared" si="0"/>
        <v>4042625</v>
      </c>
      <c r="P10" s="57">
        <f t="shared" si="0"/>
        <v>3395640</v>
      </c>
      <c r="Q10" s="57">
        <f t="shared" si="0"/>
        <v>3384378</v>
      </c>
      <c r="R10" s="57">
        <f t="shared" si="0"/>
        <v>3362235</v>
      </c>
      <c r="S10" s="57">
        <f t="shared" si="0"/>
        <v>3401921</v>
      </c>
      <c r="T10" s="57">
        <f t="shared" si="0"/>
        <v>3738876</v>
      </c>
      <c r="U10" s="57">
        <f t="shared" si="0"/>
        <v>3723960</v>
      </c>
      <c r="W10" s="57">
        <f t="shared" ref="W10:AD10" si="1">SUM(W12:W15)-W16</f>
        <v>3357194</v>
      </c>
      <c r="X10" s="57">
        <f t="shared" si="1"/>
        <v>3357194</v>
      </c>
      <c r="Y10" s="57">
        <f t="shared" si="1"/>
        <v>3565133</v>
      </c>
      <c r="Z10" s="57">
        <f t="shared" si="1"/>
        <v>3565133</v>
      </c>
      <c r="AA10" s="57">
        <f t="shared" si="1"/>
        <v>4066042</v>
      </c>
      <c r="AB10" s="57">
        <f t="shared" si="1"/>
        <v>4066041</v>
      </c>
      <c r="AC10" s="57">
        <f t="shared" si="1"/>
        <v>3585209</v>
      </c>
      <c r="AD10" s="57">
        <f t="shared" si="1"/>
        <v>3585211</v>
      </c>
      <c r="AE10" s="59"/>
      <c r="AF10" s="57">
        <f t="shared" ref="AF10:AK10" si="2">SUM(AF12:AF15)-AF16</f>
        <v>3310546</v>
      </c>
      <c r="AG10" s="57">
        <f t="shared" si="2"/>
        <v>3307952</v>
      </c>
      <c r="AH10" s="57">
        <f t="shared" si="2"/>
        <v>3617110</v>
      </c>
      <c r="AI10" s="57">
        <f t="shared" si="2"/>
        <v>3612406</v>
      </c>
      <c r="AJ10" s="57">
        <f t="shared" si="2"/>
        <v>3638242</v>
      </c>
      <c r="AK10" s="57">
        <f t="shared" si="2"/>
        <v>3634422</v>
      </c>
      <c r="AN10" s="57">
        <f>SUM(AN12:AN15)-AN16</f>
        <v>3748115</v>
      </c>
      <c r="AO10" s="57">
        <f>SUM(AO12:AO15)-AO16</f>
        <v>3739895</v>
      </c>
      <c r="AQ10" s="57">
        <f t="shared" ref="AQ10:AV10" si="3">SUM(AQ12:AQ15)-AQ16</f>
        <v>3721316</v>
      </c>
      <c r="AR10" s="57">
        <f t="shared" si="3"/>
        <v>3714904</v>
      </c>
      <c r="AS10" s="57">
        <f t="shared" si="3"/>
        <v>3860566</v>
      </c>
      <c r="AT10" s="57">
        <f t="shared" si="3"/>
        <v>3915193</v>
      </c>
      <c r="AU10" s="57">
        <f t="shared" si="3"/>
        <v>5227687</v>
      </c>
      <c r="AV10" s="57">
        <f t="shared" si="3"/>
        <v>3940804</v>
      </c>
      <c r="AX10" s="57">
        <f>SUM(AX12:AX15)-AX16</f>
        <v>3615782</v>
      </c>
      <c r="AY10" s="57">
        <f>SUM(AY12:AY15)-AY16</f>
        <v>3345810</v>
      </c>
      <c r="AZ10" s="57">
        <f>SUM(AZ12:AZ15)-AZ16</f>
        <v>3453182</v>
      </c>
      <c r="BA10" s="57">
        <f>SUM(BA12:BA15)-BA16</f>
        <v>3575749</v>
      </c>
      <c r="BC10" s="57">
        <f>SUM(BC12:BC15)-BC16</f>
        <v>3733014</v>
      </c>
      <c r="BD10" s="57">
        <f>SUM(BD12:BD15)-BD16</f>
        <v>4026624</v>
      </c>
      <c r="BE10" s="57">
        <f>SUM(BE12:BE15)-BE16</f>
        <v>4115415</v>
      </c>
      <c r="BF10" s="57">
        <f>SUM(BF12:BF15)-BF16</f>
        <v>4434066</v>
      </c>
      <c r="BG10" s="59"/>
      <c r="BH10" s="57">
        <f>SUM(BH12:BH15)-BH16</f>
        <v>4613707</v>
      </c>
      <c r="BI10" s="57">
        <f>SUM(BI12:BI15)-BI16</f>
        <v>5898089</v>
      </c>
      <c r="BJ10" s="57">
        <f>SUM(BJ12:BJ15)-BJ16</f>
        <v>5088106</v>
      </c>
      <c r="BK10" s="57">
        <f>SUM(BK12:BK15)-BK16</f>
        <v>5739804</v>
      </c>
      <c r="BL10" s="60"/>
      <c r="BM10" s="57">
        <f t="shared" ref="BM10:BS10" si="4">SUM(BM12:BM15)-BM16</f>
        <v>5744903</v>
      </c>
      <c r="BN10" s="57">
        <f t="shared" si="4"/>
        <v>3764711</v>
      </c>
      <c r="BO10" s="57">
        <f t="shared" si="4"/>
        <v>6392395</v>
      </c>
      <c r="BP10" s="57">
        <f t="shared" si="4"/>
        <v>4420689</v>
      </c>
      <c r="BQ10" s="57">
        <f t="shared" si="4"/>
        <v>4844339</v>
      </c>
      <c r="BR10" s="57">
        <f t="shared" ref="BR10" si="5">SUM(BR12:BR15)-BR16</f>
        <v>3074249</v>
      </c>
      <c r="BS10" s="57">
        <f t="shared" si="4"/>
        <v>5611464</v>
      </c>
      <c r="BT10" s="57">
        <f t="shared" ref="BT10" si="6">SUM(BT12:BT15)-BT16</f>
        <v>3933635</v>
      </c>
      <c r="BU10" s="59"/>
      <c r="BV10" s="57">
        <f t="shared" ref="BV10:CB10" si="7">SUM(BV12:BV15)-BV16</f>
        <v>4538378</v>
      </c>
      <c r="BW10" s="57">
        <f t="shared" si="7"/>
        <v>2718006</v>
      </c>
      <c r="BX10" s="57">
        <f t="shared" si="7"/>
        <v>3684628</v>
      </c>
      <c r="BY10" s="57">
        <f t="shared" si="7"/>
        <v>3436959</v>
      </c>
      <c r="BZ10" s="57">
        <f t="shared" si="7"/>
        <v>3310217</v>
      </c>
      <c r="CA10" s="57">
        <f t="shared" ref="CA10" si="8">SUM(CA12:CA15)-CA16</f>
        <v>2945836</v>
      </c>
      <c r="CB10" s="57">
        <f t="shared" si="7"/>
        <v>3623139</v>
      </c>
      <c r="CC10" s="59"/>
      <c r="CD10" s="57">
        <f>SUM(CD12:CD15)-CD16</f>
        <v>2903129</v>
      </c>
      <c r="CE10" s="57">
        <f>SUM(CE12:CE15)-CE16</f>
        <v>2688542</v>
      </c>
      <c r="CF10" s="57">
        <f>SUM(CF12:CF15)-CF16</f>
        <v>3343029</v>
      </c>
      <c r="CG10" s="60">
        <f>+CD10+CE10+CF10-'ER GA Cons Acum.'!C10</f>
        <v>0</v>
      </c>
      <c r="CH10" s="60">
        <f>+BW10+BY10+CA10-'ER GA Cons Acum.'!E10</f>
        <v>0</v>
      </c>
    </row>
    <row r="11" spans="2:86" ht="16.5" hidden="1" customHeight="1">
      <c r="B11" s="61" t="s">
        <v>35</v>
      </c>
      <c r="C11" s="62">
        <v>1115.1199999999999</v>
      </c>
      <c r="D11" s="62">
        <v>1367.51</v>
      </c>
      <c r="E11" s="62">
        <v>1143.54</v>
      </c>
      <c r="F11" s="62">
        <v>911.8</v>
      </c>
      <c r="G11" s="58"/>
      <c r="H11" s="62">
        <v>1057.43</v>
      </c>
      <c r="I11" s="62">
        <v>1140.18</v>
      </c>
      <c r="J11" s="62">
        <v>1092.03</v>
      </c>
      <c r="K11" s="62">
        <v>1267.8699999999999</v>
      </c>
      <c r="L11" s="62" t="e">
        <f>+#REF!-J11-I11-H11</f>
        <v>#REF!</v>
      </c>
      <c r="N11" s="62">
        <v>1057.43</v>
      </c>
      <c r="O11" s="62">
        <v>1057.43</v>
      </c>
      <c r="P11" s="62">
        <v>1057.43</v>
      </c>
      <c r="Q11" s="62">
        <v>1057.43</v>
      </c>
      <c r="R11" s="62">
        <v>1057.43</v>
      </c>
      <c r="S11" s="62">
        <v>1057.43</v>
      </c>
      <c r="T11" s="62"/>
      <c r="U11" s="62"/>
      <c r="W11" s="62">
        <v>1057.43</v>
      </c>
      <c r="X11" s="62">
        <v>1057.43</v>
      </c>
      <c r="Y11" s="62">
        <v>1057.43</v>
      </c>
      <c r="Z11" s="62">
        <v>1057.43</v>
      </c>
      <c r="AA11" s="62">
        <v>1057.43</v>
      </c>
      <c r="AB11" s="62">
        <v>1057.43</v>
      </c>
      <c r="AC11" s="62">
        <v>1057.43</v>
      </c>
      <c r="AD11" s="62">
        <v>1057.43</v>
      </c>
      <c r="AE11" s="63"/>
      <c r="AF11" s="62">
        <v>1057.43</v>
      </c>
      <c r="AG11" s="62">
        <v>1057.43</v>
      </c>
      <c r="AH11" s="62">
        <v>1057.43</v>
      </c>
      <c r="AI11" s="62">
        <v>1057.43</v>
      </c>
      <c r="AJ11" s="62">
        <v>1057.43</v>
      </c>
      <c r="AK11" s="62">
        <v>1057.43</v>
      </c>
      <c r="AN11" s="62">
        <v>1057.43</v>
      </c>
      <c r="AO11" s="62">
        <v>1057.43</v>
      </c>
      <c r="AQ11" s="62">
        <v>1057.43</v>
      </c>
      <c r="AR11" s="62">
        <v>1057.43</v>
      </c>
      <c r="AS11" s="62">
        <v>1057.43</v>
      </c>
      <c r="AT11" s="62">
        <v>1057.43</v>
      </c>
      <c r="AU11" s="62">
        <v>1057.43</v>
      </c>
      <c r="AV11" s="62">
        <v>1057.43</v>
      </c>
      <c r="AX11" s="62">
        <v>1057.43</v>
      </c>
      <c r="AY11" s="62">
        <v>1057.43</v>
      </c>
      <c r="AZ11" s="62">
        <v>1057.43</v>
      </c>
      <c r="BA11" s="62">
        <v>1057.43</v>
      </c>
      <c r="BC11" s="62">
        <v>1057.43</v>
      </c>
      <c r="BD11" s="62">
        <v>1057.43</v>
      </c>
      <c r="BE11" s="62">
        <v>1057.43</v>
      </c>
      <c r="BF11" s="62">
        <v>1057.43</v>
      </c>
      <c r="BG11" s="63"/>
      <c r="BH11" s="62">
        <v>1057.43</v>
      </c>
      <c r="BI11" s="62"/>
      <c r="BJ11" s="62"/>
      <c r="BK11" s="62"/>
      <c r="BM11" s="62"/>
      <c r="BN11" s="62"/>
      <c r="BO11" s="62"/>
      <c r="BP11" s="62"/>
      <c r="BQ11" s="62"/>
      <c r="BR11" s="62"/>
      <c r="BS11" s="62"/>
      <c r="BT11" s="62"/>
      <c r="BU11" s="63"/>
      <c r="BV11" s="62"/>
      <c r="BW11" s="62"/>
      <c r="BX11" s="62"/>
      <c r="BY11" s="62"/>
      <c r="BZ11" s="62"/>
      <c r="CA11" s="62"/>
      <c r="CB11" s="62"/>
      <c r="CC11" s="63"/>
      <c r="CD11" s="62"/>
      <c r="CE11" s="62"/>
      <c r="CF11" s="62"/>
    </row>
    <row r="12" spans="2:86" ht="16.5" customHeight="1">
      <c r="B12" s="64" t="s">
        <v>122</v>
      </c>
      <c r="C12" s="22">
        <v>1992290</v>
      </c>
      <c r="D12" s="22">
        <v>2374522</v>
      </c>
      <c r="E12" s="22">
        <v>2156742</v>
      </c>
      <c r="F12" s="65">
        <f>1861580+1+148990</f>
        <v>2010571</v>
      </c>
      <c r="G12" s="55"/>
      <c r="H12" s="22">
        <f>2473610+1</f>
        <v>2473611</v>
      </c>
      <c r="I12" s="22">
        <f>2620500-1</f>
        <v>2620499</v>
      </c>
      <c r="J12" s="22">
        <v>3121999</v>
      </c>
      <c r="K12" s="22">
        <f>3699920</f>
        <v>3699920</v>
      </c>
      <c r="L12" s="22">
        <v>3693705</v>
      </c>
      <c r="N12" s="22">
        <v>3759881</v>
      </c>
      <c r="O12" s="22">
        <v>3759881</v>
      </c>
      <c r="P12" s="22">
        <v>3268366</v>
      </c>
      <c r="Q12" s="22">
        <f>3268365</f>
        <v>3268365</v>
      </c>
      <c r="R12" s="22">
        <v>3105623</v>
      </c>
      <c r="S12" s="22">
        <v>3105623</v>
      </c>
      <c r="T12" s="22">
        <v>3001173</v>
      </c>
      <c r="U12" s="22">
        <v>3001173</v>
      </c>
      <c r="W12" s="22">
        <v>3059897</v>
      </c>
      <c r="X12" s="22">
        <v>3059897</v>
      </c>
      <c r="Y12" s="22">
        <v>3202231</v>
      </c>
      <c r="Z12" s="22">
        <v>3202231</v>
      </c>
      <c r="AA12" s="22">
        <v>3264247</v>
      </c>
      <c r="AB12" s="22">
        <v>3264247</v>
      </c>
      <c r="AC12" s="22">
        <v>3222833</v>
      </c>
      <c r="AD12" s="22">
        <f>3222833-1</f>
        <v>3222832</v>
      </c>
      <c r="AE12" s="22"/>
      <c r="AF12" s="22">
        <v>3073465</v>
      </c>
      <c r="AG12" s="22">
        <v>3070871</v>
      </c>
      <c r="AH12" s="22">
        <f>3298956+1</f>
        <v>3298957</v>
      </c>
      <c r="AI12" s="22">
        <v>3294253</v>
      </c>
      <c r="AJ12" s="22">
        <v>3439736</v>
      </c>
      <c r="AK12" s="22">
        <v>3435916</v>
      </c>
      <c r="AN12" s="22">
        <f>3399975+1+1</f>
        <v>3399977</v>
      </c>
      <c r="AO12" s="22">
        <f>3391756+1</f>
        <v>3391757</v>
      </c>
      <c r="AQ12" s="22">
        <v>3391160</v>
      </c>
      <c r="AR12" s="22">
        <v>3384748</v>
      </c>
      <c r="AS12" s="22">
        <f>3618287+1</f>
        <v>3618288</v>
      </c>
      <c r="AT12" s="22">
        <f>3610233+1</f>
        <v>3610234</v>
      </c>
      <c r="AU12" s="22">
        <v>3826892</v>
      </c>
      <c r="AV12" s="22">
        <v>3671283</v>
      </c>
      <c r="AX12" s="22">
        <v>3452172</v>
      </c>
      <c r="AY12" s="22">
        <v>3155161</v>
      </c>
      <c r="AZ12" s="22">
        <v>3354549</v>
      </c>
      <c r="BA12" s="22">
        <v>3476079</v>
      </c>
      <c r="BC12" s="22">
        <v>3574647</v>
      </c>
      <c r="BD12" s="22">
        <v>3708297</v>
      </c>
      <c r="BE12" s="22">
        <v>3842351</v>
      </c>
      <c r="BF12" s="22">
        <v>4149579</v>
      </c>
      <c r="BG12" s="22"/>
      <c r="BH12" s="22">
        <v>4313197</v>
      </c>
      <c r="BI12" s="22">
        <f>4508131+1</f>
        <v>4508132</v>
      </c>
      <c r="BJ12" s="22">
        <f>4756509-1</f>
        <v>4756508</v>
      </c>
      <c r="BK12" s="22">
        <f>5351083-1</f>
        <v>5351082</v>
      </c>
      <c r="BL12" s="60"/>
      <c r="BM12" s="22">
        <v>5288148</v>
      </c>
      <c r="BN12" s="22">
        <v>3278804</v>
      </c>
      <c r="BO12" s="22">
        <v>5365605</v>
      </c>
      <c r="BP12" s="22">
        <f>3367823+1</f>
        <v>3367824</v>
      </c>
      <c r="BQ12" s="22">
        <v>4669625</v>
      </c>
      <c r="BR12" s="22">
        <f>2873041-1</f>
        <v>2873040</v>
      </c>
      <c r="BS12" s="22">
        <v>4673162</v>
      </c>
      <c r="BT12" s="22">
        <v>2969767</v>
      </c>
      <c r="BU12" s="22"/>
      <c r="BV12" s="22">
        <v>2767290</v>
      </c>
      <c r="BW12" s="22">
        <v>2767290</v>
      </c>
      <c r="BX12" s="22">
        <f>3373785-1</f>
        <v>3373784</v>
      </c>
      <c r="BY12" s="22">
        <f>3373785-1</f>
        <v>3373784</v>
      </c>
      <c r="BZ12" s="22">
        <f>2821867+2</f>
        <v>2821869</v>
      </c>
      <c r="CA12" s="22">
        <f>2821867+1</f>
        <v>2821868</v>
      </c>
      <c r="CB12" s="22">
        <f>3508659-2</f>
        <v>3508657</v>
      </c>
      <c r="CC12" s="22"/>
      <c r="CD12" s="22">
        <v>2759423</v>
      </c>
      <c r="CE12" s="22">
        <v>2654792</v>
      </c>
      <c r="CF12" s="22">
        <f>2748702+1</f>
        <v>2748703</v>
      </c>
      <c r="CG12" s="60">
        <f>+CD12+CE12+CF12-'ER GA Cons Acum.'!C11</f>
        <v>0</v>
      </c>
      <c r="CH12" s="60">
        <f>+BW12+BY12+CA12-'ER GA Cons Acum.'!E11</f>
        <v>0</v>
      </c>
    </row>
    <row r="13" spans="2:86" ht="16.5" customHeight="1">
      <c r="B13" s="64" t="s">
        <v>123</v>
      </c>
      <c r="C13" s="22">
        <f>129401+41394</f>
        <v>170795</v>
      </c>
      <c r="D13" s="22">
        <f>103473-5545</f>
        <v>97928</v>
      </c>
      <c r="E13" s="22">
        <f>80766+1650</f>
        <v>82416</v>
      </c>
      <c r="F13" s="22">
        <f>-10405-14670</f>
        <v>-25075</v>
      </c>
      <c r="G13" s="55"/>
      <c r="H13" s="22">
        <f>51878+19502</f>
        <v>71380</v>
      </c>
      <c r="I13" s="22">
        <f>88150+1438</f>
        <v>89588</v>
      </c>
      <c r="J13" s="22">
        <f>237+1533</f>
        <v>1770</v>
      </c>
      <c r="K13" s="22">
        <f>7882-395</f>
        <v>7487</v>
      </c>
      <c r="L13" s="22">
        <v>8710</v>
      </c>
      <c r="N13" s="22">
        <v>61822</v>
      </c>
      <c r="O13" s="22">
        <v>61043</v>
      </c>
      <c r="P13" s="22">
        <v>24150</v>
      </c>
      <c r="Q13" s="22">
        <f>23394+1</f>
        <v>23395</v>
      </c>
      <c r="R13" s="22">
        <f>138944-17</f>
        <v>138927</v>
      </c>
      <c r="S13" s="22">
        <f>141845-17</f>
        <v>141828</v>
      </c>
      <c r="T13" s="22">
        <f>452070+1532</f>
        <v>453602</v>
      </c>
      <c r="U13" s="22">
        <f>450703+1532</f>
        <v>452235</v>
      </c>
      <c r="W13" s="22">
        <v>71238</v>
      </c>
      <c r="X13" s="22">
        <v>71238</v>
      </c>
      <c r="Y13" s="22">
        <f>111618+196</f>
        <v>111814</v>
      </c>
      <c r="Z13" s="22">
        <f>111618+196</f>
        <v>111814</v>
      </c>
      <c r="AA13" s="22">
        <v>439836</v>
      </c>
      <c r="AB13" s="22">
        <f>439836-1</f>
        <v>439835</v>
      </c>
      <c r="AC13" s="22">
        <f>71207+264</f>
        <v>71471</v>
      </c>
      <c r="AD13" s="22">
        <f>71207+264+1</f>
        <v>71472</v>
      </c>
      <c r="AE13" s="22"/>
      <c r="AF13" s="22">
        <v>86713</v>
      </c>
      <c r="AG13" s="22">
        <v>86713</v>
      </c>
      <c r="AH13" s="22">
        <v>45032</v>
      </c>
      <c r="AI13" s="22">
        <v>45032</v>
      </c>
      <c r="AJ13" s="22">
        <v>58866</v>
      </c>
      <c r="AK13" s="22">
        <v>58866</v>
      </c>
      <c r="AN13" s="22">
        <f>49321+1373</f>
        <v>50694</v>
      </c>
      <c r="AO13" s="22">
        <f>49321+1373</f>
        <v>50694</v>
      </c>
      <c r="AQ13" s="22">
        <v>90744</v>
      </c>
      <c r="AR13" s="22">
        <v>90744</v>
      </c>
      <c r="AS13" s="22">
        <v>41223</v>
      </c>
      <c r="AT13" s="22">
        <v>103904</v>
      </c>
      <c r="AU13" s="22">
        <v>1134165</v>
      </c>
      <c r="AV13" s="22">
        <v>45886</v>
      </c>
      <c r="AW13" s="60"/>
      <c r="AX13" s="22">
        <v>120584</v>
      </c>
      <c r="AY13" s="22">
        <f>70177+1</f>
        <v>70178</v>
      </c>
      <c r="AZ13" s="22">
        <f>52710</f>
        <v>52710</v>
      </c>
      <c r="BA13" s="22">
        <v>54121</v>
      </c>
      <c r="BB13" s="60"/>
      <c r="BC13" s="22">
        <v>90812</v>
      </c>
      <c r="BD13" s="22">
        <v>55087</v>
      </c>
      <c r="BE13" s="22">
        <v>57653</v>
      </c>
      <c r="BF13" s="22">
        <f>44157-1</f>
        <v>44156</v>
      </c>
      <c r="BG13" s="22"/>
      <c r="BH13" s="22">
        <v>48859</v>
      </c>
      <c r="BI13" s="22">
        <f>1109972-1</f>
        <v>1109971</v>
      </c>
      <c r="BJ13" s="22">
        <f>1927+1</f>
        <v>1928</v>
      </c>
      <c r="BK13" s="22">
        <v>26069</v>
      </c>
      <c r="BL13" s="60"/>
      <c r="BM13" s="22">
        <v>66722</v>
      </c>
      <c r="BN13" s="22">
        <v>66722</v>
      </c>
      <c r="BO13" s="22">
        <f>916861-1</f>
        <v>916860</v>
      </c>
      <c r="BP13" s="22">
        <f>916861-1</f>
        <v>916860</v>
      </c>
      <c r="BQ13" s="22">
        <v>4783</v>
      </c>
      <c r="BR13" s="22">
        <v>4783</v>
      </c>
      <c r="BS13" s="22">
        <v>775910</v>
      </c>
      <c r="BT13" s="22">
        <v>775910</v>
      </c>
      <c r="BU13" s="22"/>
      <c r="BV13" s="22">
        <v>7374</v>
      </c>
      <c r="BW13" s="22">
        <v>7374</v>
      </c>
      <c r="BX13" s="22">
        <v>22499</v>
      </c>
      <c r="BY13" s="22">
        <v>4425</v>
      </c>
      <c r="BZ13" s="22">
        <v>3593</v>
      </c>
      <c r="CA13" s="22">
        <v>3593</v>
      </c>
      <c r="CB13" s="22">
        <v>3828</v>
      </c>
      <c r="CC13" s="22"/>
      <c r="CD13" s="22">
        <v>15393</v>
      </c>
      <c r="CE13" s="22">
        <v>8326</v>
      </c>
      <c r="CF13" s="22">
        <v>469158</v>
      </c>
      <c r="CG13" s="60">
        <f>+CD13+CE13+CF13-'ER GA Cons Acum.'!C12</f>
        <v>0</v>
      </c>
      <c r="CH13" s="60">
        <f>+BW13+BY13+CA13-'ER GA Cons Acum.'!E12</f>
        <v>0</v>
      </c>
    </row>
    <row r="14" spans="2:86" ht="16.5" customHeight="1">
      <c r="B14" s="64" t="s">
        <v>124</v>
      </c>
      <c r="C14" s="22">
        <v>28578</v>
      </c>
      <c r="D14" s="22">
        <v>12288</v>
      </c>
      <c r="E14" s="22">
        <v>5193</v>
      </c>
      <c r="F14" s="22">
        <f>26088-1</f>
        <v>26087</v>
      </c>
      <c r="G14" s="55"/>
      <c r="H14" s="22">
        <v>10870</v>
      </c>
      <c r="I14" s="22">
        <v>16535</v>
      </c>
      <c r="J14" s="22">
        <v>46411</v>
      </c>
      <c r="K14" s="22">
        <v>224999</v>
      </c>
      <c r="L14" s="22">
        <v>328551</v>
      </c>
      <c r="N14" s="22">
        <v>115479</v>
      </c>
      <c r="O14" s="22">
        <v>115479</v>
      </c>
      <c r="P14" s="22">
        <v>10460</v>
      </c>
      <c r="Q14" s="22">
        <v>10460</v>
      </c>
      <c r="R14" s="22">
        <v>59828</v>
      </c>
      <c r="S14" s="22">
        <v>59828</v>
      </c>
      <c r="T14" s="22">
        <v>183614</v>
      </c>
      <c r="U14" s="22">
        <v>183614</v>
      </c>
      <c r="W14" s="22">
        <v>127058</v>
      </c>
      <c r="X14" s="22">
        <v>127058</v>
      </c>
      <c r="Y14" s="22">
        <v>234338</v>
      </c>
      <c r="Z14" s="22">
        <v>234338</v>
      </c>
      <c r="AA14" s="22">
        <v>284908</v>
      </c>
      <c r="AB14" s="22">
        <v>284908</v>
      </c>
      <c r="AC14" s="22">
        <v>246472</v>
      </c>
      <c r="AD14" s="22">
        <v>246472</v>
      </c>
      <c r="AE14" s="22"/>
      <c r="AF14" s="22">
        <v>114913</v>
      </c>
      <c r="AG14" s="22">
        <f>114913-1024</f>
        <v>113889</v>
      </c>
      <c r="AH14" s="22">
        <f>179778+1</f>
        <v>179779</v>
      </c>
      <c r="AI14" s="22">
        <f>179778+1+1024</f>
        <v>180803</v>
      </c>
      <c r="AJ14" s="22">
        <v>110811</v>
      </c>
      <c r="AK14" s="22">
        <v>110811</v>
      </c>
      <c r="AN14" s="22">
        <v>288479</v>
      </c>
      <c r="AO14" s="22">
        <v>288479</v>
      </c>
      <c r="AQ14" s="22">
        <v>127462</v>
      </c>
      <c r="AR14" s="22">
        <v>127462</v>
      </c>
      <c r="AS14" s="22">
        <v>124351</v>
      </c>
      <c r="AT14" s="22">
        <v>124351</v>
      </c>
      <c r="AU14" s="22">
        <v>177656</v>
      </c>
      <c r="AV14" s="22">
        <v>258046</v>
      </c>
      <c r="AX14" s="22">
        <v>133480</v>
      </c>
      <c r="AY14" s="22">
        <v>83247</v>
      </c>
      <c r="AZ14" s="22">
        <v>60061</v>
      </c>
      <c r="BA14" s="22">
        <v>144687</v>
      </c>
      <c r="BC14" s="22">
        <v>83836</v>
      </c>
      <c r="BD14" s="22">
        <v>200422</v>
      </c>
      <c r="BE14" s="22">
        <f>136057-1</f>
        <v>136056</v>
      </c>
      <c r="BF14" s="22">
        <f>201350+1</f>
        <v>201351</v>
      </c>
      <c r="BG14" s="22"/>
      <c r="BH14" s="22">
        <v>180506</v>
      </c>
      <c r="BI14" s="22">
        <v>210080</v>
      </c>
      <c r="BJ14" s="22">
        <v>142535</v>
      </c>
      <c r="BK14" s="22">
        <v>227868</v>
      </c>
      <c r="BL14" s="60"/>
      <c r="BM14" s="22">
        <v>223016</v>
      </c>
      <c r="BN14" s="22">
        <v>222759</v>
      </c>
      <c r="BO14" s="22">
        <v>168244</v>
      </c>
      <c r="BP14" s="22">
        <f>168000-1</f>
        <v>167999</v>
      </c>
      <c r="BQ14" s="22">
        <v>75539</v>
      </c>
      <c r="BR14" s="22">
        <v>75053</v>
      </c>
      <c r="BS14" s="22">
        <v>77239</v>
      </c>
      <c r="BT14" s="22">
        <f>76965+1</f>
        <v>76966</v>
      </c>
      <c r="BU14" s="22"/>
      <c r="BV14" s="22">
        <v>-49256</v>
      </c>
      <c r="BW14" s="22">
        <v>-49256</v>
      </c>
      <c r="BX14" s="22">
        <v>62718</v>
      </c>
      <c r="BY14" s="22">
        <v>62718</v>
      </c>
      <c r="BZ14" s="22">
        <f>47421-1</f>
        <v>47420</v>
      </c>
      <c r="CA14" s="22">
        <f>47421-1</f>
        <v>47420</v>
      </c>
      <c r="CB14" s="22">
        <f>125052+1</f>
        <v>125053</v>
      </c>
      <c r="CC14" s="22"/>
      <c r="CD14" s="22">
        <v>52183</v>
      </c>
      <c r="CE14" s="22">
        <v>57213</v>
      </c>
      <c r="CF14" s="22">
        <v>63033</v>
      </c>
      <c r="CG14" s="60">
        <f>+CD14+CE14+CF14-'ER GA Cons Acum.'!C13</f>
        <v>0</v>
      </c>
      <c r="CH14" s="60">
        <f>+BW14+BY14+CA14-'ER GA Cons Acum.'!E13</f>
        <v>0</v>
      </c>
    </row>
    <row r="15" spans="2:86" ht="25">
      <c r="B15" s="64" t="s">
        <v>125</v>
      </c>
      <c r="C15" s="22">
        <f>203796-58</f>
        <v>203738</v>
      </c>
      <c r="D15" s="22">
        <f>167817+1913</f>
        <v>169730</v>
      </c>
      <c r="E15" s="22">
        <f>87705+1335</f>
        <v>89040</v>
      </c>
      <c r="F15" s="22">
        <f>-42376+4793</f>
        <v>-37583</v>
      </c>
      <c r="G15" s="55"/>
      <c r="H15" s="22">
        <v>101940</v>
      </c>
      <c r="I15" s="22">
        <f>147307+829</f>
        <v>148136</v>
      </c>
      <c r="J15" s="22">
        <f>80792-1711</f>
        <v>79081</v>
      </c>
      <c r="K15" s="22">
        <f>-31596+94+1</f>
        <v>-31501</v>
      </c>
      <c r="L15" s="22">
        <v>-9435</v>
      </c>
      <c r="N15" s="22">
        <v>167011</v>
      </c>
      <c r="O15" s="22">
        <v>154281</v>
      </c>
      <c r="P15" s="22">
        <f>137323-1</f>
        <v>137322</v>
      </c>
      <c r="Q15" s="22">
        <v>126817</v>
      </c>
      <c r="R15" s="22">
        <f>103988-468</f>
        <v>103520</v>
      </c>
      <c r="S15" s="22">
        <f>140773-468</f>
        <v>140305</v>
      </c>
      <c r="T15" s="22">
        <v>132145</v>
      </c>
      <c r="U15" s="22">
        <f>117208+1389-1</f>
        <v>118596</v>
      </c>
      <c r="W15" s="22">
        <v>129970</v>
      </c>
      <c r="X15" s="22">
        <v>129970</v>
      </c>
      <c r="Y15" s="22">
        <f>77954-1386</f>
        <v>76568</v>
      </c>
      <c r="Z15" s="22">
        <f>77954-1386</f>
        <v>76568</v>
      </c>
      <c r="AA15" s="22">
        <v>130368</v>
      </c>
      <c r="AB15" s="22">
        <v>130368</v>
      </c>
      <c r="AC15" s="22">
        <f>102341-3524</f>
        <v>98817</v>
      </c>
      <c r="AD15" s="22">
        <f>102341-3524+1</f>
        <v>98818</v>
      </c>
      <c r="AE15" s="22"/>
      <c r="AF15" s="22">
        <v>111887</v>
      </c>
      <c r="AG15" s="22">
        <v>111887</v>
      </c>
      <c r="AH15" s="22">
        <v>143208</v>
      </c>
      <c r="AI15" s="22">
        <v>143208</v>
      </c>
      <c r="AJ15" s="22">
        <f>137782+1</f>
        <v>137783</v>
      </c>
      <c r="AK15" s="22">
        <f>137782+1</f>
        <v>137783</v>
      </c>
      <c r="AN15" s="22">
        <f>94488-2184-1</f>
        <v>92303</v>
      </c>
      <c r="AO15" s="22">
        <f>94488-2184-1</f>
        <v>92303</v>
      </c>
      <c r="AQ15" s="22">
        <v>176866</v>
      </c>
      <c r="AR15" s="22">
        <v>176866</v>
      </c>
      <c r="AS15" s="22">
        <f>141946-1</f>
        <v>141945</v>
      </c>
      <c r="AT15" s="22">
        <f>141946-1</f>
        <v>141945</v>
      </c>
      <c r="AU15" s="22">
        <v>148648</v>
      </c>
      <c r="AV15" s="22">
        <v>21304</v>
      </c>
      <c r="AX15" s="22">
        <v>-35478</v>
      </c>
      <c r="AY15" s="22">
        <v>72921</v>
      </c>
      <c r="AZ15" s="22">
        <f>34895-1</f>
        <v>34894</v>
      </c>
      <c r="BA15" s="22">
        <v>-41977</v>
      </c>
      <c r="BC15" s="22">
        <v>33765</v>
      </c>
      <c r="BD15" s="22">
        <v>117246</v>
      </c>
      <c r="BE15" s="22">
        <v>141236</v>
      </c>
      <c r="BF15" s="22">
        <v>101985</v>
      </c>
      <c r="BG15" s="22"/>
      <c r="BH15" s="22">
        <v>136898</v>
      </c>
      <c r="BI15" s="22">
        <v>146077</v>
      </c>
      <c r="BJ15" s="22">
        <f>260997-1</f>
        <v>260996</v>
      </c>
      <c r="BK15" s="22">
        <f>215301+1</f>
        <v>215302</v>
      </c>
      <c r="BL15" s="60"/>
      <c r="BM15" s="22">
        <v>251006</v>
      </c>
      <c r="BN15" s="22">
        <v>251006</v>
      </c>
      <c r="BO15" s="22">
        <v>18635</v>
      </c>
      <c r="BP15" s="22">
        <v>18635</v>
      </c>
      <c r="BQ15" s="22">
        <v>163718</v>
      </c>
      <c r="BR15" s="22">
        <v>163718</v>
      </c>
      <c r="BS15" s="22">
        <f>153064-1</f>
        <v>153063</v>
      </c>
      <c r="BT15" s="22">
        <f>153064-1</f>
        <v>153063</v>
      </c>
      <c r="BU15" s="22"/>
      <c r="BV15" s="22">
        <v>1860870</v>
      </c>
      <c r="BW15" s="22">
        <v>40498</v>
      </c>
      <c r="BX15" s="22">
        <f>286154-1</f>
        <v>286153</v>
      </c>
      <c r="BY15" s="22">
        <f>56557+1</f>
        <v>56558</v>
      </c>
      <c r="BZ15" s="22">
        <f>483727+1</f>
        <v>483728</v>
      </c>
      <c r="CA15" s="22">
        <v>119348</v>
      </c>
      <c r="CB15" s="22">
        <v>24892</v>
      </c>
      <c r="CC15" s="22"/>
      <c r="CD15" s="22">
        <v>115321</v>
      </c>
      <c r="CE15" s="22">
        <f>7787+1</f>
        <v>7788</v>
      </c>
      <c r="CF15" s="22">
        <f>105491-1</f>
        <v>105490</v>
      </c>
      <c r="CG15" s="60">
        <f>+CD15+CE15+CF15-'ER GA Cons Acum.'!C14</f>
        <v>0</v>
      </c>
      <c r="CH15" s="60">
        <f>+BW15+BY15+CA15-'ER GA Cons Acum.'!E14</f>
        <v>0</v>
      </c>
    </row>
    <row r="16" spans="2:86" ht="16.5" customHeight="1">
      <c r="B16" s="64" t="s">
        <v>126</v>
      </c>
      <c r="C16" s="22">
        <v>102626</v>
      </c>
      <c r="D16" s="22">
        <v>109315</v>
      </c>
      <c r="E16" s="22">
        <v>98647</v>
      </c>
      <c r="F16" s="22">
        <v>-249617</v>
      </c>
      <c r="G16" s="55"/>
      <c r="H16" s="22">
        <v>17691</v>
      </c>
      <c r="I16" s="22">
        <v>24887</v>
      </c>
      <c r="J16" s="22">
        <v>36870</v>
      </c>
      <c r="K16" s="22">
        <f>23598+1</f>
        <v>23599</v>
      </c>
      <c r="L16" s="22">
        <v>23599</v>
      </c>
      <c r="N16" s="22">
        <v>48060</v>
      </c>
      <c r="O16" s="22">
        <v>48059</v>
      </c>
      <c r="P16" s="22">
        <v>44658</v>
      </c>
      <c r="Q16" s="22">
        <f>44658+1</f>
        <v>44659</v>
      </c>
      <c r="R16" s="22">
        <v>45663</v>
      </c>
      <c r="S16" s="22">
        <v>45663</v>
      </c>
      <c r="T16" s="22">
        <v>31658</v>
      </c>
      <c r="U16" s="22">
        <v>31658</v>
      </c>
      <c r="W16" s="22">
        <v>30969</v>
      </c>
      <c r="X16" s="22">
        <v>30969</v>
      </c>
      <c r="Y16" s="22">
        <v>59818</v>
      </c>
      <c r="Z16" s="22">
        <v>59818</v>
      </c>
      <c r="AA16" s="22">
        <v>53317</v>
      </c>
      <c r="AB16" s="22">
        <v>53317</v>
      </c>
      <c r="AC16" s="22">
        <v>54384</v>
      </c>
      <c r="AD16" s="22">
        <f>54384-1</f>
        <v>54383</v>
      </c>
      <c r="AE16" s="22"/>
      <c r="AF16" s="22">
        <v>76432</v>
      </c>
      <c r="AG16" s="22">
        <f>76432-1024</f>
        <v>75408</v>
      </c>
      <c r="AH16" s="22">
        <v>49866</v>
      </c>
      <c r="AI16" s="22">
        <f>49866+1024</f>
        <v>50890</v>
      </c>
      <c r="AJ16" s="22">
        <v>108954</v>
      </c>
      <c r="AK16" s="22">
        <v>108954</v>
      </c>
      <c r="AN16" s="22">
        <v>83338</v>
      </c>
      <c r="AO16" s="22">
        <v>83338</v>
      </c>
      <c r="AQ16" s="22">
        <v>64916</v>
      </c>
      <c r="AR16" s="22">
        <v>64916</v>
      </c>
      <c r="AS16" s="22">
        <v>65241</v>
      </c>
      <c r="AT16" s="22">
        <v>65241</v>
      </c>
      <c r="AU16" s="22">
        <v>59674</v>
      </c>
      <c r="AV16" s="22">
        <v>55715</v>
      </c>
      <c r="AX16" s="22">
        <v>54976</v>
      </c>
      <c r="AY16" s="22">
        <v>35697</v>
      </c>
      <c r="AZ16" s="22">
        <v>49032</v>
      </c>
      <c r="BA16" s="22">
        <v>57161</v>
      </c>
      <c r="BC16" s="66">
        <v>50046</v>
      </c>
      <c r="BD16" s="66">
        <v>54428</v>
      </c>
      <c r="BE16" s="66">
        <v>61881</v>
      </c>
      <c r="BF16" s="66">
        <v>63005</v>
      </c>
      <c r="BG16" s="66"/>
      <c r="BH16" s="66">
        <v>65753</v>
      </c>
      <c r="BI16" s="66">
        <f>76172-1</f>
        <v>76171</v>
      </c>
      <c r="BJ16" s="66">
        <v>73861</v>
      </c>
      <c r="BK16" s="66">
        <f>80516+1</f>
        <v>80517</v>
      </c>
      <c r="BL16" s="60"/>
      <c r="BM16" s="66">
        <v>83989</v>
      </c>
      <c r="BN16" s="66">
        <v>54580</v>
      </c>
      <c r="BO16" s="66">
        <v>76949</v>
      </c>
      <c r="BP16" s="66">
        <v>50629</v>
      </c>
      <c r="BQ16" s="66">
        <v>69326</v>
      </c>
      <c r="BR16" s="66">
        <v>42345</v>
      </c>
      <c r="BS16" s="66">
        <v>67910</v>
      </c>
      <c r="BT16" s="66">
        <v>42071</v>
      </c>
      <c r="BU16" s="66"/>
      <c r="BV16" s="66">
        <v>47900</v>
      </c>
      <c r="BW16" s="66">
        <v>47900</v>
      </c>
      <c r="BX16" s="66">
        <v>60526</v>
      </c>
      <c r="BY16" s="66">
        <v>60526</v>
      </c>
      <c r="BZ16" s="66">
        <v>46393</v>
      </c>
      <c r="CA16" s="66">
        <v>46393</v>
      </c>
      <c r="CB16" s="66">
        <v>39291</v>
      </c>
      <c r="CC16" s="66"/>
      <c r="CD16" s="66">
        <v>39191</v>
      </c>
      <c r="CE16" s="66">
        <f>39576+1</f>
        <v>39577</v>
      </c>
      <c r="CF16" s="66">
        <v>43355</v>
      </c>
      <c r="CG16" s="60">
        <f>+CD16+CE16+CF16-'ER GA Cons Acum.'!C16</f>
        <v>0</v>
      </c>
      <c r="CH16" s="60">
        <f>+BW16+BY16+CA16-'ER GA Cons Acum.'!E16</f>
        <v>0</v>
      </c>
    </row>
    <row r="17" spans="2:86" ht="6.75" customHeight="1">
      <c r="C17" s="55"/>
      <c r="D17" s="66"/>
      <c r="E17" s="66"/>
      <c r="F17" s="66"/>
      <c r="G17" s="55"/>
      <c r="H17" s="66"/>
      <c r="I17" s="66"/>
      <c r="J17" s="66"/>
      <c r="K17" s="66"/>
      <c r="L17" s="66"/>
      <c r="N17" s="66"/>
      <c r="O17" s="66"/>
      <c r="P17" s="66"/>
      <c r="Q17" s="66"/>
      <c r="R17" s="66"/>
      <c r="S17" s="66"/>
      <c r="T17" s="66"/>
      <c r="U17" s="66"/>
      <c r="W17" s="66"/>
      <c r="X17" s="66"/>
      <c r="Y17" s="66"/>
      <c r="Z17" s="66"/>
      <c r="AA17" s="66"/>
      <c r="AB17" s="66"/>
      <c r="AC17" s="66"/>
      <c r="AD17" s="66"/>
      <c r="AE17" s="66"/>
      <c r="AF17" s="66"/>
      <c r="AG17" s="66"/>
      <c r="AH17" s="66"/>
      <c r="AI17" s="66"/>
      <c r="AJ17" s="66"/>
      <c r="AK17" s="66"/>
      <c r="AN17" s="66"/>
      <c r="AO17" s="66"/>
      <c r="AQ17" s="66"/>
      <c r="AR17" s="66"/>
      <c r="AS17" s="66"/>
      <c r="AT17" s="66"/>
      <c r="AU17" s="66"/>
      <c r="AV17" s="66"/>
      <c r="AX17" s="66"/>
      <c r="AY17" s="66"/>
      <c r="AZ17" s="66"/>
      <c r="BA17" s="66"/>
      <c r="BL17" s="60"/>
      <c r="CG17" s="60"/>
      <c r="CH17" s="60"/>
    </row>
    <row r="18" spans="2:86" ht="16.5" customHeight="1">
      <c r="B18" s="56" t="s">
        <v>127</v>
      </c>
      <c r="C18" s="67">
        <f>SUM(C19:C22)</f>
        <v>1395579</v>
      </c>
      <c r="D18" s="59">
        <f>SUM(D19:D22)</f>
        <v>1718950.8439674901</v>
      </c>
      <c r="E18" s="59">
        <f>SUM(E19:E22)</f>
        <v>1646441</v>
      </c>
      <c r="F18" s="59">
        <f>SUM(F19:F22)</f>
        <v>1815266</v>
      </c>
      <c r="G18" s="55"/>
      <c r="H18" s="59">
        <f>SUM(H19:H22)</f>
        <v>1932374</v>
      </c>
      <c r="I18" s="59">
        <f t="shared" ref="I18:U18" si="9">SUM(I19:I22)</f>
        <v>2028265</v>
      </c>
      <c r="J18" s="59">
        <f t="shared" si="9"/>
        <v>2441431</v>
      </c>
      <c r="K18" s="59">
        <f t="shared" si="9"/>
        <v>3228975</v>
      </c>
      <c r="L18" s="59">
        <f t="shared" si="9"/>
        <v>3322002</v>
      </c>
      <c r="M18" s="59">
        <f t="shared" si="9"/>
        <v>0</v>
      </c>
      <c r="N18" s="59">
        <f t="shared" si="9"/>
        <v>2952728</v>
      </c>
      <c r="O18" s="59">
        <f t="shared" si="9"/>
        <v>2952525</v>
      </c>
      <c r="P18" s="59">
        <f t="shared" si="9"/>
        <v>2379246</v>
      </c>
      <c r="Q18" s="59">
        <f t="shared" si="9"/>
        <v>2378643</v>
      </c>
      <c r="R18" s="59">
        <f t="shared" si="9"/>
        <v>2357572</v>
      </c>
      <c r="S18" s="59">
        <f t="shared" si="9"/>
        <v>2361600</v>
      </c>
      <c r="T18" s="59">
        <f t="shared" si="9"/>
        <v>2741928</v>
      </c>
      <c r="U18" s="59">
        <f t="shared" si="9"/>
        <v>2738706</v>
      </c>
      <c r="W18" s="59">
        <f t="shared" ref="W18:AD18" si="10">SUM(W19:W22)</f>
        <v>2416638</v>
      </c>
      <c r="X18" s="59">
        <f t="shared" si="10"/>
        <v>2479144</v>
      </c>
      <c r="Y18" s="59">
        <f t="shared" si="10"/>
        <v>2476082</v>
      </c>
      <c r="Z18" s="59">
        <f t="shared" si="10"/>
        <v>2579363</v>
      </c>
      <c r="AA18" s="59">
        <f t="shared" si="10"/>
        <v>2622976</v>
      </c>
      <c r="AB18" s="59">
        <f t="shared" si="10"/>
        <v>2854732</v>
      </c>
      <c r="AC18" s="59">
        <f t="shared" si="10"/>
        <v>2803579</v>
      </c>
      <c r="AD18" s="59">
        <f t="shared" si="10"/>
        <v>2578896</v>
      </c>
      <c r="AE18" s="59"/>
      <c r="AF18" s="59">
        <f t="shared" ref="AF18:AK18" si="11">SUM(AF19:AF22)</f>
        <v>2317141</v>
      </c>
      <c r="AG18" s="59">
        <f t="shared" si="11"/>
        <v>2375672</v>
      </c>
      <c r="AH18" s="59">
        <f t="shared" si="11"/>
        <v>2546340</v>
      </c>
      <c r="AI18" s="59">
        <f t="shared" si="11"/>
        <v>2604825</v>
      </c>
      <c r="AJ18" s="59">
        <f t="shared" si="11"/>
        <v>2579168</v>
      </c>
      <c r="AK18" s="59">
        <f t="shared" si="11"/>
        <v>2579169</v>
      </c>
      <c r="AN18" s="59">
        <f t="shared" ref="AN18:AO18" si="12">SUM(AN19:AN22)</f>
        <v>2651727</v>
      </c>
      <c r="AO18" s="59">
        <f t="shared" si="12"/>
        <v>2651727</v>
      </c>
      <c r="AQ18" s="59">
        <f t="shared" ref="AQ18:AV18" si="13">SUM(AQ19:AQ22)</f>
        <v>2685456</v>
      </c>
      <c r="AR18" s="59">
        <f t="shared" si="13"/>
        <v>2685456</v>
      </c>
      <c r="AS18" s="59">
        <f t="shared" si="13"/>
        <v>2822418</v>
      </c>
      <c r="AT18" s="59">
        <f t="shared" si="13"/>
        <v>2866576</v>
      </c>
      <c r="AU18" s="59">
        <f t="shared" si="13"/>
        <v>3851920</v>
      </c>
      <c r="AV18" s="59">
        <f t="shared" si="13"/>
        <v>2861060</v>
      </c>
      <c r="AX18" s="59">
        <f t="shared" ref="AX18:BA18" si="14">SUM(AX19:AX22)</f>
        <v>2797682</v>
      </c>
      <c r="AY18" s="59">
        <f t="shared" si="14"/>
        <v>2498216</v>
      </c>
      <c r="AZ18" s="59">
        <f t="shared" si="14"/>
        <v>2615417</v>
      </c>
      <c r="BA18" s="59">
        <f t="shared" si="14"/>
        <v>2720609</v>
      </c>
      <c r="BC18" s="59">
        <f t="shared" ref="BC18:BF18" si="15">SUM(BC19:BC22)</f>
        <v>2750841</v>
      </c>
      <c r="BD18" s="59">
        <f t="shared" si="15"/>
        <v>2923945</v>
      </c>
      <c r="BE18" s="59">
        <f t="shared" si="15"/>
        <v>2989665</v>
      </c>
      <c r="BF18" s="59">
        <f t="shared" si="15"/>
        <v>3183862</v>
      </c>
      <c r="BG18" s="59"/>
      <c r="BH18" s="59">
        <f t="shared" ref="BH18:BJ18" si="16">SUM(BH19:BH22)</f>
        <v>3417804</v>
      </c>
      <c r="BI18" s="59">
        <f t="shared" si="16"/>
        <v>4472689</v>
      </c>
      <c r="BJ18" s="59">
        <f t="shared" si="16"/>
        <v>3673290</v>
      </c>
      <c r="BK18" s="59">
        <f t="shared" ref="BK18:BM18" si="17">SUM(BK19:BK22)</f>
        <v>4227589</v>
      </c>
      <c r="BL18" s="60"/>
      <c r="BM18" s="59">
        <f t="shared" si="17"/>
        <v>3959964</v>
      </c>
      <c r="BN18" s="59">
        <f t="shared" ref="BN18" si="18">SUM(BN19:BN22)</f>
        <v>2294982</v>
      </c>
      <c r="BO18" s="59">
        <f t="shared" ref="BO18:BQ18" si="19">SUM(BO19:BO22)</f>
        <v>4551409</v>
      </c>
      <c r="BP18" s="59">
        <f t="shared" ref="BP18" si="20">SUM(BP19:BP22)</f>
        <v>3015363</v>
      </c>
      <c r="BQ18" s="59">
        <f t="shared" si="19"/>
        <v>3464541</v>
      </c>
      <c r="BR18" s="59">
        <f t="shared" ref="BR18" si="21">SUM(BR19:BR22)</f>
        <v>2125840</v>
      </c>
      <c r="BS18" s="59">
        <f t="shared" ref="BS18:BT18" si="22">SUM(BS19:BS22)</f>
        <v>4336176</v>
      </c>
      <c r="BT18" s="59">
        <f t="shared" si="22"/>
        <v>3059893</v>
      </c>
      <c r="BU18" s="59"/>
      <c r="BV18" s="59">
        <f t="shared" ref="BV18:BZ18" si="23">SUM(BV19:BV22)</f>
        <v>2067545</v>
      </c>
      <c r="BW18" s="59">
        <f t="shared" ref="BW18" si="24">SUM(BW19:BW22)</f>
        <v>2067544</v>
      </c>
      <c r="BX18" s="59">
        <f t="shared" si="23"/>
        <v>2541181</v>
      </c>
      <c r="BY18" s="59">
        <f t="shared" ref="BY18" si="25">SUM(BY19:BY22)</f>
        <v>2521985</v>
      </c>
      <c r="BZ18" s="59">
        <f t="shared" si="23"/>
        <v>2090947</v>
      </c>
      <c r="CA18" s="59">
        <f t="shared" ref="CA18" si="26">SUM(CA19:CA22)</f>
        <v>2091726</v>
      </c>
      <c r="CB18" s="59">
        <f t="shared" ref="CB18" si="27">SUM(CB19:CB22)</f>
        <v>2885126</v>
      </c>
      <c r="CC18" s="59"/>
      <c r="CD18" s="59">
        <f t="shared" ref="CD18:CE18" si="28">SUM(CD19:CD22)</f>
        <v>1952215</v>
      </c>
      <c r="CE18" s="59">
        <f t="shared" si="28"/>
        <v>1863369</v>
      </c>
      <c r="CF18" s="59">
        <f t="shared" ref="CF18" si="29">SUM(CF19:CF22)</f>
        <v>2479691</v>
      </c>
      <c r="CG18" s="60">
        <f>+CD18+CE18+CF18-'ER GA Cons Acum.'!C18</f>
        <v>0</v>
      </c>
      <c r="CH18" s="60">
        <f>+BW18+BY18+CA18-'ER GA Cons Acum.'!E18</f>
        <v>0</v>
      </c>
    </row>
    <row r="19" spans="2:86" ht="16.5" customHeight="1">
      <c r="B19" s="64" t="s">
        <v>128</v>
      </c>
      <c r="C19" s="68">
        <v>1219105</v>
      </c>
      <c r="D19" s="22">
        <v>1457032.1981916202</v>
      </c>
      <c r="E19" s="22">
        <v>1470281</v>
      </c>
      <c r="F19" s="65">
        <f>1532585+148990</f>
        <v>1681575</v>
      </c>
      <c r="G19" s="55"/>
      <c r="H19" s="22">
        <f>1735140+1</f>
        <v>1735141</v>
      </c>
      <c r="I19" s="22">
        <f>1816481-1</f>
        <v>1816480</v>
      </c>
      <c r="J19" s="22">
        <v>2234831</v>
      </c>
      <c r="K19" s="22">
        <v>2846760</v>
      </c>
      <c r="L19" s="22">
        <v>2925128</v>
      </c>
      <c r="N19" s="22">
        <v>2695173</v>
      </c>
      <c r="O19" s="22">
        <v>2695173</v>
      </c>
      <c r="P19" s="22">
        <v>2175634</v>
      </c>
      <c r="Q19" s="22">
        <v>2175634</v>
      </c>
      <c r="R19" s="22">
        <v>2066846</v>
      </c>
      <c r="S19" s="22">
        <v>2066846</v>
      </c>
      <c r="T19" s="22">
        <v>2045753</v>
      </c>
      <c r="U19" s="22">
        <v>2045753</v>
      </c>
      <c r="W19" s="22">
        <v>2100364</v>
      </c>
      <c r="X19" s="22">
        <v>2162870</v>
      </c>
      <c r="Y19" s="22">
        <f>2051400</f>
        <v>2051400</v>
      </c>
      <c r="Z19" s="22">
        <f>2154681-1</f>
        <v>2154680</v>
      </c>
      <c r="AA19" s="22">
        <v>2074681</v>
      </c>
      <c r="AB19" s="22">
        <v>2180785</v>
      </c>
      <c r="AC19" s="22">
        <f>2486736+2</f>
        <v>2486738</v>
      </c>
      <c r="AD19" s="22">
        <f>2214846+2</f>
        <v>2214848</v>
      </c>
      <c r="AE19" s="22"/>
      <c r="AF19" s="22">
        <v>2086302</v>
      </c>
      <c r="AG19" s="22">
        <v>2086302</v>
      </c>
      <c r="AH19" s="22">
        <f>2268617+1</f>
        <v>2268618</v>
      </c>
      <c r="AI19" s="22">
        <f>2268617+1</f>
        <v>2268618</v>
      </c>
      <c r="AJ19" s="22">
        <v>2276872</v>
      </c>
      <c r="AK19" s="22">
        <v>2276872</v>
      </c>
      <c r="AL19" s="60"/>
      <c r="AM19" s="60"/>
      <c r="AN19" s="22">
        <v>2349342</v>
      </c>
      <c r="AO19" s="22">
        <v>2349342</v>
      </c>
      <c r="AP19" s="60"/>
      <c r="AQ19" s="22">
        <v>2346085</v>
      </c>
      <c r="AR19" s="22">
        <v>2346085</v>
      </c>
      <c r="AS19" s="22">
        <f>2439852+1</f>
        <v>2439853</v>
      </c>
      <c r="AT19" s="22">
        <f>2439852+1</f>
        <v>2439853</v>
      </c>
      <c r="AU19" s="22">
        <f>2647845-1</f>
        <v>2647844</v>
      </c>
      <c r="AV19" s="22">
        <v>2458935</v>
      </c>
      <c r="AW19" s="60"/>
      <c r="AX19" s="22">
        <v>2383062</v>
      </c>
      <c r="AY19" s="22">
        <v>2122510</v>
      </c>
      <c r="AZ19" s="22">
        <v>2247991</v>
      </c>
      <c r="BA19" s="22">
        <v>2312010</v>
      </c>
      <c r="BB19" s="60"/>
      <c r="BC19" s="22">
        <v>2383803</v>
      </c>
      <c r="BD19" s="22">
        <f>2485337+1</f>
        <v>2485338</v>
      </c>
      <c r="BE19" s="22">
        <v>2603062</v>
      </c>
      <c r="BF19" s="22">
        <v>2772862</v>
      </c>
      <c r="BG19" s="22"/>
      <c r="BH19" s="22">
        <v>3013948</v>
      </c>
      <c r="BI19" s="22">
        <v>3029728</v>
      </c>
      <c r="BJ19" s="22">
        <f>3268886+1</f>
        <v>3268887</v>
      </c>
      <c r="BK19" s="22">
        <v>3850700</v>
      </c>
      <c r="BL19" s="60"/>
      <c r="BM19" s="22">
        <f>3625245-1</f>
        <v>3625244</v>
      </c>
      <c r="BN19" s="22">
        <f>2102680-1</f>
        <v>2102679</v>
      </c>
      <c r="BO19" s="22">
        <v>3659688</v>
      </c>
      <c r="BP19" s="22">
        <f>2242908+2</f>
        <v>2242910</v>
      </c>
      <c r="BQ19" s="22">
        <f>3130544+1</f>
        <v>3130545</v>
      </c>
      <c r="BR19" s="22">
        <f>1897309-2</f>
        <v>1897307</v>
      </c>
      <c r="BS19" s="22">
        <v>3134110</v>
      </c>
      <c r="BT19" s="22">
        <f>1970023+1</f>
        <v>1970024</v>
      </c>
      <c r="BU19" s="22"/>
      <c r="BV19" s="22">
        <f>1879474+1</f>
        <v>1879475</v>
      </c>
      <c r="BW19" s="22">
        <f>1879474</f>
        <v>1879474</v>
      </c>
      <c r="BX19" s="22">
        <v>2311671</v>
      </c>
      <c r="BY19" s="22">
        <f>2311671+1</f>
        <v>2311672</v>
      </c>
      <c r="BZ19" s="22">
        <v>1867712</v>
      </c>
      <c r="CA19" s="22">
        <v>1867712</v>
      </c>
      <c r="CB19" s="22">
        <f>2574668-1</f>
        <v>2574667</v>
      </c>
      <c r="CC19" s="22"/>
      <c r="CD19" s="22">
        <f>1748224-1</f>
        <v>1748223</v>
      </c>
      <c r="CE19" s="22">
        <f>1650992+1</f>
        <v>1650993</v>
      </c>
      <c r="CF19" s="22">
        <v>1731825</v>
      </c>
      <c r="CG19" s="60">
        <f>+CD19+CE19+CF19-'ER GA Cons Acum.'!C19</f>
        <v>0</v>
      </c>
      <c r="CH19" s="60">
        <f>+BW19+BY19+CA19-'ER GA Cons Acum.'!E19</f>
        <v>0</v>
      </c>
    </row>
    <row r="20" spans="2:86" ht="16.5" customHeight="1">
      <c r="B20" s="64" t="s">
        <v>129</v>
      </c>
      <c r="C20" s="68">
        <v>133215</v>
      </c>
      <c r="D20" s="22">
        <v>147306.10460471999</v>
      </c>
      <c r="E20" s="22">
        <v>111773</v>
      </c>
      <c r="F20" s="22">
        <f>78595-1</f>
        <v>78594</v>
      </c>
      <c r="G20" s="55"/>
      <c r="H20" s="22">
        <v>197626</v>
      </c>
      <c r="I20" s="22">
        <v>166732</v>
      </c>
      <c r="J20" s="22">
        <v>189486</v>
      </c>
      <c r="K20" s="22">
        <v>201199</v>
      </c>
      <c r="L20" s="22">
        <v>200459</v>
      </c>
      <c r="N20" s="22">
        <v>214247</v>
      </c>
      <c r="O20" s="22">
        <v>213654</v>
      </c>
      <c r="P20" s="22">
        <v>196554</v>
      </c>
      <c r="Q20" s="22">
        <v>195961</v>
      </c>
      <c r="R20" s="22">
        <v>200431</v>
      </c>
      <c r="S20" s="22">
        <v>204459</v>
      </c>
      <c r="T20" s="22">
        <v>243653</v>
      </c>
      <c r="U20" s="22">
        <v>240811</v>
      </c>
      <c r="W20" s="22">
        <v>245643</v>
      </c>
      <c r="X20" s="22">
        <v>245643</v>
      </c>
      <c r="Y20" s="22">
        <f>227496</f>
        <v>227496</v>
      </c>
      <c r="Z20" s="22">
        <f>227496</f>
        <v>227496</v>
      </c>
      <c r="AA20" s="22">
        <v>233124</v>
      </c>
      <c r="AB20" s="22">
        <v>358777</v>
      </c>
      <c r="AC20" s="22">
        <v>224870</v>
      </c>
      <c r="AD20" s="22">
        <f>272076+1</f>
        <v>272077</v>
      </c>
      <c r="AE20" s="22"/>
      <c r="AF20" s="22">
        <v>221530</v>
      </c>
      <c r="AG20" s="22">
        <v>280061</v>
      </c>
      <c r="AH20" s="22">
        <v>235774</v>
      </c>
      <c r="AI20" s="22">
        <f>294260-1</f>
        <v>294259</v>
      </c>
      <c r="AJ20" s="22">
        <f>285940-1</f>
        <v>285939</v>
      </c>
      <c r="AK20" s="22">
        <f>285940</f>
        <v>285940</v>
      </c>
      <c r="AL20" s="60">
        <f>+AG20-AF20</f>
        <v>58531</v>
      </c>
      <c r="AM20" s="60">
        <f>+AI20-AH20</f>
        <v>58485</v>
      </c>
      <c r="AN20" s="22">
        <f>268477+1</f>
        <v>268478</v>
      </c>
      <c r="AO20" s="22">
        <f>268477+1</f>
        <v>268478</v>
      </c>
      <c r="AP20" s="60"/>
      <c r="AQ20" s="22">
        <v>328510</v>
      </c>
      <c r="AR20" s="22">
        <v>328510</v>
      </c>
      <c r="AS20" s="22">
        <v>373108</v>
      </c>
      <c r="AT20" s="22">
        <v>373108</v>
      </c>
      <c r="AU20" s="22">
        <v>365534</v>
      </c>
      <c r="AV20" s="22">
        <v>344788</v>
      </c>
      <c r="AW20" s="60"/>
      <c r="AX20" s="22">
        <v>356537</v>
      </c>
      <c r="AY20" s="22">
        <v>368685</v>
      </c>
      <c r="AZ20" s="22">
        <v>357938</v>
      </c>
      <c r="BA20" s="22">
        <v>358260</v>
      </c>
      <c r="BB20" s="60"/>
      <c r="BC20" s="22">
        <v>360552</v>
      </c>
      <c r="BD20" s="22">
        <v>367081</v>
      </c>
      <c r="BE20" s="22">
        <v>366743</v>
      </c>
      <c r="BF20" s="22">
        <f>371398-1</f>
        <v>371397</v>
      </c>
      <c r="BG20" s="22"/>
      <c r="BH20" s="22">
        <v>373933</v>
      </c>
      <c r="BI20" s="22">
        <f>363100+1</f>
        <v>363101</v>
      </c>
      <c r="BJ20" s="22">
        <f>379860-1</f>
        <v>379859</v>
      </c>
      <c r="BK20" s="22">
        <v>324989</v>
      </c>
      <c r="BL20" s="60"/>
      <c r="BM20" s="22">
        <v>312775</v>
      </c>
      <c r="BN20" s="22">
        <v>170358</v>
      </c>
      <c r="BO20" s="22">
        <v>301873</v>
      </c>
      <c r="BP20" s="22">
        <v>182605</v>
      </c>
      <c r="BQ20" s="22">
        <v>282270</v>
      </c>
      <c r="BR20" s="22">
        <v>176806</v>
      </c>
      <c r="BS20" s="22">
        <v>304144</v>
      </c>
      <c r="BT20" s="22">
        <v>191948</v>
      </c>
      <c r="BU20" s="22"/>
      <c r="BV20" s="22">
        <v>171741</v>
      </c>
      <c r="BW20" s="22">
        <v>171741</v>
      </c>
      <c r="BX20" s="22">
        <v>186150</v>
      </c>
      <c r="BY20" s="22">
        <v>186150</v>
      </c>
      <c r="BZ20" s="22">
        <v>201421</v>
      </c>
      <c r="CA20" s="22">
        <v>201421</v>
      </c>
      <c r="CB20" s="22">
        <f>203574+1</f>
        <v>203575</v>
      </c>
      <c r="CC20" s="22"/>
      <c r="CD20" s="22">
        <v>185648</v>
      </c>
      <c r="CE20" s="22">
        <v>195713</v>
      </c>
      <c r="CF20" s="22">
        <v>188986</v>
      </c>
      <c r="CG20" s="60">
        <f>+CD20+CE20+CF20-'ER GA Cons Acum.'!C20</f>
        <v>0</v>
      </c>
      <c r="CH20" s="60">
        <f>+BW20+BY20+CA20-'ER GA Cons Acum.'!E20</f>
        <v>0</v>
      </c>
    </row>
    <row r="21" spans="2:86" ht="15.75" customHeight="1">
      <c r="B21" s="64" t="s">
        <v>130</v>
      </c>
      <c r="C21" s="68">
        <v>32888</v>
      </c>
      <c r="D21" s="22">
        <v>116153.38323199999</v>
      </c>
      <c r="E21" s="22">
        <v>65351</v>
      </c>
      <c r="F21" s="22">
        <v>42445</v>
      </c>
      <c r="G21" s="55"/>
      <c r="H21" s="22">
        <v>0</v>
      </c>
      <c r="I21" s="22">
        <v>42075</v>
      </c>
      <c r="J21" s="22">
        <v>0</v>
      </c>
      <c r="K21" s="22">
        <v>57390</v>
      </c>
      <c r="L21" s="22">
        <v>57390</v>
      </c>
      <c r="N21" s="22">
        <v>11323</v>
      </c>
      <c r="O21" s="22">
        <v>11713</v>
      </c>
      <c r="P21" s="22">
        <f>79</f>
        <v>79</v>
      </c>
      <c r="Q21" s="22">
        <v>69</v>
      </c>
      <c r="R21" s="22">
        <v>77774</v>
      </c>
      <c r="S21" s="22">
        <v>77774</v>
      </c>
      <c r="T21" s="22">
        <v>373087</v>
      </c>
      <c r="U21" s="22">
        <v>372707</v>
      </c>
      <c r="W21" s="22">
        <v>0</v>
      </c>
      <c r="X21" s="22">
        <v>0</v>
      </c>
      <c r="Y21" s="22">
        <v>66801</v>
      </c>
      <c r="Z21" s="22">
        <v>66801</v>
      </c>
      <c r="AA21" s="22">
        <f>250218-1</f>
        <v>250217</v>
      </c>
      <c r="AB21" s="22">
        <f>250218-1</f>
        <v>250217</v>
      </c>
      <c r="AC21" s="22">
        <v>0</v>
      </c>
      <c r="AD21" s="22">
        <v>0</v>
      </c>
      <c r="AE21" s="22"/>
      <c r="AF21" s="22">
        <v>0</v>
      </c>
      <c r="AG21" s="22">
        <v>0</v>
      </c>
      <c r="AH21" s="22">
        <v>0</v>
      </c>
      <c r="AI21" s="22">
        <v>0</v>
      </c>
      <c r="AJ21" s="22">
        <v>0</v>
      </c>
      <c r="AK21" s="22">
        <v>0</v>
      </c>
      <c r="AN21" s="22">
        <v>932</v>
      </c>
      <c r="AO21" s="22">
        <v>932</v>
      </c>
      <c r="AQ21" s="22">
        <v>0</v>
      </c>
      <c r="AR21" s="22">
        <v>0</v>
      </c>
      <c r="AS21" s="22">
        <v>0</v>
      </c>
      <c r="AT21" s="22">
        <v>44158</v>
      </c>
      <c r="AU21" s="22">
        <v>781170</v>
      </c>
      <c r="AV21" s="22">
        <v>0</v>
      </c>
      <c r="AW21" s="60"/>
      <c r="AX21" s="22">
        <v>43276</v>
      </c>
      <c r="AY21" s="22">
        <v>0</v>
      </c>
      <c r="AZ21" s="22">
        <v>835</v>
      </c>
      <c r="BA21" s="22">
        <v>18630</v>
      </c>
      <c r="BB21" s="60"/>
      <c r="BC21" s="22">
        <v>0</v>
      </c>
      <c r="BD21" s="22">
        <v>909</v>
      </c>
      <c r="BE21" s="22">
        <v>0</v>
      </c>
      <c r="BF21" s="22">
        <v>6874</v>
      </c>
      <c r="BG21" s="22"/>
      <c r="BH21" s="22">
        <v>0</v>
      </c>
      <c r="BI21" s="22">
        <v>1044922</v>
      </c>
      <c r="BJ21" s="22">
        <v>0</v>
      </c>
      <c r="BK21" s="22">
        <v>0</v>
      </c>
      <c r="BL21" s="60"/>
      <c r="BM21" s="22">
        <v>0</v>
      </c>
      <c r="BN21" s="22">
        <v>0</v>
      </c>
      <c r="BO21" s="22">
        <v>569751</v>
      </c>
      <c r="BP21" s="22">
        <v>569751</v>
      </c>
      <c r="BQ21" s="22">
        <v>0</v>
      </c>
      <c r="BR21" s="22">
        <v>0</v>
      </c>
      <c r="BS21" s="22">
        <v>830382</v>
      </c>
      <c r="BT21" s="22">
        <v>830382</v>
      </c>
      <c r="BU21" s="22"/>
      <c r="BV21" s="22">
        <v>0</v>
      </c>
      <c r="BW21" s="22">
        <v>0</v>
      </c>
      <c r="BX21" s="22">
        <v>19197</v>
      </c>
      <c r="BY21" s="22">
        <v>0</v>
      </c>
      <c r="BZ21" s="22">
        <v>-779</v>
      </c>
      <c r="CA21" s="22">
        <v>0</v>
      </c>
      <c r="CB21" s="22">
        <v>0</v>
      </c>
      <c r="CC21" s="22"/>
      <c r="CD21" s="22">
        <v>7490</v>
      </c>
      <c r="CE21" s="22">
        <v>0</v>
      </c>
      <c r="CF21" s="22">
        <v>541493</v>
      </c>
      <c r="CG21" s="60">
        <f>+CD21+CE21+CF21-'ER GA Cons Acum.'!C21</f>
        <v>0</v>
      </c>
      <c r="CH21" s="60">
        <f>+BW21+BY21+CA21-'ER GA Cons Acum.'!E21</f>
        <v>0</v>
      </c>
    </row>
    <row r="22" spans="2:86" ht="15" customHeight="1">
      <c r="B22" s="64" t="s">
        <v>131</v>
      </c>
      <c r="C22" s="68">
        <v>10371</v>
      </c>
      <c r="D22" s="22">
        <v>-1540.8420608499998</v>
      </c>
      <c r="E22" s="22">
        <v>-964</v>
      </c>
      <c r="F22" s="22">
        <v>12652</v>
      </c>
      <c r="G22" s="55"/>
      <c r="H22" s="22">
        <v>-393</v>
      </c>
      <c r="I22" s="22">
        <v>2978</v>
      </c>
      <c r="J22" s="22">
        <v>17114</v>
      </c>
      <c r="K22" s="22">
        <v>123626</v>
      </c>
      <c r="L22" s="22">
        <v>139025</v>
      </c>
      <c r="N22" s="22">
        <v>31985</v>
      </c>
      <c r="O22" s="22">
        <v>31985</v>
      </c>
      <c r="P22" s="22">
        <v>6979</v>
      </c>
      <c r="Q22" s="22">
        <v>6979</v>
      </c>
      <c r="R22" s="22">
        <v>12521</v>
      </c>
      <c r="S22" s="22">
        <v>12521</v>
      </c>
      <c r="T22" s="22">
        <v>79435</v>
      </c>
      <c r="U22" s="22">
        <v>79435</v>
      </c>
      <c r="W22" s="22">
        <v>70631</v>
      </c>
      <c r="X22" s="22">
        <v>70631</v>
      </c>
      <c r="Y22" s="22">
        <v>130385</v>
      </c>
      <c r="Z22" s="22">
        <f>130385+1</f>
        <v>130386</v>
      </c>
      <c r="AA22" s="22">
        <f>64953+1</f>
        <v>64954</v>
      </c>
      <c r="AB22" s="22">
        <f>64953</f>
        <v>64953</v>
      </c>
      <c r="AC22" s="22">
        <v>91971</v>
      </c>
      <c r="AD22" s="22">
        <v>91971</v>
      </c>
      <c r="AE22" s="22"/>
      <c r="AF22" s="22">
        <v>9309</v>
      </c>
      <c r="AG22" s="22">
        <v>9309</v>
      </c>
      <c r="AH22" s="22">
        <v>41948</v>
      </c>
      <c r="AI22" s="22">
        <v>41948</v>
      </c>
      <c r="AJ22" s="22">
        <f>16356+1</f>
        <v>16357</v>
      </c>
      <c r="AK22" s="22">
        <f>16356+1</f>
        <v>16357</v>
      </c>
      <c r="AN22" s="22">
        <v>32975</v>
      </c>
      <c r="AO22" s="22">
        <v>32975</v>
      </c>
      <c r="AQ22" s="22">
        <v>10861</v>
      </c>
      <c r="AR22" s="22">
        <v>10861</v>
      </c>
      <c r="AS22" s="22">
        <v>9457</v>
      </c>
      <c r="AT22" s="22">
        <v>9457</v>
      </c>
      <c r="AU22" s="22">
        <v>57372</v>
      </c>
      <c r="AV22" s="22">
        <v>57337</v>
      </c>
      <c r="AW22" s="60"/>
      <c r="AX22" s="22">
        <v>14807</v>
      </c>
      <c r="AY22" s="22">
        <v>7021</v>
      </c>
      <c r="AZ22" s="22">
        <v>8653</v>
      </c>
      <c r="BA22" s="22">
        <f>31710-1</f>
        <v>31709</v>
      </c>
      <c r="BB22" s="60"/>
      <c r="BC22" s="22">
        <v>6486</v>
      </c>
      <c r="BD22" s="22">
        <f>70616+1</f>
        <v>70617</v>
      </c>
      <c r="BE22" s="22">
        <v>19860</v>
      </c>
      <c r="BF22" s="22">
        <v>32729</v>
      </c>
      <c r="BG22" s="22"/>
      <c r="BH22" s="22">
        <v>29923</v>
      </c>
      <c r="BI22" s="22">
        <f>34939-1</f>
        <v>34938</v>
      </c>
      <c r="BJ22" s="22">
        <f>24543+1</f>
        <v>24544</v>
      </c>
      <c r="BK22" s="22">
        <f>51901-1</f>
        <v>51900</v>
      </c>
      <c r="BL22" s="60"/>
      <c r="BM22" s="22">
        <v>21945</v>
      </c>
      <c r="BN22" s="22">
        <v>21945</v>
      </c>
      <c r="BO22" s="22">
        <v>20097</v>
      </c>
      <c r="BP22" s="22">
        <v>20097</v>
      </c>
      <c r="BQ22" s="22">
        <f>51727-1</f>
        <v>51726</v>
      </c>
      <c r="BR22" s="22">
        <f>51727</f>
        <v>51727</v>
      </c>
      <c r="BS22" s="22">
        <f>67539+1</f>
        <v>67540</v>
      </c>
      <c r="BT22" s="22">
        <f>67539</f>
        <v>67539</v>
      </c>
      <c r="BU22" s="22"/>
      <c r="BV22" s="22">
        <v>16329</v>
      </c>
      <c r="BW22" s="22">
        <v>16329</v>
      </c>
      <c r="BX22" s="22">
        <v>24163</v>
      </c>
      <c r="BY22" s="22">
        <v>24163</v>
      </c>
      <c r="BZ22" s="22">
        <v>22593</v>
      </c>
      <c r="CA22" s="22">
        <v>22593</v>
      </c>
      <c r="CB22" s="22">
        <f>106883+1</f>
        <v>106884</v>
      </c>
      <c r="CC22" s="22"/>
      <c r="CD22" s="22">
        <v>10854</v>
      </c>
      <c r="CE22" s="22">
        <f>16664-1</f>
        <v>16663</v>
      </c>
      <c r="CF22" s="22">
        <v>17387</v>
      </c>
      <c r="CG22" s="60">
        <f>+CD22+CE22+CF22-'ER GA Cons Acum.'!C22</f>
        <v>0</v>
      </c>
      <c r="CH22" s="60">
        <f>+BW22+BY22+CA22-'ER GA Cons Acum.'!E22</f>
        <v>0</v>
      </c>
    </row>
    <row r="23" spans="2:86" ht="10.5" customHeight="1">
      <c r="C23" s="55"/>
      <c r="D23" s="66"/>
      <c r="E23" s="66"/>
      <c r="F23" s="66"/>
      <c r="G23" s="55"/>
      <c r="H23" s="66"/>
      <c r="I23" s="66"/>
      <c r="J23" s="66"/>
      <c r="K23" s="66"/>
      <c r="L23" s="66"/>
      <c r="N23" s="66"/>
      <c r="O23" s="66"/>
      <c r="P23" s="66"/>
      <c r="Q23" s="66"/>
      <c r="R23" s="66"/>
      <c r="S23" s="66"/>
      <c r="T23" s="66"/>
      <c r="U23" s="66"/>
      <c r="W23" s="66"/>
      <c r="X23" s="66"/>
      <c r="Y23" s="66"/>
      <c r="Z23" s="66"/>
      <c r="AA23" s="66"/>
      <c r="AB23" s="66"/>
      <c r="AC23" s="66"/>
      <c r="AD23" s="66"/>
      <c r="AE23" s="66"/>
      <c r="AF23" s="66"/>
      <c r="AG23" s="66"/>
      <c r="AH23" s="66"/>
      <c r="AI23" s="66"/>
      <c r="AJ23" s="66"/>
      <c r="AK23" s="66"/>
      <c r="AN23" s="66"/>
      <c r="AO23" s="66"/>
      <c r="AQ23" s="66"/>
      <c r="AR23" s="66"/>
      <c r="AS23" s="66"/>
      <c r="AT23" s="66"/>
      <c r="AU23" s="66"/>
      <c r="AV23" s="66"/>
      <c r="AW23" s="60"/>
      <c r="AX23" s="66"/>
      <c r="AY23" s="66"/>
      <c r="AZ23" s="66"/>
      <c r="BA23" s="66"/>
      <c r="BB23" s="60"/>
      <c r="BC23" s="66"/>
      <c r="BD23" s="66"/>
      <c r="BE23" s="66"/>
      <c r="BF23" s="66"/>
      <c r="BG23" s="66"/>
      <c r="BH23" s="66"/>
      <c r="BI23" s="66"/>
      <c r="BJ23" s="66"/>
      <c r="BK23" s="66"/>
      <c r="BL23" s="60"/>
      <c r="BM23" s="66"/>
      <c r="BN23" s="66"/>
      <c r="BO23" s="66"/>
      <c r="BP23" s="66"/>
      <c r="BQ23" s="66"/>
      <c r="BR23" s="66"/>
      <c r="BS23" s="66"/>
      <c r="BT23" s="66"/>
      <c r="BU23" s="66"/>
      <c r="BV23" s="66"/>
      <c r="BW23" s="66"/>
      <c r="BX23" s="66"/>
      <c r="BY23" s="66"/>
      <c r="BZ23" s="66"/>
      <c r="CA23" s="66"/>
      <c r="CB23" s="66"/>
      <c r="CC23" s="66"/>
      <c r="CD23" s="66"/>
      <c r="CE23" s="66"/>
      <c r="CF23" s="66"/>
      <c r="CG23" s="60"/>
      <c r="CH23" s="60"/>
    </row>
    <row r="24" spans="2:86" s="56" customFormat="1" ht="16.5" customHeight="1">
      <c r="B24" s="56" t="s">
        <v>132</v>
      </c>
      <c r="C24" s="69">
        <f>+C10-C18</f>
        <v>897196</v>
      </c>
      <c r="D24" s="70">
        <f>+D10-D18</f>
        <v>826202.15603250987</v>
      </c>
      <c r="E24" s="70">
        <f>+E10-E18</f>
        <v>588303</v>
      </c>
      <c r="F24" s="70">
        <f>+F10-F18</f>
        <v>408351</v>
      </c>
      <c r="G24" s="55"/>
      <c r="H24" s="70">
        <f>+H10-H18</f>
        <v>707736</v>
      </c>
      <c r="I24" s="70">
        <f>+I10-I18</f>
        <v>821606</v>
      </c>
      <c r="J24" s="70">
        <f>+J10-J18</f>
        <v>770960</v>
      </c>
      <c r="K24" s="70">
        <f>+K10-K18</f>
        <v>648331</v>
      </c>
      <c r="L24" s="70">
        <f>+L10-L18</f>
        <v>675930</v>
      </c>
      <c r="N24" s="70">
        <f t="shared" ref="N24:U24" si="30">+N10-N18</f>
        <v>1103405</v>
      </c>
      <c r="O24" s="70">
        <f t="shared" si="30"/>
        <v>1090100</v>
      </c>
      <c r="P24" s="70">
        <f t="shared" si="30"/>
        <v>1016394</v>
      </c>
      <c r="Q24" s="70">
        <f t="shared" si="30"/>
        <v>1005735</v>
      </c>
      <c r="R24" s="70">
        <f t="shared" si="30"/>
        <v>1004663</v>
      </c>
      <c r="S24" s="70">
        <f t="shared" si="30"/>
        <v>1040321</v>
      </c>
      <c r="T24" s="70">
        <f t="shared" si="30"/>
        <v>996948</v>
      </c>
      <c r="U24" s="70">
        <f t="shared" si="30"/>
        <v>985254</v>
      </c>
      <c r="W24" s="70">
        <f t="shared" ref="W24:AD24" si="31">+W10-W18</f>
        <v>940556</v>
      </c>
      <c r="X24" s="70">
        <f t="shared" si="31"/>
        <v>878050</v>
      </c>
      <c r="Y24" s="70">
        <f t="shared" si="31"/>
        <v>1089051</v>
      </c>
      <c r="Z24" s="70">
        <f t="shared" si="31"/>
        <v>985770</v>
      </c>
      <c r="AA24" s="70">
        <f t="shared" si="31"/>
        <v>1443066</v>
      </c>
      <c r="AB24" s="70">
        <f t="shared" si="31"/>
        <v>1211309</v>
      </c>
      <c r="AC24" s="70">
        <f t="shared" si="31"/>
        <v>781630</v>
      </c>
      <c r="AD24" s="70">
        <f t="shared" si="31"/>
        <v>1006315</v>
      </c>
      <c r="AE24" s="70"/>
      <c r="AF24" s="70">
        <f t="shared" ref="AF24:AK24" si="32">+AF10-AF18</f>
        <v>993405</v>
      </c>
      <c r="AG24" s="70">
        <f t="shared" si="32"/>
        <v>932280</v>
      </c>
      <c r="AH24" s="70">
        <f t="shared" si="32"/>
        <v>1070770</v>
      </c>
      <c r="AI24" s="70">
        <f t="shared" si="32"/>
        <v>1007581</v>
      </c>
      <c r="AJ24" s="70">
        <f t="shared" si="32"/>
        <v>1059074</v>
      </c>
      <c r="AK24" s="70">
        <f t="shared" si="32"/>
        <v>1055253</v>
      </c>
      <c r="AN24" s="70">
        <f>+AN10-AN18</f>
        <v>1096388</v>
      </c>
      <c r="AO24" s="70">
        <f>+AO10-AO18</f>
        <v>1088168</v>
      </c>
      <c r="AQ24" s="70">
        <f t="shared" ref="AQ24:AV24" si="33">+AQ10-AQ18</f>
        <v>1035860</v>
      </c>
      <c r="AR24" s="70">
        <f t="shared" si="33"/>
        <v>1029448</v>
      </c>
      <c r="AS24" s="70">
        <f t="shared" si="33"/>
        <v>1038148</v>
      </c>
      <c r="AT24" s="70">
        <f t="shared" si="33"/>
        <v>1048617</v>
      </c>
      <c r="AU24" s="70">
        <f t="shared" si="33"/>
        <v>1375767</v>
      </c>
      <c r="AV24" s="70">
        <f t="shared" si="33"/>
        <v>1079744</v>
      </c>
      <c r="AW24" s="71"/>
      <c r="AX24" s="70">
        <f>+AX10-AX18</f>
        <v>818100</v>
      </c>
      <c r="AY24" s="70">
        <f>+AY10-AY18</f>
        <v>847594</v>
      </c>
      <c r="AZ24" s="70">
        <f>+AZ10-AZ18</f>
        <v>837765</v>
      </c>
      <c r="BA24" s="70">
        <f>+BA10-BA18</f>
        <v>855140</v>
      </c>
      <c r="BB24" s="71"/>
      <c r="BC24" s="70">
        <f>+BC10-BC18</f>
        <v>982173</v>
      </c>
      <c r="BD24" s="70">
        <f>+BD10-BD18</f>
        <v>1102679</v>
      </c>
      <c r="BE24" s="70">
        <f>+BE10-BE18</f>
        <v>1125750</v>
      </c>
      <c r="BF24" s="70">
        <f>+BF10-BF18</f>
        <v>1250204</v>
      </c>
      <c r="BG24" s="70"/>
      <c r="BH24" s="70">
        <f>+BH10-BH18</f>
        <v>1195903</v>
      </c>
      <c r="BI24" s="70">
        <f>+BI10-BI18</f>
        <v>1425400</v>
      </c>
      <c r="BJ24" s="70">
        <f>+BJ10-BJ18</f>
        <v>1414816</v>
      </c>
      <c r="BK24" s="70">
        <f>+BK10-BK18</f>
        <v>1512215</v>
      </c>
      <c r="BL24" s="60"/>
      <c r="BM24" s="70">
        <f t="shared" ref="BM24:BS24" si="34">+BM10-BM18</f>
        <v>1784939</v>
      </c>
      <c r="BN24" s="70">
        <f t="shared" si="34"/>
        <v>1469729</v>
      </c>
      <c r="BO24" s="70">
        <f t="shared" si="34"/>
        <v>1840986</v>
      </c>
      <c r="BP24" s="70">
        <f t="shared" si="34"/>
        <v>1405326</v>
      </c>
      <c r="BQ24" s="70">
        <f t="shared" si="34"/>
        <v>1379798</v>
      </c>
      <c r="BR24" s="70">
        <f t="shared" ref="BR24" si="35">+BR10-BR18</f>
        <v>948409</v>
      </c>
      <c r="BS24" s="70">
        <f t="shared" si="34"/>
        <v>1275288</v>
      </c>
      <c r="BT24" s="70">
        <f t="shared" ref="BT24" si="36">+BT10-BT18</f>
        <v>873742</v>
      </c>
      <c r="BU24" s="70"/>
      <c r="BV24" s="70">
        <f t="shared" ref="BV24:CB24" si="37">+BV10-BV18</f>
        <v>2470833</v>
      </c>
      <c r="BW24" s="70">
        <f t="shared" si="37"/>
        <v>650462</v>
      </c>
      <c r="BX24" s="70">
        <f t="shared" si="37"/>
        <v>1143447</v>
      </c>
      <c r="BY24" s="70">
        <f t="shared" si="37"/>
        <v>914974</v>
      </c>
      <c r="BZ24" s="70">
        <f t="shared" si="37"/>
        <v>1219270</v>
      </c>
      <c r="CA24" s="70">
        <f t="shared" ref="CA24" si="38">+CA10-CA18</f>
        <v>854110</v>
      </c>
      <c r="CB24" s="70">
        <f t="shared" si="37"/>
        <v>738013</v>
      </c>
      <c r="CC24" s="70"/>
      <c r="CD24" s="70">
        <f>+CD10-CD18</f>
        <v>950914</v>
      </c>
      <c r="CE24" s="70">
        <f>+CE10-CE18</f>
        <v>825173</v>
      </c>
      <c r="CF24" s="70">
        <f>+CF10-CF18</f>
        <v>863338</v>
      </c>
      <c r="CG24" s="60">
        <f>+CD24+CE24+CF24-'ER GA Cons Acum.'!C24</f>
        <v>0</v>
      </c>
      <c r="CH24" s="60">
        <f>+BW24+BY24+CA24-'ER GA Cons Acum.'!E24</f>
        <v>0</v>
      </c>
    </row>
    <row r="25" spans="2:86" ht="16.5" customHeight="1">
      <c r="B25" s="72" t="s">
        <v>133</v>
      </c>
      <c r="C25" s="73">
        <f>+C24/C10</f>
        <v>0.3913144551907623</v>
      </c>
      <c r="D25" s="73">
        <f>+D24/D10</f>
        <v>0.32461787406592446</v>
      </c>
      <c r="E25" s="73">
        <f>+E24/E10</f>
        <v>0.26325297215251503</v>
      </c>
      <c r="F25" s="73">
        <f>+F24/F10</f>
        <v>0.18364268666771302</v>
      </c>
      <c r="G25" s="55"/>
      <c r="H25" s="73">
        <f>+H24/H10</f>
        <v>0.26807064857146101</v>
      </c>
      <c r="I25" s="73">
        <f>+I24/I10</f>
        <v>0.28829585619840337</v>
      </c>
      <c r="J25" s="73">
        <f>+J24/J10</f>
        <v>0.23999569168261273</v>
      </c>
      <c r="K25" s="73">
        <f>+K24/K10</f>
        <v>0.1672117186520744</v>
      </c>
      <c r="L25" s="73">
        <f>+L24/L10</f>
        <v>0.16906990914302694</v>
      </c>
      <c r="N25" s="73">
        <f t="shared" ref="N25:U25" si="39">+N24/N10</f>
        <v>0.27203373262168673</v>
      </c>
      <c r="O25" s="73">
        <f t="shared" si="39"/>
        <v>0.26965152592684211</v>
      </c>
      <c r="P25" s="73">
        <f t="shared" si="39"/>
        <v>0.29932324981446795</v>
      </c>
      <c r="Q25" s="73">
        <f t="shared" si="39"/>
        <v>0.29716981968326234</v>
      </c>
      <c r="R25" s="73">
        <f t="shared" si="39"/>
        <v>0.29880808450331403</v>
      </c>
      <c r="S25" s="73">
        <f t="shared" si="39"/>
        <v>0.30580398545410081</v>
      </c>
      <c r="T25" s="73">
        <f t="shared" si="39"/>
        <v>0.26664377208551449</v>
      </c>
      <c r="U25" s="73">
        <f t="shared" si="39"/>
        <v>0.26457158508684303</v>
      </c>
      <c r="W25" s="73">
        <f t="shared" ref="W25:AD25" si="40">+W24/W10</f>
        <v>0.28016134903136369</v>
      </c>
      <c r="X25" s="73">
        <f t="shared" si="40"/>
        <v>0.26154282415612562</v>
      </c>
      <c r="Y25" s="73">
        <f t="shared" si="40"/>
        <v>0.30547275515387506</v>
      </c>
      <c r="Z25" s="73">
        <f t="shared" si="40"/>
        <v>0.27650300844316328</v>
      </c>
      <c r="AA25" s="73">
        <f t="shared" si="40"/>
        <v>0.35490681109540922</v>
      </c>
      <c r="AB25" s="73">
        <f t="shared" si="40"/>
        <v>0.29790870283895315</v>
      </c>
      <c r="AC25" s="73">
        <f t="shared" si="40"/>
        <v>0.21801518405203155</v>
      </c>
      <c r="AD25" s="73">
        <f t="shared" si="40"/>
        <v>0.28068501407588003</v>
      </c>
      <c r="AE25" s="73"/>
      <c r="AF25" s="73">
        <f t="shared" ref="AF25:AK25" si="41">+AF24/AF10</f>
        <v>0.30007285807235423</v>
      </c>
      <c r="AG25" s="73">
        <f t="shared" si="41"/>
        <v>0.28182996609382482</v>
      </c>
      <c r="AH25" s="73">
        <f t="shared" si="41"/>
        <v>0.29602915034378274</v>
      </c>
      <c r="AI25" s="73">
        <f t="shared" si="41"/>
        <v>0.27892241348286989</v>
      </c>
      <c r="AJ25" s="73">
        <f t="shared" si="41"/>
        <v>0.29109498488555735</v>
      </c>
      <c r="AK25" s="73">
        <f t="shared" si="41"/>
        <v>0.29034960717274988</v>
      </c>
      <c r="AN25" s="73">
        <f>+AN24/AN10</f>
        <v>0.29251717196510779</v>
      </c>
      <c r="AO25" s="73">
        <f>+AO24/AO10</f>
        <v>0.29096217941947566</v>
      </c>
      <c r="AQ25" s="73">
        <f t="shared" ref="AQ25:AV25" si="42">+AQ24/AQ10</f>
        <v>0.27835851618083496</v>
      </c>
      <c r="AR25" s="73">
        <f t="shared" si="42"/>
        <v>0.27711294827537941</v>
      </c>
      <c r="AS25" s="73">
        <f t="shared" si="42"/>
        <v>0.26891082810137168</v>
      </c>
      <c r="AT25" s="73">
        <f t="shared" si="42"/>
        <v>0.26783277350567392</v>
      </c>
      <c r="AU25" s="73">
        <f t="shared" si="42"/>
        <v>0.26316935195240265</v>
      </c>
      <c r="AV25" s="73">
        <f t="shared" si="42"/>
        <v>0.2739907896967218</v>
      </c>
      <c r="AX25" s="73">
        <f>+AX24/AX10</f>
        <v>0.22625810958735898</v>
      </c>
      <c r="AY25" s="73">
        <f>+AY24/AY10</f>
        <v>0.25332998586291511</v>
      </c>
      <c r="AZ25" s="73">
        <f>+AZ24/AZ10</f>
        <v>0.24260667407625777</v>
      </c>
      <c r="BA25" s="73">
        <f>+BA24/BA10</f>
        <v>0.2391498955883089</v>
      </c>
      <c r="BC25" s="73">
        <f>+BC24/BC10</f>
        <v>0.26310455840776381</v>
      </c>
      <c r="BD25" s="73">
        <f>+BD24/BD10</f>
        <v>0.27384702420687901</v>
      </c>
      <c r="BE25" s="73">
        <f>+BE24/BE10</f>
        <v>0.27354470934280017</v>
      </c>
      <c r="BF25" s="73">
        <f>+BF24/BF10</f>
        <v>0.28195430559671419</v>
      </c>
      <c r="BG25" s="73"/>
      <c r="BH25" s="73">
        <f>+BH24/BH10</f>
        <v>0.25920653392163828</v>
      </c>
      <c r="BI25" s="73">
        <f>+BI24/BI10</f>
        <v>0.24167149732735468</v>
      </c>
      <c r="BJ25" s="73">
        <f>+BJ24/BJ10</f>
        <v>0.2780633894026579</v>
      </c>
      <c r="BK25" s="73">
        <f>+BK24/BK10</f>
        <v>0.26346108682456754</v>
      </c>
      <c r="BL25" s="60"/>
      <c r="BM25" s="73">
        <f t="shared" ref="BM25:BS25" si="43">+BM24/BM10</f>
        <v>0.31069958883552951</v>
      </c>
      <c r="BN25" s="73">
        <f t="shared" si="43"/>
        <v>0.39039623493011816</v>
      </c>
      <c r="BO25" s="73">
        <f t="shared" si="43"/>
        <v>0.28799628308325753</v>
      </c>
      <c r="BP25" s="73">
        <f t="shared" si="43"/>
        <v>0.31789750421257862</v>
      </c>
      <c r="BQ25" s="73">
        <f t="shared" si="43"/>
        <v>0.28482688763110919</v>
      </c>
      <c r="BR25" s="73">
        <f t="shared" ref="BR25" si="44">+BR24/BR10</f>
        <v>0.30850103553745972</v>
      </c>
      <c r="BS25" s="73">
        <f t="shared" si="43"/>
        <v>0.2272647565768933</v>
      </c>
      <c r="BT25" s="73">
        <f t="shared" ref="BT25" si="45">+BT24/BT10</f>
        <v>0.22212076107722248</v>
      </c>
      <c r="BU25" s="73"/>
      <c r="BV25" s="73">
        <f t="shared" ref="BV25:CB25" si="46">+BV24/BV10</f>
        <v>0.54443085172720296</v>
      </c>
      <c r="BW25" s="73">
        <f t="shared" si="46"/>
        <v>0.23931588083322847</v>
      </c>
      <c r="BX25" s="73">
        <f t="shared" si="46"/>
        <v>0.31032902100293436</v>
      </c>
      <c r="BY25" s="73">
        <f t="shared" si="46"/>
        <v>0.26621615212750577</v>
      </c>
      <c r="BZ25" s="73">
        <f t="shared" si="46"/>
        <v>0.36833536895013225</v>
      </c>
      <c r="CA25" s="73">
        <f t="shared" ref="CA25" si="47">+CA24/CA10</f>
        <v>0.28993806851433684</v>
      </c>
      <c r="CB25" s="73">
        <f t="shared" si="46"/>
        <v>0.203694365576369</v>
      </c>
      <c r="CC25" s="73"/>
      <c r="CD25" s="73">
        <f>+CD24/CD10</f>
        <v>0.32754796634941125</v>
      </c>
      <c r="CE25" s="73">
        <f>+CE24/CE10</f>
        <v>0.30692211615068687</v>
      </c>
      <c r="CF25" s="73">
        <f>+CF24/CF10</f>
        <v>0.25825022756308724</v>
      </c>
      <c r="CG25" s="60"/>
      <c r="CH25" s="60"/>
    </row>
    <row r="26" spans="2:86" ht="4.5" customHeight="1">
      <c r="C26" s="55"/>
      <c r="D26" s="66"/>
      <c r="E26" s="66"/>
      <c r="F26" s="66"/>
      <c r="G26" s="55"/>
      <c r="H26" s="66"/>
      <c r="I26" s="66"/>
      <c r="J26" s="66"/>
      <c r="K26" s="66"/>
      <c r="L26" s="66"/>
      <c r="N26" s="66"/>
      <c r="O26" s="66"/>
      <c r="P26" s="66"/>
      <c r="Q26" s="66"/>
      <c r="R26" s="66"/>
      <c r="S26" s="66"/>
      <c r="T26" s="66"/>
      <c r="U26" s="66"/>
      <c r="W26" s="66"/>
      <c r="X26" s="66"/>
      <c r="Y26" s="66"/>
      <c r="Z26" s="66"/>
      <c r="AA26" s="66"/>
      <c r="AB26" s="66"/>
      <c r="AC26" s="66"/>
      <c r="AD26" s="66"/>
      <c r="AE26" s="66"/>
      <c r="AF26" s="66"/>
      <c r="AG26" s="66"/>
      <c r="AH26" s="66"/>
      <c r="AI26" s="66"/>
      <c r="AJ26" s="66"/>
      <c r="AK26" s="66"/>
      <c r="AN26" s="66"/>
      <c r="AO26" s="66"/>
      <c r="AQ26" s="66"/>
      <c r="AR26" s="66"/>
      <c r="AS26" s="66"/>
      <c r="AT26" s="66"/>
      <c r="AU26" s="66"/>
      <c r="AV26" s="66"/>
      <c r="AX26" s="66"/>
      <c r="AY26" s="66"/>
      <c r="AZ26" s="66"/>
      <c r="BA26" s="66"/>
      <c r="BC26" s="66"/>
      <c r="BD26" s="66"/>
      <c r="BE26" s="66"/>
      <c r="BF26" s="66"/>
      <c r="BG26" s="66"/>
      <c r="BH26" s="66"/>
      <c r="BI26" s="66"/>
      <c r="BJ26" s="66"/>
      <c r="BK26" s="66"/>
      <c r="BL26" s="60"/>
      <c r="BM26" s="66"/>
      <c r="BN26" s="66"/>
      <c r="BO26" s="66"/>
      <c r="BP26" s="66"/>
      <c r="BQ26" s="66"/>
      <c r="BR26" s="66"/>
      <c r="BS26" s="66"/>
      <c r="BT26" s="66"/>
      <c r="BU26" s="66"/>
      <c r="BV26" s="66"/>
      <c r="BW26" s="66"/>
      <c r="BX26" s="66"/>
      <c r="BY26" s="66"/>
      <c r="BZ26" s="66"/>
      <c r="CA26" s="66"/>
      <c r="CB26" s="66"/>
      <c r="CC26" s="66"/>
      <c r="CD26" s="66"/>
      <c r="CE26" s="66"/>
      <c r="CF26" s="66"/>
      <c r="CG26" s="60"/>
      <c r="CH26" s="60"/>
    </row>
    <row r="27" spans="2:86" ht="15" customHeight="1">
      <c r="B27" s="56" t="s">
        <v>134</v>
      </c>
      <c r="C27" s="67">
        <f>SUM(C28:C31)</f>
        <v>218824</v>
      </c>
      <c r="D27" s="59">
        <f>SUM(D28:D31)</f>
        <v>237914.21017954001</v>
      </c>
      <c r="E27" s="59">
        <f>SUM(E28:E31)</f>
        <v>221217</v>
      </c>
      <c r="F27" s="59">
        <f>SUM(F28:F31)</f>
        <v>320645</v>
      </c>
      <c r="G27" s="55"/>
      <c r="H27" s="59">
        <f>SUM(H28:H31)</f>
        <v>254132</v>
      </c>
      <c r="I27" s="59">
        <f t="shared" ref="I27:L27" si="48">SUM(I28:I31)</f>
        <v>270744</v>
      </c>
      <c r="J27" s="59">
        <f t="shared" si="48"/>
        <v>298121</v>
      </c>
      <c r="K27" s="59">
        <f t="shared" si="48"/>
        <v>401537</v>
      </c>
      <c r="L27" s="59">
        <f t="shared" si="48"/>
        <v>423472</v>
      </c>
      <c r="N27" s="59">
        <f t="shared" ref="N27:U27" si="49">SUM(N28:N31)</f>
        <v>374650</v>
      </c>
      <c r="O27" s="59">
        <f t="shared" si="49"/>
        <v>375691</v>
      </c>
      <c r="P27" s="59">
        <f t="shared" si="49"/>
        <v>338703</v>
      </c>
      <c r="Q27" s="59">
        <f t="shared" si="49"/>
        <v>323102</v>
      </c>
      <c r="R27" s="59">
        <f t="shared" si="49"/>
        <v>350059</v>
      </c>
      <c r="S27" s="59">
        <f t="shared" si="49"/>
        <v>359112</v>
      </c>
      <c r="T27" s="59">
        <f t="shared" si="49"/>
        <v>511526</v>
      </c>
      <c r="U27" s="59">
        <f t="shared" si="49"/>
        <v>517033</v>
      </c>
      <c r="W27" s="59">
        <f t="shared" ref="W27:AD27" si="50">SUM(W28:W31)</f>
        <v>516450</v>
      </c>
      <c r="X27" s="59">
        <f t="shared" si="50"/>
        <v>453945</v>
      </c>
      <c r="Y27" s="59">
        <f t="shared" si="50"/>
        <v>529111</v>
      </c>
      <c r="Z27" s="59">
        <f t="shared" si="50"/>
        <v>425830</v>
      </c>
      <c r="AA27" s="59">
        <f t="shared" si="50"/>
        <v>568293</v>
      </c>
      <c r="AB27" s="59">
        <f t="shared" si="50"/>
        <v>336536</v>
      </c>
      <c r="AC27" s="59">
        <f t="shared" si="50"/>
        <v>265323</v>
      </c>
      <c r="AD27" s="59">
        <f t="shared" si="50"/>
        <v>490006</v>
      </c>
      <c r="AE27" s="59"/>
      <c r="AF27" s="59">
        <f t="shared" ref="AF27:AK27" si="51">SUM(AF28:AF31)</f>
        <v>469371</v>
      </c>
      <c r="AG27" s="59">
        <f t="shared" si="51"/>
        <v>410841</v>
      </c>
      <c r="AH27" s="59">
        <f t="shared" si="51"/>
        <v>450565</v>
      </c>
      <c r="AI27" s="59">
        <f t="shared" si="51"/>
        <v>392079</v>
      </c>
      <c r="AJ27" s="59">
        <f t="shared" si="51"/>
        <v>395698</v>
      </c>
      <c r="AK27" s="59">
        <f t="shared" si="51"/>
        <v>395697</v>
      </c>
      <c r="AN27" s="59">
        <f t="shared" ref="AN27:AO27" si="52">SUM(AN28:AN31)</f>
        <v>414505</v>
      </c>
      <c r="AO27" s="59">
        <f t="shared" si="52"/>
        <v>414505</v>
      </c>
      <c r="AQ27" s="59">
        <f t="shared" ref="AQ27:AV27" si="53">SUM(AQ28:AQ31)</f>
        <v>443235</v>
      </c>
      <c r="AR27" s="59">
        <f t="shared" si="53"/>
        <v>443235</v>
      </c>
      <c r="AS27" s="59">
        <f t="shared" si="53"/>
        <v>458570</v>
      </c>
      <c r="AT27" s="59">
        <f t="shared" si="53"/>
        <v>458570</v>
      </c>
      <c r="AU27" s="59">
        <f t="shared" si="53"/>
        <v>427531</v>
      </c>
      <c r="AV27" s="59">
        <f t="shared" si="53"/>
        <v>523442</v>
      </c>
      <c r="AX27" s="59">
        <f t="shared" ref="AX27:BA27" si="54">SUM(AX28:AX31)</f>
        <v>438590</v>
      </c>
      <c r="AY27" s="59">
        <f t="shared" si="54"/>
        <v>394218</v>
      </c>
      <c r="AZ27" s="59">
        <f t="shared" si="54"/>
        <v>416928</v>
      </c>
      <c r="BA27" s="59">
        <f t="shared" si="54"/>
        <v>438377</v>
      </c>
      <c r="BC27" s="59">
        <f t="shared" ref="BC27:BF27" si="55">SUM(BC28:BC31)</f>
        <v>443454</v>
      </c>
      <c r="BD27" s="59">
        <f t="shared" si="55"/>
        <v>419071</v>
      </c>
      <c r="BE27" s="59">
        <f t="shared" si="55"/>
        <v>405701</v>
      </c>
      <c r="BF27" s="59">
        <f t="shared" si="55"/>
        <v>509432</v>
      </c>
      <c r="BG27" s="59"/>
      <c r="BH27" s="59">
        <f t="shared" ref="BH27:BJ27" si="56">SUM(BH28:BH31)</f>
        <v>495906</v>
      </c>
      <c r="BI27" s="59">
        <f t="shared" si="56"/>
        <v>481880</v>
      </c>
      <c r="BJ27" s="59">
        <f t="shared" si="56"/>
        <v>468438</v>
      </c>
      <c r="BK27" s="59">
        <f t="shared" ref="BK27:BM27" si="57">SUM(BK28:BK31)</f>
        <v>592958</v>
      </c>
      <c r="BL27" s="60"/>
      <c r="BM27" s="59">
        <f t="shared" si="57"/>
        <v>542473</v>
      </c>
      <c r="BN27" s="59">
        <f t="shared" ref="BN27" si="58">SUM(BN28:BN31)</f>
        <v>396247</v>
      </c>
      <c r="BO27" s="59">
        <f t="shared" ref="BO27:BQ27" si="59">SUM(BO28:BO31)</f>
        <v>604744</v>
      </c>
      <c r="BP27" s="59">
        <f t="shared" ref="BP27" si="60">SUM(BP28:BP31)</f>
        <v>467116</v>
      </c>
      <c r="BQ27" s="59">
        <f t="shared" si="59"/>
        <v>452323</v>
      </c>
      <c r="BR27" s="59">
        <f t="shared" ref="BR27" si="61">SUM(BR28:BR31)</f>
        <v>305212</v>
      </c>
      <c r="BS27" s="59">
        <f t="shared" ref="BS27:BT27" si="62">SUM(BS28:BS31)</f>
        <v>566663</v>
      </c>
      <c r="BT27" s="59">
        <f t="shared" si="62"/>
        <v>388842</v>
      </c>
      <c r="BU27" s="59"/>
      <c r="BV27" s="59">
        <f t="shared" ref="BV27:BZ27" si="63">SUM(BV28:BV31)</f>
        <v>356255</v>
      </c>
      <c r="BW27" s="59">
        <f t="shared" ref="BW27" si="64">SUM(BW28:BW31)</f>
        <v>356255</v>
      </c>
      <c r="BX27" s="59">
        <f t="shared" si="63"/>
        <v>358547</v>
      </c>
      <c r="BY27" s="59">
        <f t="shared" ref="BY27" si="65">SUM(BY28:BY31)</f>
        <v>358343</v>
      </c>
      <c r="BZ27" s="59">
        <f t="shared" si="63"/>
        <v>319053</v>
      </c>
      <c r="CA27" s="59">
        <f t="shared" ref="CA27" si="66">SUM(CA28:CA31)</f>
        <v>316840</v>
      </c>
      <c r="CB27" s="59">
        <f t="shared" ref="CB27" si="67">SUM(CB28:CB31)</f>
        <v>375379</v>
      </c>
      <c r="CC27" s="59"/>
      <c r="CD27" s="59">
        <f t="shared" ref="CD27:CE27" si="68">SUM(CD28:CD31)</f>
        <v>341716</v>
      </c>
      <c r="CE27" s="59">
        <f t="shared" si="68"/>
        <v>336656</v>
      </c>
      <c r="CF27" s="59">
        <f t="shared" ref="CF27" si="69">SUM(CF28:CF31)</f>
        <v>304880</v>
      </c>
      <c r="CG27" s="60">
        <f>+CD27+CE27+CF27-'ER GA Cons Acum.'!C27</f>
        <v>0</v>
      </c>
      <c r="CH27" s="60">
        <f>+BW27+BY27+CA27-'ER GA Cons Acum.'!E27</f>
        <v>0</v>
      </c>
    </row>
    <row r="28" spans="2:86">
      <c r="B28" s="64" t="s">
        <v>135</v>
      </c>
      <c r="C28" s="68">
        <v>156362</v>
      </c>
      <c r="D28" s="22">
        <v>165131.00481824999</v>
      </c>
      <c r="E28" s="22">
        <v>155601</v>
      </c>
      <c r="F28" s="22">
        <f>235633-1</f>
        <v>235632</v>
      </c>
      <c r="G28" s="55"/>
      <c r="H28" s="22">
        <v>176549</v>
      </c>
      <c r="I28" s="22">
        <f>188427+1</f>
        <v>188428</v>
      </c>
      <c r="J28" s="22">
        <v>202847</v>
      </c>
      <c r="K28" s="22">
        <v>273836</v>
      </c>
      <c r="L28" s="22">
        <v>293375</v>
      </c>
      <c r="N28" s="22">
        <v>273896</v>
      </c>
      <c r="O28" s="22">
        <v>273896</v>
      </c>
      <c r="P28" s="22">
        <v>227500</v>
      </c>
      <c r="Q28" s="22">
        <f>227749</f>
        <v>227749</v>
      </c>
      <c r="R28" s="22">
        <v>232226</v>
      </c>
      <c r="S28" s="22">
        <v>231977</v>
      </c>
      <c r="T28" s="22">
        <v>382408</v>
      </c>
      <c r="U28" s="22">
        <v>382408</v>
      </c>
      <c r="W28" s="22">
        <v>379041</v>
      </c>
      <c r="X28" s="22">
        <v>316536</v>
      </c>
      <c r="Y28" s="22">
        <v>381636</v>
      </c>
      <c r="Z28" s="22">
        <v>278355</v>
      </c>
      <c r="AA28" s="22">
        <v>383907</v>
      </c>
      <c r="AB28" s="22">
        <v>277803</v>
      </c>
      <c r="AC28" s="22">
        <f>99278-1</f>
        <v>99277</v>
      </c>
      <c r="AD28" s="22">
        <v>371167</v>
      </c>
      <c r="AE28" s="22"/>
      <c r="AF28" s="22">
        <v>302984</v>
      </c>
      <c r="AG28" s="22">
        <v>302984</v>
      </c>
      <c r="AH28" s="22">
        <v>284767</v>
      </c>
      <c r="AI28" s="22">
        <v>284767</v>
      </c>
      <c r="AJ28" s="22">
        <v>279324</v>
      </c>
      <c r="AK28" s="22">
        <v>279324</v>
      </c>
      <c r="AL28" s="60"/>
      <c r="AM28" s="60"/>
      <c r="AN28" s="22">
        <v>298440</v>
      </c>
      <c r="AO28" s="22">
        <v>298440</v>
      </c>
      <c r="AP28" s="60"/>
      <c r="AQ28" s="22">
        <v>328881</v>
      </c>
      <c r="AR28" s="22">
        <v>328881</v>
      </c>
      <c r="AS28" s="22">
        <v>316734</v>
      </c>
      <c r="AT28" s="22">
        <v>316734</v>
      </c>
      <c r="AU28" s="22">
        <v>300328</v>
      </c>
      <c r="AV28" s="22">
        <v>366319</v>
      </c>
      <c r="AW28" s="60"/>
      <c r="AX28" s="22">
        <v>314204</v>
      </c>
      <c r="AY28" s="22">
        <f>274170+1</f>
        <v>274171</v>
      </c>
      <c r="AZ28" s="22">
        <f>289241-1</f>
        <v>289240</v>
      </c>
      <c r="BA28" s="22">
        <v>313251</v>
      </c>
      <c r="BB28" s="60"/>
      <c r="BC28" s="22">
        <v>316608</v>
      </c>
      <c r="BD28" s="22">
        <v>299882</v>
      </c>
      <c r="BE28" s="22">
        <v>283671</v>
      </c>
      <c r="BF28" s="22">
        <f>381818-1</f>
        <v>381817</v>
      </c>
      <c r="BG28" s="22"/>
      <c r="BH28" s="22">
        <v>380742</v>
      </c>
      <c r="BI28" s="22">
        <f>362698+1</f>
        <v>362699</v>
      </c>
      <c r="BJ28" s="22">
        <f>349613-1</f>
        <v>349612</v>
      </c>
      <c r="BK28" s="22">
        <f>474091+1</f>
        <v>474092</v>
      </c>
      <c r="BL28" s="60"/>
      <c r="BM28" s="22">
        <v>417178</v>
      </c>
      <c r="BN28" s="22">
        <v>315470</v>
      </c>
      <c r="BO28" s="22">
        <f>493900+1</f>
        <v>493901</v>
      </c>
      <c r="BP28" s="22">
        <v>391098</v>
      </c>
      <c r="BQ28" s="22">
        <v>346426</v>
      </c>
      <c r="BR28" s="22">
        <v>229488</v>
      </c>
      <c r="BS28" s="22">
        <v>446627</v>
      </c>
      <c r="BT28" s="22">
        <v>311706</v>
      </c>
      <c r="BU28" s="22"/>
      <c r="BV28" s="22">
        <v>283747</v>
      </c>
      <c r="BW28" s="22">
        <v>283747</v>
      </c>
      <c r="BX28" s="22">
        <f>284502-1</f>
        <v>284501</v>
      </c>
      <c r="BY28" s="22">
        <v>284298</v>
      </c>
      <c r="BZ28" s="22">
        <f>248184+1</f>
        <v>248185</v>
      </c>
      <c r="CA28" s="22">
        <v>245972</v>
      </c>
      <c r="CB28" s="22">
        <v>296232</v>
      </c>
      <c r="CC28" s="22"/>
      <c r="CD28" s="22">
        <f>273141+1</f>
        <v>273142</v>
      </c>
      <c r="CE28" s="22">
        <f>265918-1</f>
        <v>265917</v>
      </c>
      <c r="CF28" s="22">
        <v>235118</v>
      </c>
      <c r="CG28" s="60">
        <f>+CD28+CE28+CF28-'ER GA Cons Acum.'!C28</f>
        <v>0</v>
      </c>
      <c r="CH28" s="60">
        <f>+BW28+BY28+CA28-'ER GA Cons Acum.'!E28</f>
        <v>0</v>
      </c>
    </row>
    <row r="29" spans="2:86">
      <c r="B29" s="64" t="s">
        <v>136</v>
      </c>
      <c r="C29" s="68">
        <v>7535</v>
      </c>
      <c r="D29" s="22">
        <v>23586.429190990002</v>
      </c>
      <c r="E29" s="22">
        <v>8473</v>
      </c>
      <c r="F29" s="22">
        <v>6093</v>
      </c>
      <c r="G29" s="55"/>
      <c r="H29" s="22">
        <v>17128</v>
      </c>
      <c r="I29" s="22">
        <v>25492</v>
      </c>
      <c r="J29" s="22">
        <v>39591</v>
      </c>
      <c r="K29" s="22">
        <f>28947</f>
        <v>28947</v>
      </c>
      <c r="L29" s="22">
        <v>32001</v>
      </c>
      <c r="N29" s="22">
        <v>35387</v>
      </c>
      <c r="O29" s="22">
        <v>36428</v>
      </c>
      <c r="P29" s="22">
        <v>41710</v>
      </c>
      <c r="Q29" s="22">
        <v>25860</v>
      </c>
      <c r="R29" s="22">
        <v>49767</v>
      </c>
      <c r="S29" s="22">
        <v>59069</v>
      </c>
      <c r="T29" s="22">
        <v>62156</v>
      </c>
      <c r="U29" s="22">
        <v>67663</v>
      </c>
      <c r="W29" s="22">
        <v>74705</v>
      </c>
      <c r="X29" s="22">
        <v>74705</v>
      </c>
      <c r="Y29" s="22">
        <v>82978</v>
      </c>
      <c r="Z29" s="22">
        <v>82978</v>
      </c>
      <c r="AA29" s="22">
        <v>122335</v>
      </c>
      <c r="AB29" s="22">
        <v>-3318</v>
      </c>
      <c r="AC29" s="22">
        <f>97762+1</f>
        <v>97763</v>
      </c>
      <c r="AD29" s="22">
        <v>50556</v>
      </c>
      <c r="AE29" s="22"/>
      <c r="AF29" s="22">
        <v>104315</v>
      </c>
      <c r="AG29" s="22">
        <f>45785</f>
        <v>45785</v>
      </c>
      <c r="AH29" s="22">
        <f>102554+1</f>
        <v>102555</v>
      </c>
      <c r="AI29" s="22">
        <f>44068+1</f>
        <v>44069</v>
      </c>
      <c r="AJ29" s="22">
        <f>50751+1</f>
        <v>50752</v>
      </c>
      <c r="AK29" s="22">
        <f>50751</f>
        <v>50751</v>
      </c>
      <c r="AL29" s="60">
        <f>+AG29-AF29</f>
        <v>-58530</v>
      </c>
      <c r="AM29" s="60">
        <f>+AI29-AH29</f>
        <v>-58486</v>
      </c>
      <c r="AN29" s="22">
        <f>44819-1</f>
        <v>44818</v>
      </c>
      <c r="AO29" s="22">
        <f>44819-1</f>
        <v>44818</v>
      </c>
      <c r="AP29" s="60"/>
      <c r="AQ29" s="22">
        <v>51309</v>
      </c>
      <c r="AR29" s="22">
        <v>51309</v>
      </c>
      <c r="AS29" s="22">
        <v>59811</v>
      </c>
      <c r="AT29" s="22">
        <v>59811</v>
      </c>
      <c r="AU29" s="22">
        <v>57751</v>
      </c>
      <c r="AV29" s="22">
        <v>91625</v>
      </c>
      <c r="AW29" s="60"/>
      <c r="AX29" s="22">
        <v>55538</v>
      </c>
      <c r="AY29" s="22">
        <v>61624</v>
      </c>
      <c r="AZ29" s="22">
        <v>61589</v>
      </c>
      <c r="BA29" s="22">
        <v>55631</v>
      </c>
      <c r="BB29" s="60"/>
      <c r="BC29" s="22">
        <v>55999</v>
      </c>
      <c r="BD29" s="22">
        <v>51399</v>
      </c>
      <c r="BE29" s="22">
        <f>50557-1</f>
        <v>50556</v>
      </c>
      <c r="BF29" s="22">
        <f>50853+1</f>
        <v>50854</v>
      </c>
      <c r="BG29" s="22"/>
      <c r="BH29" s="22">
        <f>36249+1</f>
        <v>36250</v>
      </c>
      <c r="BI29" s="22">
        <v>35319</v>
      </c>
      <c r="BJ29" s="22">
        <v>35410</v>
      </c>
      <c r="BK29" s="22">
        <v>30884</v>
      </c>
      <c r="BL29" s="60"/>
      <c r="BM29" s="22">
        <v>29379</v>
      </c>
      <c r="BN29" s="22">
        <v>25137</v>
      </c>
      <c r="BO29" s="22">
        <v>26341</v>
      </c>
      <c r="BP29" s="22">
        <v>22392</v>
      </c>
      <c r="BQ29" s="22">
        <v>25719</v>
      </c>
      <c r="BR29" s="22">
        <v>21968</v>
      </c>
      <c r="BS29" s="22">
        <f>24518-1</f>
        <v>24517</v>
      </c>
      <c r="BT29" s="22">
        <v>20792</v>
      </c>
      <c r="BU29" s="22"/>
      <c r="BV29" s="22">
        <v>20534</v>
      </c>
      <c r="BW29" s="22">
        <v>20534</v>
      </c>
      <c r="BX29" s="22">
        <f>18548-1</f>
        <v>18547</v>
      </c>
      <c r="BY29" s="22">
        <f>18548-1</f>
        <v>18547</v>
      </c>
      <c r="BZ29" s="22">
        <v>18704</v>
      </c>
      <c r="CA29" s="22">
        <v>18704</v>
      </c>
      <c r="CB29" s="22">
        <v>24444</v>
      </c>
      <c r="CC29" s="22"/>
      <c r="CD29" s="22">
        <v>18428</v>
      </c>
      <c r="CE29" s="22">
        <f>19442-1</f>
        <v>19441</v>
      </c>
      <c r="CF29" s="22">
        <f>21979+1</f>
        <v>21980</v>
      </c>
      <c r="CG29" s="60">
        <f>+CD29+CE29+CF29-'ER GA Cons Acum.'!C29</f>
        <v>0</v>
      </c>
      <c r="CH29" s="60">
        <f>+BW29+BY29+CA29-'ER GA Cons Acum.'!E29</f>
        <v>0</v>
      </c>
    </row>
    <row r="30" spans="2:86">
      <c r="B30" s="64" t="s">
        <v>137</v>
      </c>
      <c r="C30" s="68">
        <v>49888</v>
      </c>
      <c r="D30" s="22">
        <v>52310.244474430001</v>
      </c>
      <c r="E30" s="22">
        <v>40892</v>
      </c>
      <c r="F30" s="22">
        <v>52226</v>
      </c>
      <c r="G30" s="55"/>
      <c r="H30" s="22">
        <v>53907</v>
      </c>
      <c r="I30" s="22">
        <v>46027</v>
      </c>
      <c r="J30" s="22">
        <v>57854</v>
      </c>
      <c r="K30" s="22">
        <v>77136</v>
      </c>
      <c r="L30" s="22">
        <v>78653</v>
      </c>
      <c r="N30" s="22">
        <v>54764</v>
      </c>
      <c r="O30" s="22">
        <v>54764</v>
      </c>
      <c r="P30" s="22">
        <v>60111</v>
      </c>
      <c r="Q30" s="22">
        <v>60111</v>
      </c>
      <c r="R30" s="22">
        <v>58651</v>
      </c>
      <c r="S30" s="22">
        <v>58651</v>
      </c>
      <c r="T30" s="22">
        <v>56747</v>
      </c>
      <c r="U30" s="22">
        <v>56747</v>
      </c>
      <c r="W30" s="22">
        <f>54732</f>
        <v>54732</v>
      </c>
      <c r="X30" s="22">
        <v>54732</v>
      </c>
      <c r="Y30" s="22">
        <v>56284</v>
      </c>
      <c r="Z30" s="22">
        <f>56284-1</f>
        <v>56283</v>
      </c>
      <c r="AA30" s="22">
        <f>52748-1</f>
        <v>52747</v>
      </c>
      <c r="AB30" s="22">
        <f>52748</f>
        <v>52748</v>
      </c>
      <c r="AC30" s="22">
        <f>58360</f>
        <v>58360</v>
      </c>
      <c r="AD30" s="22">
        <f>58360</f>
        <v>58360</v>
      </c>
      <c r="AE30" s="22"/>
      <c r="AF30" s="22">
        <v>53841</v>
      </c>
      <c r="AG30" s="22">
        <v>53841</v>
      </c>
      <c r="AH30" s="22">
        <v>55810</v>
      </c>
      <c r="AI30" s="22">
        <v>55810</v>
      </c>
      <c r="AJ30" s="22">
        <f>57128+1</f>
        <v>57129</v>
      </c>
      <c r="AK30" s="22">
        <f>57128+1</f>
        <v>57129</v>
      </c>
      <c r="AN30" s="22">
        <v>62609</v>
      </c>
      <c r="AO30" s="22">
        <v>62609</v>
      </c>
      <c r="AQ30" s="22">
        <v>54074</v>
      </c>
      <c r="AR30" s="22">
        <v>54074</v>
      </c>
      <c r="AS30" s="22">
        <f>72332+1</f>
        <v>72333</v>
      </c>
      <c r="AT30" s="22">
        <f>72332+1</f>
        <v>72333</v>
      </c>
      <c r="AU30" s="22">
        <f>59534-1</f>
        <v>59533</v>
      </c>
      <c r="AV30" s="22">
        <v>55461</v>
      </c>
      <c r="AX30" s="22">
        <v>58784</v>
      </c>
      <c r="AY30" s="22">
        <v>47564</v>
      </c>
      <c r="AZ30" s="22">
        <v>55266</v>
      </c>
      <c r="BA30" s="22">
        <f>60366-1</f>
        <v>60365</v>
      </c>
      <c r="BC30" s="22">
        <v>60407</v>
      </c>
      <c r="BD30" s="22">
        <f>56991-1</f>
        <v>56990</v>
      </c>
      <c r="BE30" s="22">
        <f>59731-1</f>
        <v>59730</v>
      </c>
      <c r="BF30" s="22">
        <f>65674+1</f>
        <v>65675</v>
      </c>
      <c r="BG30" s="22"/>
      <c r="BH30" s="22">
        <v>67866</v>
      </c>
      <c r="BI30" s="22">
        <v>72913</v>
      </c>
      <c r="BJ30" s="22">
        <f>71223</f>
        <v>71223</v>
      </c>
      <c r="BK30" s="22">
        <f>75006-1</f>
        <v>75005</v>
      </c>
      <c r="BL30" s="60"/>
      <c r="BM30" s="22">
        <v>82296</v>
      </c>
      <c r="BN30" s="22">
        <f>42833-1</f>
        <v>42832</v>
      </c>
      <c r="BO30" s="22">
        <v>71712</v>
      </c>
      <c r="BP30" s="22">
        <f>41607+1</f>
        <v>41608</v>
      </c>
      <c r="BQ30" s="22">
        <v>68348</v>
      </c>
      <c r="BR30" s="22">
        <f>42656+1</f>
        <v>42657</v>
      </c>
      <c r="BS30" s="22">
        <f>83790-1</f>
        <v>83789</v>
      </c>
      <c r="BT30" s="22">
        <f>45378-1</f>
        <v>45377</v>
      </c>
      <c r="BU30" s="22"/>
      <c r="BV30" s="22">
        <f>41274-1</f>
        <v>41273</v>
      </c>
      <c r="BW30" s="22">
        <f>41274</f>
        <v>41274</v>
      </c>
      <c r="BX30" s="22">
        <f>44840+1</f>
        <v>44841</v>
      </c>
      <c r="BY30" s="22">
        <f>44840</f>
        <v>44840</v>
      </c>
      <c r="BZ30" s="22">
        <f>40985+1</f>
        <v>40986</v>
      </c>
      <c r="CA30" s="22">
        <f>40985+1</f>
        <v>40986</v>
      </c>
      <c r="CB30" s="22">
        <f>42952+1</f>
        <v>42953</v>
      </c>
      <c r="CC30" s="22"/>
      <c r="CD30" s="22">
        <v>38993</v>
      </c>
      <c r="CE30" s="22">
        <f>40407+1</f>
        <v>40408</v>
      </c>
      <c r="CF30" s="22">
        <v>38144</v>
      </c>
      <c r="CG30" s="60">
        <f>+CD30+CE30+CF30-'ER GA Cons Acum.'!C31</f>
        <v>0</v>
      </c>
      <c r="CH30" s="60">
        <f>+BW30+BY30+CA30-'ER GA Cons Acum.'!E31</f>
        <v>0</v>
      </c>
    </row>
    <row r="31" spans="2:86">
      <c r="B31" s="64" t="s">
        <v>138</v>
      </c>
      <c r="C31" s="68">
        <v>5039</v>
      </c>
      <c r="D31" s="22">
        <v>-3113.46830413</v>
      </c>
      <c r="E31" s="22">
        <v>16251</v>
      </c>
      <c r="F31" s="22">
        <v>26694</v>
      </c>
      <c r="G31" s="55"/>
      <c r="H31" s="22">
        <v>6548</v>
      </c>
      <c r="I31" s="22">
        <v>10797</v>
      </c>
      <c r="J31" s="22">
        <v>-2171</v>
      </c>
      <c r="K31" s="22">
        <f>21618</f>
        <v>21618</v>
      </c>
      <c r="L31" s="22">
        <v>19443</v>
      </c>
      <c r="N31" s="22">
        <v>10603</v>
      </c>
      <c r="O31" s="22">
        <v>10603</v>
      </c>
      <c r="P31" s="22">
        <v>9382</v>
      </c>
      <c r="Q31" s="22">
        <v>9382</v>
      </c>
      <c r="R31" s="22">
        <v>9415</v>
      </c>
      <c r="S31" s="22">
        <v>9415</v>
      </c>
      <c r="T31" s="22">
        <v>10215</v>
      </c>
      <c r="U31" s="22">
        <v>10215</v>
      </c>
      <c r="W31" s="22">
        <v>7972</v>
      </c>
      <c r="X31" s="22">
        <v>7972</v>
      </c>
      <c r="Y31" s="22">
        <v>8213</v>
      </c>
      <c r="Z31" s="22">
        <f>8213+1</f>
        <v>8214</v>
      </c>
      <c r="AA31" s="22">
        <f>9303+1</f>
        <v>9304</v>
      </c>
      <c r="AB31" s="22">
        <f>9303</f>
        <v>9303</v>
      </c>
      <c r="AC31" s="22">
        <v>9923</v>
      </c>
      <c r="AD31" s="22">
        <v>9923</v>
      </c>
      <c r="AE31" s="22"/>
      <c r="AF31" s="22">
        <v>8231</v>
      </c>
      <c r="AG31" s="22">
        <v>8231</v>
      </c>
      <c r="AH31" s="22">
        <f>7434-1</f>
        <v>7433</v>
      </c>
      <c r="AI31" s="22">
        <f>7434-1</f>
        <v>7433</v>
      </c>
      <c r="AJ31" s="22">
        <v>8493</v>
      </c>
      <c r="AK31" s="22">
        <v>8493</v>
      </c>
      <c r="AN31" s="22">
        <v>8638</v>
      </c>
      <c r="AO31" s="22">
        <v>8638</v>
      </c>
      <c r="AQ31" s="22">
        <v>8971</v>
      </c>
      <c r="AR31" s="22">
        <v>8971</v>
      </c>
      <c r="AS31" s="22">
        <v>9692</v>
      </c>
      <c r="AT31" s="22">
        <v>9692</v>
      </c>
      <c r="AU31" s="22">
        <v>9919</v>
      </c>
      <c r="AV31" s="22">
        <f>10038-1</f>
        <v>10037</v>
      </c>
      <c r="AX31" s="22">
        <v>10064</v>
      </c>
      <c r="AY31" s="22">
        <v>10859</v>
      </c>
      <c r="AZ31" s="22">
        <v>10833</v>
      </c>
      <c r="BA31" s="22">
        <v>9130</v>
      </c>
      <c r="BC31" s="22">
        <v>10440</v>
      </c>
      <c r="BD31" s="22">
        <v>10800</v>
      </c>
      <c r="BE31" s="22">
        <f>11742+2</f>
        <v>11744</v>
      </c>
      <c r="BF31" s="22">
        <f>11087-1</f>
        <v>11086</v>
      </c>
      <c r="BG31" s="22"/>
      <c r="BH31" s="22">
        <v>11048</v>
      </c>
      <c r="BI31" s="22">
        <v>10949</v>
      </c>
      <c r="BJ31" s="22">
        <v>12193</v>
      </c>
      <c r="BK31" s="22">
        <f>12976+1</f>
        <v>12977</v>
      </c>
      <c r="BL31" s="60"/>
      <c r="BM31" s="22">
        <f>13621-1</f>
        <v>13620</v>
      </c>
      <c r="BN31" s="22">
        <v>12808</v>
      </c>
      <c r="BO31" s="22">
        <v>12790</v>
      </c>
      <c r="BP31" s="22">
        <f>12019-1</f>
        <v>12018</v>
      </c>
      <c r="BQ31" s="22">
        <v>11830</v>
      </c>
      <c r="BR31" s="22">
        <f>11098+1</f>
        <v>11099</v>
      </c>
      <c r="BS31" s="22">
        <f>11729+1</f>
        <v>11730</v>
      </c>
      <c r="BT31" s="22">
        <f>10966+1</f>
        <v>10967</v>
      </c>
      <c r="BU31" s="22"/>
      <c r="BV31" s="22">
        <f>10701</f>
        <v>10701</v>
      </c>
      <c r="BW31" s="22">
        <f>10701-1</f>
        <v>10700</v>
      </c>
      <c r="BX31" s="22">
        <f>10657+1</f>
        <v>10658</v>
      </c>
      <c r="BY31" s="22">
        <f>10657+1</f>
        <v>10658</v>
      </c>
      <c r="BZ31" s="22">
        <f>11177+1</f>
        <v>11178</v>
      </c>
      <c r="CA31" s="22">
        <f>11177+1</f>
        <v>11178</v>
      </c>
      <c r="CB31" s="22">
        <v>11750</v>
      </c>
      <c r="CC31" s="22"/>
      <c r="CD31" s="22">
        <v>11153</v>
      </c>
      <c r="CE31" s="22">
        <v>10890</v>
      </c>
      <c r="CF31" s="22">
        <f>9639-1</f>
        <v>9638</v>
      </c>
      <c r="CG31" s="60">
        <f>+CD31+CE31+CF31-'ER GA Cons Acum.'!C32</f>
        <v>0</v>
      </c>
      <c r="CH31" s="60">
        <f>+BW31+BY31+CA31-'ER GA Cons Acum.'!E32</f>
        <v>0</v>
      </c>
    </row>
    <row r="32" spans="2:86">
      <c r="C32" s="55"/>
      <c r="D32" s="66"/>
      <c r="E32" s="66"/>
      <c r="F32" s="66"/>
      <c r="G32" s="55"/>
      <c r="H32" s="66"/>
      <c r="I32" s="66"/>
      <c r="J32" s="66"/>
      <c r="K32" s="66"/>
      <c r="L32" s="66"/>
      <c r="N32" s="66"/>
      <c r="O32" s="66"/>
      <c r="P32" s="66"/>
      <c r="Q32" s="66"/>
      <c r="R32" s="66"/>
      <c r="S32" s="66"/>
      <c r="T32" s="66"/>
      <c r="U32" s="66"/>
      <c r="W32" s="66"/>
      <c r="X32" s="66"/>
      <c r="Y32" s="66"/>
      <c r="Z32" s="66"/>
      <c r="AA32" s="66"/>
      <c r="AB32" s="66"/>
      <c r="AC32" s="66"/>
      <c r="AD32" s="66"/>
      <c r="AE32" s="66"/>
      <c r="AF32" s="66"/>
      <c r="AG32" s="66"/>
      <c r="AH32" s="66"/>
      <c r="AI32" s="66"/>
      <c r="AJ32" s="66"/>
      <c r="AK32" s="66"/>
      <c r="AN32" s="66"/>
      <c r="AO32" s="66"/>
      <c r="AQ32" s="66"/>
      <c r="AR32" s="66"/>
      <c r="AS32" s="66"/>
      <c r="AT32" s="66"/>
      <c r="AU32" s="66"/>
      <c r="AV32" s="66"/>
      <c r="AX32" s="66"/>
      <c r="AY32" s="66"/>
      <c r="AZ32" s="66"/>
      <c r="BA32" s="66"/>
      <c r="BC32" s="66"/>
      <c r="BD32" s="66"/>
      <c r="BE32" s="66"/>
      <c r="BF32" s="66"/>
      <c r="BG32" s="66"/>
      <c r="BH32" s="66"/>
      <c r="BI32" s="66"/>
      <c r="BJ32" s="66"/>
      <c r="BK32" s="66"/>
      <c r="BL32" s="60"/>
      <c r="BM32" s="66"/>
      <c r="BN32" s="66"/>
      <c r="BO32" s="66"/>
      <c r="BP32" s="66"/>
      <c r="BQ32" s="66"/>
      <c r="BR32" s="66"/>
      <c r="BS32" s="66"/>
      <c r="BT32" s="66"/>
      <c r="BU32" s="66"/>
      <c r="BV32" s="66"/>
      <c r="BW32" s="66"/>
      <c r="BX32" s="66"/>
      <c r="BY32" s="66"/>
      <c r="BZ32" s="66"/>
      <c r="CA32" s="66"/>
      <c r="CB32" s="66"/>
      <c r="CC32" s="66"/>
      <c r="CD32" s="66"/>
      <c r="CE32" s="66"/>
      <c r="CF32" s="66"/>
      <c r="CG32" s="60"/>
      <c r="CH32" s="60"/>
    </row>
    <row r="33" spans="2:86" ht="15" customHeight="1">
      <c r="B33" s="56" t="s">
        <v>139</v>
      </c>
      <c r="C33" s="67">
        <f>+C34-C35-C36</f>
        <v>-20908</v>
      </c>
      <c r="D33" s="67">
        <f>+D34-D35-D36</f>
        <v>-15806.034953820001</v>
      </c>
      <c r="E33" s="67">
        <f>+E34-E35-E36</f>
        <v>-44938</v>
      </c>
      <c r="F33" s="67">
        <f>+F34-F35-F36</f>
        <v>23371</v>
      </c>
      <c r="G33" s="55"/>
      <c r="H33" s="67">
        <f>+H34-H35-H36</f>
        <v>-109849</v>
      </c>
      <c r="I33" s="67">
        <f>+I34-I35-I36</f>
        <v>11651</v>
      </c>
      <c r="J33" s="67">
        <f>+J34-J35-J36</f>
        <v>-18378</v>
      </c>
      <c r="K33" s="67">
        <f>+K34-K35-K36</f>
        <v>23488</v>
      </c>
      <c r="L33" s="67">
        <f>+L34-L35-L36</f>
        <v>12046</v>
      </c>
      <c r="M33" s="67">
        <f t="shared" ref="M33" si="70">+SUM(M34:M36)</f>
        <v>0</v>
      </c>
      <c r="N33" s="67">
        <f t="shared" ref="N33:U33" si="71">+N34-N35-N36</f>
        <v>-125617</v>
      </c>
      <c r="O33" s="67">
        <f t="shared" si="71"/>
        <v>-115100</v>
      </c>
      <c r="P33" s="67">
        <f t="shared" si="71"/>
        <v>-34930</v>
      </c>
      <c r="Q33" s="67">
        <f t="shared" si="71"/>
        <v>-32384</v>
      </c>
      <c r="R33" s="67">
        <f t="shared" si="71"/>
        <v>-32286</v>
      </c>
      <c r="S33" s="67">
        <f t="shared" si="71"/>
        <v>-17065</v>
      </c>
      <c r="T33" s="67">
        <f t="shared" si="71"/>
        <v>82399</v>
      </c>
      <c r="U33" s="67">
        <f t="shared" si="71"/>
        <v>74714</v>
      </c>
      <c r="W33" s="67">
        <f t="shared" ref="W33:AD33" si="72">+W34-W35-W36</f>
        <v>71208</v>
      </c>
      <c r="X33" s="67">
        <f t="shared" si="72"/>
        <v>71208</v>
      </c>
      <c r="Y33" s="67">
        <f t="shared" si="72"/>
        <v>-2988</v>
      </c>
      <c r="Z33" s="67">
        <f t="shared" si="72"/>
        <v>-2989</v>
      </c>
      <c r="AA33" s="67">
        <f t="shared" si="72"/>
        <v>-46172</v>
      </c>
      <c r="AB33" s="67">
        <f t="shared" si="72"/>
        <v>-46171</v>
      </c>
      <c r="AC33" s="67">
        <f t="shared" si="72"/>
        <v>123358</v>
      </c>
      <c r="AD33" s="67">
        <f t="shared" si="72"/>
        <v>123358</v>
      </c>
      <c r="AE33" s="67"/>
      <c r="AF33" s="67">
        <f t="shared" ref="AF33:AK33" si="73">+AF34-AF35-AF36</f>
        <v>83103</v>
      </c>
      <c r="AG33" s="67">
        <f t="shared" si="73"/>
        <v>83103</v>
      </c>
      <c r="AH33" s="67">
        <f t="shared" si="73"/>
        <v>-74743</v>
      </c>
      <c r="AI33" s="67">
        <f t="shared" si="73"/>
        <v>-74743</v>
      </c>
      <c r="AJ33" s="67">
        <f t="shared" si="73"/>
        <v>13936</v>
      </c>
      <c r="AK33" s="67">
        <f t="shared" si="73"/>
        <v>13936</v>
      </c>
      <c r="AN33" s="67">
        <f>+AN34-AN35-AN36</f>
        <v>107255</v>
      </c>
      <c r="AO33" s="67">
        <f>+AO34-AO35-AO36</f>
        <v>107255</v>
      </c>
      <c r="AQ33" s="67">
        <f t="shared" ref="AQ33:AV33" si="74">+AQ34-AQ35-AQ36</f>
        <v>16879</v>
      </c>
      <c r="AR33" s="67">
        <f t="shared" si="74"/>
        <v>16879</v>
      </c>
      <c r="AS33" s="67">
        <f t="shared" si="74"/>
        <v>30763</v>
      </c>
      <c r="AT33" s="67">
        <f t="shared" si="74"/>
        <v>12239</v>
      </c>
      <c r="AU33" s="67">
        <f t="shared" si="74"/>
        <v>31099</v>
      </c>
      <c r="AV33" s="67">
        <f t="shared" si="74"/>
        <v>335458</v>
      </c>
      <c r="AX33" s="67">
        <f>+AX34-AX35-AX36</f>
        <v>17119</v>
      </c>
      <c r="AY33" s="67">
        <f>+AY34-AY35-AY36</f>
        <v>-4403</v>
      </c>
      <c r="AZ33" s="67">
        <f>+AZ34-AZ35-AZ36</f>
        <v>5674</v>
      </c>
      <c r="BA33" s="67">
        <f>+BA34-BA35-BA36</f>
        <v>-50749</v>
      </c>
      <c r="BC33" s="67">
        <f>+BC34-BC35-BC36</f>
        <v>-14161</v>
      </c>
      <c r="BD33" s="67">
        <f>+BD34-BD35-BD36</f>
        <v>189632</v>
      </c>
      <c r="BE33" s="67">
        <f>+BE34-BE35-BE36</f>
        <v>9737</v>
      </c>
      <c r="BF33" s="67">
        <f>+BF34-BF35-BF36</f>
        <v>-250902</v>
      </c>
      <c r="BG33" s="67"/>
      <c r="BH33" s="67">
        <f>+BH34-BH35-BH36</f>
        <v>94581</v>
      </c>
      <c r="BI33" s="67">
        <f>+BI34-BI35-BI36</f>
        <v>38247</v>
      </c>
      <c r="BJ33" s="67">
        <f>+BJ34-BJ35-BJ36</f>
        <v>-104664</v>
      </c>
      <c r="BK33" s="67">
        <f>+BK34-BK35-BK36</f>
        <v>55949</v>
      </c>
      <c r="BL33" s="60"/>
      <c r="BM33" s="67">
        <f t="shared" ref="BM33:BS33" si="75">+BM34-BM35-BM36</f>
        <v>-40400</v>
      </c>
      <c r="BN33" s="67">
        <f t="shared" si="75"/>
        <v>-35713</v>
      </c>
      <c r="BO33" s="67">
        <f t="shared" si="75"/>
        <v>-23984</v>
      </c>
      <c r="BP33" s="67">
        <f t="shared" si="75"/>
        <v>-17043</v>
      </c>
      <c r="BQ33" s="67">
        <f t="shared" si="75"/>
        <v>35458</v>
      </c>
      <c r="BR33" s="67">
        <f t="shared" ref="BR33" si="76">+BR34-BR35-BR36</f>
        <v>-2381</v>
      </c>
      <c r="BS33" s="67">
        <f t="shared" si="75"/>
        <v>60355</v>
      </c>
      <c r="BT33" s="67">
        <f t="shared" ref="BT33" si="77">+BT34-BT35-BT36</f>
        <v>36079</v>
      </c>
      <c r="BU33" s="67"/>
      <c r="BV33" s="67">
        <f t="shared" ref="BV33:CB33" si="78">+BV34-BV35-BV36</f>
        <v>52316</v>
      </c>
      <c r="BW33" s="67">
        <f t="shared" si="78"/>
        <v>52316</v>
      </c>
      <c r="BX33" s="67">
        <f t="shared" si="78"/>
        <v>-6895</v>
      </c>
      <c r="BY33" s="67">
        <f t="shared" si="78"/>
        <v>-6895</v>
      </c>
      <c r="BZ33" s="67">
        <f t="shared" si="78"/>
        <v>4213</v>
      </c>
      <c r="CA33" s="67">
        <f t="shared" ref="CA33" si="79">+CA34-CA35-CA36</f>
        <v>4214</v>
      </c>
      <c r="CB33" s="67">
        <f t="shared" si="78"/>
        <v>10645</v>
      </c>
      <c r="CC33" s="67"/>
      <c r="CD33" s="67">
        <f>+CD34-CD35-CD36</f>
        <v>-15650</v>
      </c>
      <c r="CE33" s="67">
        <f>+CE34-CE35-CE36</f>
        <v>-63751</v>
      </c>
      <c r="CF33" s="67">
        <f>+CF34-CF35-CF36</f>
        <v>71394</v>
      </c>
      <c r="CG33" s="60">
        <f>+CD33+CE33+CF33-'ER GA Cons Acum.'!C35</f>
        <v>0</v>
      </c>
      <c r="CH33" s="60">
        <f>+BW33+BY33+CA33-'ER GA Cons Acum.'!E35</f>
        <v>0</v>
      </c>
    </row>
    <row r="34" spans="2:86" ht="15" customHeight="1">
      <c r="B34" s="74" t="s">
        <v>140</v>
      </c>
      <c r="C34" s="68">
        <v>8251</v>
      </c>
      <c r="D34" s="22">
        <v>14873.740913690001</v>
      </c>
      <c r="E34" s="22">
        <v>21754</v>
      </c>
      <c r="F34" s="22">
        <v>112178</v>
      </c>
      <c r="G34" s="55"/>
      <c r="H34" s="22">
        <f>22025+1</f>
        <v>22026</v>
      </c>
      <c r="I34" s="22">
        <f>63830-2</f>
        <v>63828</v>
      </c>
      <c r="J34" s="22">
        <f>31718</f>
        <v>31718</v>
      </c>
      <c r="K34" s="22">
        <v>77032</v>
      </c>
      <c r="L34" s="22">
        <v>80799</v>
      </c>
      <c r="N34" s="22">
        <v>23708</v>
      </c>
      <c r="O34" s="22">
        <v>23707</v>
      </c>
      <c r="P34" s="22">
        <v>27776</v>
      </c>
      <c r="Q34" s="22">
        <v>27776</v>
      </c>
      <c r="R34" s="22">
        <v>23052</v>
      </c>
      <c r="S34" s="22">
        <v>32768</v>
      </c>
      <c r="T34" s="22">
        <f>453631+1</f>
        <v>453632</v>
      </c>
      <c r="U34" s="22">
        <f>443916+1</f>
        <v>443917</v>
      </c>
      <c r="W34" s="22">
        <v>161888</v>
      </c>
      <c r="X34" s="22">
        <v>161888</v>
      </c>
      <c r="Y34" s="22">
        <v>17790</v>
      </c>
      <c r="Z34" s="22">
        <f>17790+1</f>
        <v>17791</v>
      </c>
      <c r="AA34" s="22">
        <v>18400</v>
      </c>
      <c r="AB34" s="22">
        <v>18400</v>
      </c>
      <c r="AC34" s="22">
        <v>178759</v>
      </c>
      <c r="AD34" s="22">
        <v>178759</v>
      </c>
      <c r="AE34" s="22"/>
      <c r="AF34" s="22">
        <v>124768</v>
      </c>
      <c r="AG34" s="22">
        <v>124768</v>
      </c>
      <c r="AH34" s="22">
        <v>25381</v>
      </c>
      <c r="AI34" s="22">
        <v>25381</v>
      </c>
      <c r="AJ34" s="22">
        <v>50127</v>
      </c>
      <c r="AK34" s="22">
        <v>50127</v>
      </c>
      <c r="AN34" s="22">
        <v>156613</v>
      </c>
      <c r="AO34" s="22">
        <v>156613</v>
      </c>
      <c r="AQ34" s="22">
        <v>51085</v>
      </c>
      <c r="AR34" s="22">
        <v>51085</v>
      </c>
      <c r="AS34" s="22">
        <v>80819</v>
      </c>
      <c r="AT34" s="22">
        <v>62295</v>
      </c>
      <c r="AU34" s="22">
        <v>61925</v>
      </c>
      <c r="AV34" s="22">
        <v>497511</v>
      </c>
      <c r="AW34" s="60"/>
      <c r="AX34" s="22">
        <v>51301</v>
      </c>
      <c r="AY34" s="22">
        <v>24671</v>
      </c>
      <c r="AZ34" s="22">
        <v>38214</v>
      </c>
      <c r="BA34" s="22">
        <v>60737</v>
      </c>
      <c r="BB34" s="60"/>
      <c r="BC34" s="22">
        <v>23498</v>
      </c>
      <c r="BD34" s="22">
        <f>227206+1</f>
        <v>227207</v>
      </c>
      <c r="BE34" s="22">
        <v>43371</v>
      </c>
      <c r="BF34" s="22">
        <v>1931396</v>
      </c>
      <c r="BG34" s="22"/>
      <c r="BH34" s="22">
        <v>130921</v>
      </c>
      <c r="BI34" s="22">
        <v>65166</v>
      </c>
      <c r="BJ34" s="22">
        <v>38058</v>
      </c>
      <c r="BK34" s="22">
        <v>127768</v>
      </c>
      <c r="BL34" s="60"/>
      <c r="BM34" s="22">
        <v>38062</v>
      </c>
      <c r="BN34" s="22">
        <v>23899</v>
      </c>
      <c r="BO34" s="22">
        <f>37322+1</f>
        <v>37323</v>
      </c>
      <c r="BP34" s="22">
        <v>26366</v>
      </c>
      <c r="BQ34" s="22">
        <v>30688</v>
      </c>
      <c r="BR34" s="22">
        <v>18787</v>
      </c>
      <c r="BS34" s="22">
        <v>192404</v>
      </c>
      <c r="BT34" s="22">
        <f>156076+1</f>
        <v>156077</v>
      </c>
      <c r="BU34" s="22"/>
      <c r="BV34" s="22">
        <v>90996</v>
      </c>
      <c r="BW34" s="22">
        <v>90996</v>
      </c>
      <c r="BX34" s="22">
        <v>41741</v>
      </c>
      <c r="BY34" s="22">
        <v>41741</v>
      </c>
      <c r="BZ34" s="22">
        <v>25786</v>
      </c>
      <c r="CA34" s="22">
        <f>25786+1</f>
        <v>25787</v>
      </c>
      <c r="CB34" s="22">
        <f>58243-1</f>
        <v>58242</v>
      </c>
      <c r="CC34" s="22"/>
      <c r="CD34" s="22">
        <v>26159</v>
      </c>
      <c r="CE34" s="22">
        <v>26608</v>
      </c>
      <c r="CF34" s="22">
        <v>104914</v>
      </c>
      <c r="CG34" s="60">
        <f>+CD34+CE34+CF34-'ER GA Cons Acum.'!C36</f>
        <v>0</v>
      </c>
      <c r="CH34" s="60">
        <f>+BW34+BY34+CA34-'ER GA Cons Acum.'!E36</f>
        <v>0</v>
      </c>
    </row>
    <row r="35" spans="2:86" ht="15" customHeight="1">
      <c r="B35" s="64" t="s">
        <v>141</v>
      </c>
      <c r="C35" s="68">
        <v>29159</v>
      </c>
      <c r="D35" s="22">
        <v>30679.775867510001</v>
      </c>
      <c r="E35" s="22">
        <v>66692</v>
      </c>
      <c r="F35" s="22">
        <f>88808-1</f>
        <v>88807</v>
      </c>
      <c r="G35" s="55"/>
      <c r="H35" s="22">
        <v>26711</v>
      </c>
      <c r="I35" s="22">
        <v>52465</v>
      </c>
      <c r="J35" s="22">
        <v>48704</v>
      </c>
      <c r="K35" s="22">
        <f>53541+1</f>
        <v>53542</v>
      </c>
      <c r="L35" s="22">
        <v>68753</v>
      </c>
      <c r="N35" s="22">
        <v>50019</v>
      </c>
      <c r="O35" s="22">
        <f>50019-12377</f>
        <v>37642</v>
      </c>
      <c r="P35" s="22">
        <v>61397</v>
      </c>
      <c r="Q35" s="22">
        <f>61397-2546</f>
        <v>58851</v>
      </c>
      <c r="R35" s="22">
        <v>54718</v>
      </c>
      <c r="S35" s="22">
        <f>36149+18569-3646</f>
        <v>51072</v>
      </c>
      <c r="T35" s="22">
        <v>371599</v>
      </c>
      <c r="U35" s="22">
        <f>369570-1</f>
        <v>369569</v>
      </c>
      <c r="W35" s="22">
        <f>59794-8804</f>
        <v>50990</v>
      </c>
      <c r="X35" s="22">
        <f>59794-8804</f>
        <v>50990</v>
      </c>
      <c r="Y35" s="22">
        <f>23608-2910</f>
        <v>20698</v>
      </c>
      <c r="Z35" s="22">
        <f>23608-2910+1</f>
        <v>20699</v>
      </c>
      <c r="AA35" s="22">
        <f>52858+15302-3588</f>
        <v>64572</v>
      </c>
      <c r="AB35" s="22">
        <f>52858+15302-3588-1</f>
        <v>64571</v>
      </c>
      <c r="AC35" s="22">
        <v>55401</v>
      </c>
      <c r="AD35" s="22">
        <v>55401</v>
      </c>
      <c r="AE35" s="22"/>
      <c r="AF35" s="22">
        <v>41665</v>
      </c>
      <c r="AG35" s="22">
        <v>41665</v>
      </c>
      <c r="AH35" s="22">
        <v>100124</v>
      </c>
      <c r="AI35" s="22">
        <v>100124</v>
      </c>
      <c r="AJ35" s="22">
        <v>36191</v>
      </c>
      <c r="AK35" s="22">
        <v>36191</v>
      </c>
      <c r="AN35" s="22">
        <v>49358</v>
      </c>
      <c r="AO35" s="22">
        <v>49358</v>
      </c>
      <c r="AQ35" s="22">
        <v>34206</v>
      </c>
      <c r="AR35" s="22">
        <v>34206</v>
      </c>
      <c r="AS35" s="22">
        <f>50055+1</f>
        <v>50056</v>
      </c>
      <c r="AT35" s="22">
        <f>50055+1</f>
        <v>50056</v>
      </c>
      <c r="AU35" s="22">
        <v>30826</v>
      </c>
      <c r="AV35" s="22">
        <f>162054-1</f>
        <v>162053</v>
      </c>
      <c r="AX35" s="22">
        <v>34182</v>
      </c>
      <c r="AY35" s="22">
        <f>29075-1</f>
        <v>29074</v>
      </c>
      <c r="AZ35" s="22">
        <f>32540</f>
        <v>32540</v>
      </c>
      <c r="BA35" s="22">
        <v>111486</v>
      </c>
      <c r="BC35" s="22">
        <v>37659</v>
      </c>
      <c r="BD35" s="22">
        <v>37575</v>
      </c>
      <c r="BE35" s="22">
        <v>33634</v>
      </c>
      <c r="BF35" s="22">
        <v>2182298</v>
      </c>
      <c r="BG35" s="22"/>
      <c r="BH35" s="22">
        <v>36340</v>
      </c>
      <c r="BI35" s="22">
        <v>26919</v>
      </c>
      <c r="BJ35" s="22">
        <f>142722</f>
        <v>142722</v>
      </c>
      <c r="BK35" s="22">
        <f>71820-1</f>
        <v>71819</v>
      </c>
      <c r="BL35" s="60"/>
      <c r="BM35" s="22">
        <f>78463-1</f>
        <v>78462</v>
      </c>
      <c r="BN35" s="22">
        <v>59612</v>
      </c>
      <c r="BO35" s="22">
        <v>61307</v>
      </c>
      <c r="BP35" s="22">
        <f>43410-1</f>
        <v>43409</v>
      </c>
      <c r="BQ35" s="22">
        <v>-4770</v>
      </c>
      <c r="BR35" s="22">
        <v>21168</v>
      </c>
      <c r="BS35" s="22">
        <v>132049</v>
      </c>
      <c r="BT35" s="22">
        <f>119997+1</f>
        <v>119998</v>
      </c>
      <c r="BU35" s="22"/>
      <c r="BV35" s="22">
        <v>38680</v>
      </c>
      <c r="BW35" s="22">
        <v>38680</v>
      </c>
      <c r="BX35" s="22">
        <v>48636</v>
      </c>
      <c r="BY35" s="22">
        <v>48636</v>
      </c>
      <c r="BZ35" s="22">
        <v>21573</v>
      </c>
      <c r="CA35" s="22">
        <v>21573</v>
      </c>
      <c r="CB35" s="22">
        <f>47598-1</f>
        <v>47597</v>
      </c>
      <c r="CC35" s="22"/>
      <c r="CD35" s="22">
        <v>41809</v>
      </c>
      <c r="CE35" s="22">
        <v>90359</v>
      </c>
      <c r="CF35" s="22">
        <f>33519+1</f>
        <v>33520</v>
      </c>
      <c r="CG35" s="60">
        <f>+CD35+CE35+CF35-'ER GA Cons Acum.'!C37</f>
        <v>0</v>
      </c>
      <c r="CH35" s="60">
        <f>+BW35+BY35+CA35-'ER GA Cons Acum.'!E37</f>
        <v>0</v>
      </c>
    </row>
    <row r="36" spans="2:86" hidden="1">
      <c r="B36" s="64" t="s">
        <v>142</v>
      </c>
      <c r="C36" s="68">
        <v>0</v>
      </c>
      <c r="D36" s="75">
        <v>0</v>
      </c>
      <c r="E36" s="75">
        <v>0</v>
      </c>
      <c r="F36" s="75"/>
      <c r="G36" s="55"/>
      <c r="H36" s="75">
        <v>105164</v>
      </c>
      <c r="I36" s="75">
        <f>-287-1</f>
        <v>-288</v>
      </c>
      <c r="J36" s="75">
        <v>1392</v>
      </c>
      <c r="K36" s="75">
        <v>2</v>
      </c>
      <c r="L36" s="75">
        <v>0</v>
      </c>
      <c r="N36" s="75">
        <v>99306</v>
      </c>
      <c r="O36" s="75">
        <v>101165</v>
      </c>
      <c r="P36" s="22">
        <v>1309</v>
      </c>
      <c r="Q36" s="22">
        <v>1309</v>
      </c>
      <c r="R36" s="22">
        <v>620</v>
      </c>
      <c r="S36" s="22">
        <v>-1239</v>
      </c>
      <c r="T36" s="22">
        <v>-366</v>
      </c>
      <c r="U36" s="22">
        <v>-366</v>
      </c>
      <c r="W36" s="75">
        <v>39690</v>
      </c>
      <c r="X36" s="75">
        <v>39690</v>
      </c>
      <c r="Y36" s="75">
        <v>80</v>
      </c>
      <c r="Z36" s="75">
        <f>80+1</f>
        <v>81</v>
      </c>
      <c r="AA36" s="75">
        <v>0</v>
      </c>
      <c r="AB36" s="75">
        <v>0</v>
      </c>
      <c r="AC36" s="75">
        <v>0</v>
      </c>
      <c r="AD36" s="75">
        <v>0</v>
      </c>
      <c r="AE36" s="75"/>
      <c r="AF36" s="75">
        <v>0</v>
      </c>
      <c r="AG36" s="75">
        <v>0</v>
      </c>
      <c r="AH36" s="75">
        <v>0</v>
      </c>
      <c r="AI36" s="75">
        <v>0</v>
      </c>
      <c r="AJ36" s="75">
        <v>0</v>
      </c>
      <c r="AK36" s="75">
        <v>0</v>
      </c>
      <c r="AN36" s="75">
        <v>0</v>
      </c>
      <c r="AO36" s="75">
        <v>0</v>
      </c>
      <c r="AQ36" s="75">
        <v>0</v>
      </c>
      <c r="AR36" s="75">
        <v>0</v>
      </c>
      <c r="AS36" s="75">
        <v>0</v>
      </c>
      <c r="AT36" s="75">
        <v>0</v>
      </c>
      <c r="AU36" s="75">
        <v>0</v>
      </c>
      <c r="AV36" s="75">
        <v>0</v>
      </c>
      <c r="AX36" s="75">
        <v>0</v>
      </c>
      <c r="AY36" s="75">
        <v>0</v>
      </c>
      <c r="AZ36" s="75">
        <v>0</v>
      </c>
      <c r="BA36" s="75">
        <v>0</v>
      </c>
      <c r="BC36" s="75">
        <v>0</v>
      </c>
      <c r="BD36" s="75">
        <v>0</v>
      </c>
      <c r="BE36" s="75">
        <v>0</v>
      </c>
      <c r="BF36" s="75">
        <v>0</v>
      </c>
      <c r="BG36" s="75"/>
      <c r="BH36" s="75">
        <v>0</v>
      </c>
      <c r="BI36" s="75">
        <v>0</v>
      </c>
      <c r="BJ36" s="75">
        <v>0</v>
      </c>
      <c r="BK36" s="75">
        <v>0</v>
      </c>
      <c r="BL36" s="60"/>
      <c r="BM36" s="75">
        <v>0</v>
      </c>
      <c r="BN36" s="75">
        <v>0</v>
      </c>
      <c r="BO36" s="75">
        <v>0</v>
      </c>
      <c r="BP36" s="75">
        <v>0</v>
      </c>
      <c r="BQ36" s="75">
        <v>0</v>
      </c>
      <c r="BR36" s="75">
        <v>0</v>
      </c>
      <c r="BS36" s="75">
        <v>0</v>
      </c>
      <c r="BT36" s="75">
        <v>0</v>
      </c>
      <c r="BU36" s="75"/>
      <c r="BV36" s="75">
        <v>0</v>
      </c>
      <c r="BW36" s="75">
        <v>0</v>
      </c>
      <c r="BX36" s="75">
        <v>0</v>
      </c>
      <c r="BY36" s="75">
        <v>0</v>
      </c>
      <c r="BZ36" s="75">
        <v>0</v>
      </c>
      <c r="CA36" s="75">
        <v>0</v>
      </c>
      <c r="CB36" s="75">
        <v>0</v>
      </c>
      <c r="CC36" s="75"/>
      <c r="CD36" s="75">
        <v>0</v>
      </c>
      <c r="CE36" s="75">
        <v>0</v>
      </c>
      <c r="CF36" s="75">
        <v>0</v>
      </c>
      <c r="CG36" s="60">
        <f>+CD36+CE36-'ER GA Cons Acum.'!C38</f>
        <v>0</v>
      </c>
      <c r="CH36" s="60">
        <f>+BW36+BY36-'ER GA Cons Acum.'!E38</f>
        <v>0</v>
      </c>
    </row>
    <row r="37" spans="2:86" ht="4.5" customHeight="1">
      <c r="C37" s="55"/>
      <c r="D37" s="76"/>
      <c r="E37" s="76"/>
      <c r="F37" s="76"/>
      <c r="G37" s="55"/>
      <c r="H37" s="76"/>
      <c r="I37" s="76"/>
      <c r="J37" s="76"/>
      <c r="K37" s="76"/>
      <c r="L37" s="76"/>
      <c r="N37" s="76"/>
      <c r="O37" s="76"/>
      <c r="P37" s="76"/>
      <c r="Q37" s="76"/>
      <c r="R37" s="76"/>
      <c r="S37" s="76"/>
      <c r="T37" s="76"/>
      <c r="U37" s="76"/>
      <c r="W37" s="76"/>
      <c r="X37" s="76"/>
      <c r="Y37" s="76"/>
      <c r="Z37" s="76"/>
      <c r="AA37" s="76"/>
      <c r="AB37" s="76"/>
      <c r="AC37" s="76"/>
      <c r="AD37" s="76"/>
      <c r="AE37" s="76"/>
      <c r="AF37" s="76"/>
      <c r="AG37" s="76"/>
      <c r="AH37" s="76"/>
      <c r="AI37" s="76"/>
      <c r="AJ37" s="76"/>
      <c r="AK37" s="76"/>
      <c r="AN37" s="76"/>
      <c r="AO37" s="76"/>
      <c r="AQ37" s="76"/>
      <c r="AR37" s="76"/>
      <c r="AS37" s="76"/>
      <c r="AT37" s="76"/>
      <c r="AU37" s="76"/>
      <c r="AV37" s="76"/>
      <c r="AX37" s="76"/>
      <c r="AY37" s="76"/>
      <c r="AZ37" s="76"/>
      <c r="BA37" s="76"/>
      <c r="BC37" s="76"/>
      <c r="BD37" s="76"/>
      <c r="BE37" s="76"/>
      <c r="BF37" s="76"/>
      <c r="BG37" s="76"/>
      <c r="BH37" s="76"/>
      <c r="BI37" s="76"/>
      <c r="BJ37" s="76"/>
      <c r="BK37" s="76"/>
      <c r="BL37" s="60"/>
      <c r="BM37" s="76"/>
      <c r="BN37" s="76"/>
      <c r="BO37" s="76"/>
      <c r="BP37" s="76"/>
      <c r="BQ37" s="76"/>
      <c r="BR37" s="76"/>
      <c r="BS37" s="76"/>
      <c r="BT37" s="76"/>
      <c r="BU37" s="76"/>
      <c r="BV37" s="76"/>
      <c r="BW37" s="76"/>
      <c r="BX37" s="76"/>
      <c r="BY37" s="76"/>
      <c r="BZ37" s="76"/>
      <c r="CA37" s="76"/>
      <c r="CB37" s="76"/>
      <c r="CC37" s="76"/>
      <c r="CD37" s="76"/>
      <c r="CE37" s="76"/>
      <c r="CF37" s="76"/>
      <c r="CG37" s="60"/>
      <c r="CH37" s="60"/>
    </row>
    <row r="38" spans="2:86" s="56" customFormat="1" ht="16.5" customHeight="1">
      <c r="B38" s="56" t="s">
        <v>143</v>
      </c>
      <c r="C38" s="69">
        <f>+C24-C27+C33</f>
        <v>657464</v>
      </c>
      <c r="D38" s="69">
        <f>+D24-D27+D33</f>
        <v>572481.91089914984</v>
      </c>
      <c r="E38" s="69">
        <f>+E24-E27+E33</f>
        <v>322148</v>
      </c>
      <c r="F38" s="69">
        <f>+F24-F27+F33</f>
        <v>111077</v>
      </c>
      <c r="G38" s="55"/>
      <c r="H38" s="69">
        <f>+H24-H27+H33</f>
        <v>343755</v>
      </c>
      <c r="I38" s="69">
        <f t="shared" ref="I38:L38" si="80">+I24-I27+I33</f>
        <v>562513</v>
      </c>
      <c r="J38" s="69">
        <f t="shared" si="80"/>
        <v>454461</v>
      </c>
      <c r="K38" s="69">
        <f t="shared" si="80"/>
        <v>270282</v>
      </c>
      <c r="L38" s="69">
        <f t="shared" si="80"/>
        <v>264504</v>
      </c>
      <c r="N38" s="69">
        <f t="shared" ref="N38:U38" si="81">+N24-N27+N33</f>
        <v>603138</v>
      </c>
      <c r="O38" s="69">
        <f t="shared" si="81"/>
        <v>599309</v>
      </c>
      <c r="P38" s="69">
        <f t="shared" si="81"/>
        <v>642761</v>
      </c>
      <c r="Q38" s="69">
        <f t="shared" si="81"/>
        <v>650249</v>
      </c>
      <c r="R38" s="69">
        <f t="shared" si="81"/>
        <v>622318</v>
      </c>
      <c r="S38" s="69">
        <f t="shared" si="81"/>
        <v>664144</v>
      </c>
      <c r="T38" s="69">
        <f t="shared" si="81"/>
        <v>567821</v>
      </c>
      <c r="U38" s="69">
        <f t="shared" si="81"/>
        <v>542935</v>
      </c>
      <c r="W38" s="69">
        <f t="shared" ref="W38:AD38" si="82">+W24-W27+W33</f>
        <v>495314</v>
      </c>
      <c r="X38" s="69">
        <f t="shared" si="82"/>
        <v>495313</v>
      </c>
      <c r="Y38" s="69">
        <f t="shared" si="82"/>
        <v>556952</v>
      </c>
      <c r="Z38" s="69">
        <f t="shared" si="82"/>
        <v>556951</v>
      </c>
      <c r="AA38" s="69">
        <f t="shared" si="82"/>
        <v>828601</v>
      </c>
      <c r="AB38" s="69">
        <f t="shared" si="82"/>
        <v>828602</v>
      </c>
      <c r="AC38" s="69">
        <f t="shared" si="82"/>
        <v>639665</v>
      </c>
      <c r="AD38" s="69">
        <f t="shared" si="82"/>
        <v>639667</v>
      </c>
      <c r="AE38" s="69"/>
      <c r="AF38" s="69">
        <f t="shared" ref="AF38:AK38" si="83">+AF24-AF27+AF33</f>
        <v>607137</v>
      </c>
      <c r="AG38" s="69">
        <f t="shared" si="83"/>
        <v>604542</v>
      </c>
      <c r="AH38" s="69">
        <f t="shared" si="83"/>
        <v>545462</v>
      </c>
      <c r="AI38" s="69">
        <f t="shared" si="83"/>
        <v>540759</v>
      </c>
      <c r="AJ38" s="69">
        <f t="shared" si="83"/>
        <v>677312</v>
      </c>
      <c r="AK38" s="69">
        <f t="shared" si="83"/>
        <v>673492</v>
      </c>
      <c r="AN38" s="69">
        <f t="shared" ref="AN38:AO38" si="84">+AN24-AN27+AN33</f>
        <v>789138</v>
      </c>
      <c r="AO38" s="69">
        <f t="shared" si="84"/>
        <v>780918</v>
      </c>
      <c r="AQ38" s="69">
        <f t="shared" ref="AQ38:AV38" si="85">+AQ24-AQ27+AQ33</f>
        <v>609504</v>
      </c>
      <c r="AR38" s="69">
        <f t="shared" si="85"/>
        <v>603092</v>
      </c>
      <c r="AS38" s="69">
        <f t="shared" si="85"/>
        <v>610341</v>
      </c>
      <c r="AT38" s="69">
        <f t="shared" si="85"/>
        <v>602286</v>
      </c>
      <c r="AU38" s="69">
        <f t="shared" si="85"/>
        <v>979335</v>
      </c>
      <c r="AV38" s="69">
        <f t="shared" si="85"/>
        <v>891760</v>
      </c>
      <c r="AX38" s="69">
        <f t="shared" ref="AX38:BA38" si="86">+AX24-AX27+AX33</f>
        <v>396629</v>
      </c>
      <c r="AY38" s="69">
        <f t="shared" si="86"/>
        <v>448973</v>
      </c>
      <c r="AZ38" s="69">
        <f t="shared" si="86"/>
        <v>426511</v>
      </c>
      <c r="BA38" s="69">
        <f t="shared" si="86"/>
        <v>366014</v>
      </c>
      <c r="BC38" s="69">
        <f t="shared" ref="BC38:BF38" si="87">+BC24-BC27+BC33</f>
        <v>524558</v>
      </c>
      <c r="BD38" s="69">
        <f t="shared" si="87"/>
        <v>873240</v>
      </c>
      <c r="BE38" s="69">
        <f t="shared" si="87"/>
        <v>729786</v>
      </c>
      <c r="BF38" s="69">
        <f t="shared" si="87"/>
        <v>489870</v>
      </c>
      <c r="BG38" s="69"/>
      <c r="BH38" s="69">
        <f t="shared" ref="BH38:BJ38" si="88">+BH24-BH27+BH33</f>
        <v>794578</v>
      </c>
      <c r="BI38" s="69">
        <f t="shared" si="88"/>
        <v>981767</v>
      </c>
      <c r="BJ38" s="69">
        <f t="shared" si="88"/>
        <v>841714</v>
      </c>
      <c r="BK38" s="69">
        <f t="shared" ref="BK38:BM38" si="89">+BK24-BK27+BK33</f>
        <v>975206</v>
      </c>
      <c r="BL38" s="60"/>
      <c r="BM38" s="69">
        <f t="shared" si="89"/>
        <v>1202066</v>
      </c>
      <c r="BN38" s="69">
        <f t="shared" ref="BN38" si="90">+BN24-BN27+BN33</f>
        <v>1037769</v>
      </c>
      <c r="BO38" s="69">
        <f t="shared" ref="BO38:BQ38" si="91">+BO24-BO27+BO33</f>
        <v>1212258</v>
      </c>
      <c r="BP38" s="69">
        <f t="shared" ref="BP38" si="92">+BP24-BP27+BP33</f>
        <v>921167</v>
      </c>
      <c r="BQ38" s="69">
        <f t="shared" si="91"/>
        <v>962933</v>
      </c>
      <c r="BR38" s="69">
        <f t="shared" ref="BR38" si="93">+BR24-BR27+BR33</f>
        <v>640816</v>
      </c>
      <c r="BS38" s="69">
        <f t="shared" ref="BS38:BT38" si="94">+BS24-BS27+BS33</f>
        <v>768980</v>
      </c>
      <c r="BT38" s="69">
        <f t="shared" si="94"/>
        <v>520979</v>
      </c>
      <c r="BU38" s="69"/>
      <c r="BV38" s="69">
        <f t="shared" ref="BV38:BZ38" si="95">+BV24-BV27+BV33</f>
        <v>2166894</v>
      </c>
      <c r="BW38" s="69">
        <f t="shared" ref="BW38" si="96">+BW24-BW27+BW33</f>
        <v>346523</v>
      </c>
      <c r="BX38" s="69">
        <f t="shared" si="95"/>
        <v>778005</v>
      </c>
      <c r="BY38" s="69">
        <f t="shared" ref="BY38" si="97">+BY24-BY27+BY33</f>
        <v>549736</v>
      </c>
      <c r="BZ38" s="69">
        <f t="shared" si="95"/>
        <v>904430</v>
      </c>
      <c r="CA38" s="69">
        <f t="shared" ref="CA38" si="98">+CA24-CA27+CA33</f>
        <v>541484</v>
      </c>
      <c r="CB38" s="69">
        <f t="shared" ref="CB38" si="99">+CB24-CB27+CB33</f>
        <v>373279</v>
      </c>
      <c r="CC38" s="69"/>
      <c r="CD38" s="69">
        <f t="shared" ref="CD38:CE38" si="100">+CD24-CD27+CD33</f>
        <v>593548</v>
      </c>
      <c r="CE38" s="69">
        <f t="shared" si="100"/>
        <v>424766</v>
      </c>
      <c r="CF38" s="69">
        <f t="shared" ref="CF38" si="101">+CF24-CF27+CF33</f>
        <v>629852</v>
      </c>
      <c r="CG38" s="60">
        <f>+CD38+CE38+CF38-'ER GA Cons Acum.'!C40</f>
        <v>0</v>
      </c>
      <c r="CH38" s="60">
        <f>+BW38+BY38+CA38-'ER GA Cons Acum.'!E40</f>
        <v>0</v>
      </c>
    </row>
    <row r="39" spans="2:86" s="56" customFormat="1" ht="16.5" hidden="1" customHeight="1">
      <c r="B39" s="77" t="s">
        <v>35</v>
      </c>
      <c r="C39" s="78">
        <v>305.32</v>
      </c>
      <c r="D39" s="78">
        <v>309.13</v>
      </c>
      <c r="E39" s="78">
        <v>163.72999999999999</v>
      </c>
      <c r="F39" s="78">
        <v>56.22</v>
      </c>
      <c r="G39" s="55"/>
      <c r="H39" s="78">
        <v>126.58</v>
      </c>
      <c r="I39" s="78">
        <v>223.73</v>
      </c>
      <c r="J39" s="78">
        <v>154.26</v>
      </c>
      <c r="K39" s="78">
        <v>91.97</v>
      </c>
      <c r="L39" s="78" t="e">
        <f>+#REF!-J39-I39-H39</f>
        <v>#REF!</v>
      </c>
      <c r="N39" s="78">
        <v>126.58</v>
      </c>
      <c r="O39" s="78">
        <v>126.58</v>
      </c>
      <c r="P39" s="78">
        <v>126.58</v>
      </c>
      <c r="Q39" s="78">
        <v>126.58</v>
      </c>
      <c r="R39" s="78">
        <v>126.58</v>
      </c>
      <c r="S39" s="78">
        <v>126.58</v>
      </c>
      <c r="T39" s="78"/>
      <c r="U39" s="78"/>
      <c r="W39" s="78">
        <v>126.58</v>
      </c>
      <c r="X39" s="78">
        <v>126.58</v>
      </c>
      <c r="Y39" s="78">
        <v>126.58</v>
      </c>
      <c r="Z39" s="78">
        <v>126.58</v>
      </c>
      <c r="AA39" s="78">
        <v>126.58</v>
      </c>
      <c r="AB39" s="78">
        <v>126.58</v>
      </c>
      <c r="AC39" s="78">
        <v>126.58</v>
      </c>
      <c r="AD39" s="78">
        <v>126.58</v>
      </c>
      <c r="AE39" s="78"/>
      <c r="AF39" s="78">
        <v>126.58</v>
      </c>
      <c r="AG39" s="78">
        <v>126.58</v>
      </c>
      <c r="AH39" s="78">
        <v>126.58</v>
      </c>
      <c r="AI39" s="78">
        <v>126.58</v>
      </c>
      <c r="AJ39" s="78">
        <v>126.58</v>
      </c>
      <c r="AK39" s="78">
        <v>126.58</v>
      </c>
      <c r="AN39" s="78">
        <v>126.58</v>
      </c>
      <c r="AO39" s="78">
        <v>126.58</v>
      </c>
      <c r="AQ39" s="78">
        <v>126.58</v>
      </c>
      <c r="AR39" s="78">
        <v>126.58</v>
      </c>
      <c r="AS39" s="78">
        <v>126.58</v>
      </c>
      <c r="AT39" s="78">
        <v>126.58</v>
      </c>
      <c r="AU39" s="78">
        <v>126.58</v>
      </c>
      <c r="AV39" s="78">
        <v>126.58</v>
      </c>
      <c r="AX39" s="78">
        <v>126.58</v>
      </c>
      <c r="AY39" s="78">
        <v>126.58</v>
      </c>
      <c r="AZ39" s="78">
        <v>126.58</v>
      </c>
      <c r="BA39" s="78">
        <v>126.58</v>
      </c>
      <c r="BC39" s="78">
        <v>126.58</v>
      </c>
      <c r="BD39" s="78">
        <v>126.58</v>
      </c>
      <c r="BE39" s="78">
        <v>126.58</v>
      </c>
      <c r="BF39" s="78">
        <v>126.58</v>
      </c>
      <c r="BG39" s="78"/>
      <c r="BH39" s="78">
        <v>126.58</v>
      </c>
      <c r="BI39" s="78">
        <v>126.58</v>
      </c>
      <c r="BJ39" s="78">
        <v>126.58</v>
      </c>
      <c r="BK39" s="78">
        <v>126.58</v>
      </c>
      <c r="BL39" s="60"/>
      <c r="BM39" s="78">
        <v>126.58</v>
      </c>
      <c r="BN39" s="78">
        <v>126.58</v>
      </c>
      <c r="BO39" s="78">
        <v>126.58</v>
      </c>
      <c r="BP39" s="78">
        <v>126.58</v>
      </c>
      <c r="BQ39" s="78">
        <v>126.58</v>
      </c>
      <c r="BR39" s="78">
        <v>126.58</v>
      </c>
      <c r="BS39" s="78">
        <v>126.58</v>
      </c>
      <c r="BT39" s="78">
        <v>126.58</v>
      </c>
      <c r="BU39" s="78"/>
      <c r="BV39" s="78">
        <v>126.58</v>
      </c>
      <c r="BW39" s="78">
        <v>126.58</v>
      </c>
      <c r="BX39" s="78">
        <v>126.58</v>
      </c>
      <c r="BY39" s="78">
        <v>126.58</v>
      </c>
      <c r="BZ39" s="78"/>
      <c r="CA39" s="78"/>
      <c r="CB39" s="78"/>
      <c r="CC39" s="78"/>
      <c r="CD39" s="78">
        <v>126.58</v>
      </c>
      <c r="CE39" s="78">
        <v>126.58</v>
      </c>
      <c r="CF39" s="78">
        <v>126.58</v>
      </c>
      <c r="CG39" s="60">
        <f>+BM39+BO39+BQ39-'ER GA Cons Acum.'!C41</f>
        <v>379.55553202681682</v>
      </c>
      <c r="CH39" s="60">
        <f>+BH39+BI39-'ER GA Cons Acum.'!E38</f>
        <v>253.16</v>
      </c>
    </row>
    <row r="40" spans="2:86" ht="16.5" customHeight="1">
      <c r="B40" s="79" t="s">
        <v>144</v>
      </c>
      <c r="C40" s="80">
        <f>+C38/C$10</f>
        <v>0.28675469681935645</v>
      </c>
      <c r="D40" s="80">
        <f>+D38/D$10</f>
        <v>0.2249302540551196</v>
      </c>
      <c r="E40" s="80">
        <f>+E38/E$10</f>
        <v>0.14415431924193553</v>
      </c>
      <c r="F40" s="80">
        <f>+F38/F$10</f>
        <v>4.9953296813255159E-2</v>
      </c>
      <c r="G40" s="81"/>
      <c r="H40" s="80">
        <f>+H38/H$10</f>
        <v>0.1302048020726409</v>
      </c>
      <c r="I40" s="80">
        <f t="shared" ref="I40:L40" si="102">+I38/I$10</f>
        <v>0.19738191658499629</v>
      </c>
      <c r="J40" s="80">
        <f t="shared" si="102"/>
        <v>0.14147125925829079</v>
      </c>
      <c r="K40" s="80">
        <f t="shared" si="102"/>
        <v>6.9708710119861572E-2</v>
      </c>
      <c r="L40" s="80">
        <f t="shared" si="102"/>
        <v>6.6160204825894992E-2</v>
      </c>
      <c r="N40" s="80">
        <f t="shared" ref="N40:U40" si="103">+N38/N$10</f>
        <v>0.14869778678361878</v>
      </c>
      <c r="O40" s="80">
        <f t="shared" si="103"/>
        <v>0.1482474877090999</v>
      </c>
      <c r="P40" s="80">
        <f t="shared" si="103"/>
        <v>0.18929008964436747</v>
      </c>
      <c r="Q40" s="80">
        <f t="shared" si="103"/>
        <v>0.19213249820203299</v>
      </c>
      <c r="R40" s="80">
        <f t="shared" si="103"/>
        <v>0.18509057219379371</v>
      </c>
      <c r="S40" s="80">
        <f t="shared" si="103"/>
        <v>0.19522616780342636</v>
      </c>
      <c r="T40" s="80">
        <f t="shared" si="103"/>
        <v>0.15186943883669851</v>
      </c>
      <c r="U40" s="80">
        <f t="shared" si="103"/>
        <v>0.14579506761619351</v>
      </c>
      <c r="W40" s="80">
        <f t="shared" ref="W40:AD40" si="104">+W38/W$10</f>
        <v>0.14753809282394761</v>
      </c>
      <c r="X40" s="80">
        <f t="shared" si="104"/>
        <v>0.14753779495614491</v>
      </c>
      <c r="Y40" s="80">
        <f t="shared" si="104"/>
        <v>0.15622194179010992</v>
      </c>
      <c r="Z40" s="80">
        <f t="shared" si="104"/>
        <v>0.15622166129566556</v>
      </c>
      <c r="AA40" s="80">
        <f t="shared" si="104"/>
        <v>0.20378564707398497</v>
      </c>
      <c r="AB40" s="80">
        <f t="shared" si="104"/>
        <v>0.20378594313239831</v>
      </c>
      <c r="AC40" s="80">
        <f t="shared" si="104"/>
        <v>0.17841777146046436</v>
      </c>
      <c r="AD40" s="80">
        <f t="shared" si="104"/>
        <v>0.17841822977782898</v>
      </c>
      <c r="AE40" s="80"/>
      <c r="AF40" s="80">
        <f t="shared" ref="AF40:AK40" si="105">+AF38/AF$10</f>
        <v>0.18339482369373511</v>
      </c>
      <c r="AG40" s="80">
        <f t="shared" si="105"/>
        <v>0.18275416330103944</v>
      </c>
      <c r="AH40" s="80">
        <f t="shared" si="105"/>
        <v>0.15080050095241782</v>
      </c>
      <c r="AI40" s="80">
        <f t="shared" si="105"/>
        <v>0.14969496784137773</v>
      </c>
      <c r="AJ40" s="80">
        <f t="shared" si="105"/>
        <v>0.18616463665693486</v>
      </c>
      <c r="AK40" s="80">
        <f t="shared" si="105"/>
        <v>0.18530924587183326</v>
      </c>
      <c r="AN40" s="80">
        <f t="shared" ref="AN40:AO40" si="106">+AN38/AN$10</f>
        <v>0.2105426327634024</v>
      </c>
      <c r="AO40" s="80">
        <f t="shared" si="106"/>
        <v>0.20880746651978196</v>
      </c>
      <c r="AQ40" s="80">
        <f t="shared" ref="AQ40:AV40" si="107">+AQ38/AQ$10</f>
        <v>0.16378721936003285</v>
      </c>
      <c r="AR40" s="80">
        <f t="shared" si="107"/>
        <v>0.16234389906172542</v>
      </c>
      <c r="AS40" s="80">
        <f t="shared" si="107"/>
        <v>0.15809624806310785</v>
      </c>
      <c r="AT40" s="80">
        <f t="shared" si="107"/>
        <v>0.1538330294317547</v>
      </c>
      <c r="AU40" s="80">
        <f t="shared" si="107"/>
        <v>0.18733619667742157</v>
      </c>
      <c r="AV40" s="80">
        <f t="shared" si="107"/>
        <v>0.22628884867148938</v>
      </c>
      <c r="AX40" s="80">
        <f t="shared" ref="AX40:BA40" si="108">+AX38/AX$10</f>
        <v>0.10969383663063757</v>
      </c>
      <c r="AY40" s="80">
        <f t="shared" si="108"/>
        <v>0.13418962822156669</v>
      </c>
      <c r="AZ40" s="80">
        <f t="shared" si="108"/>
        <v>0.12351245894366414</v>
      </c>
      <c r="BA40" s="80">
        <f t="shared" si="108"/>
        <v>0.10236009294835852</v>
      </c>
      <c r="BC40" s="80">
        <f t="shared" ref="BC40:BF40" si="109">+BC38/BC$10</f>
        <v>0.14051862650394562</v>
      </c>
      <c r="BD40" s="80">
        <f t="shared" si="109"/>
        <v>0.21686653633415984</v>
      </c>
      <c r="BE40" s="80">
        <f t="shared" si="109"/>
        <v>0.17732986831218722</v>
      </c>
      <c r="BF40" s="80">
        <f t="shared" si="109"/>
        <v>0.11047873441667309</v>
      </c>
      <c r="BG40" s="80"/>
      <c r="BH40" s="80">
        <f t="shared" ref="BH40:BJ40" si="110">+BH38/BH$10</f>
        <v>0.17222116619022404</v>
      </c>
      <c r="BI40" s="80">
        <f t="shared" si="110"/>
        <v>0.16645510096575347</v>
      </c>
      <c r="BJ40" s="80">
        <f t="shared" si="110"/>
        <v>0.16542776428006806</v>
      </c>
      <c r="BK40" s="80">
        <f t="shared" ref="BK40:BM40" si="111">+BK38/BK$10</f>
        <v>0.16990231722198179</v>
      </c>
      <c r="BL40" s="60"/>
      <c r="BM40" s="80">
        <f t="shared" si="111"/>
        <v>0.20924043452082655</v>
      </c>
      <c r="BN40" s="80">
        <f t="shared" ref="BN40" si="112">+BN38/BN$10</f>
        <v>0.27565701590374403</v>
      </c>
      <c r="BO40" s="80">
        <f t="shared" ref="BO40:BQ40" si="113">+BO38/BO$10</f>
        <v>0.18964065893925516</v>
      </c>
      <c r="BP40" s="80">
        <f t="shared" ref="BP40" si="114">+BP38/BP$10</f>
        <v>0.20837634133502719</v>
      </c>
      <c r="BQ40" s="80">
        <f t="shared" si="113"/>
        <v>0.19877489993990924</v>
      </c>
      <c r="BR40" s="80">
        <f t="shared" ref="BR40" si="115">+BR38/BR$10</f>
        <v>0.20844635551642043</v>
      </c>
      <c r="BS40" s="80">
        <f t="shared" ref="BS40:BT40" si="116">+BS38/BS$10</f>
        <v>0.13703732216761971</v>
      </c>
      <c r="BT40" s="80">
        <f t="shared" si="116"/>
        <v>0.1324421304976186</v>
      </c>
      <c r="BU40" s="80"/>
      <c r="BV40" s="80">
        <f t="shared" ref="BV40:BZ40" si="117">+BV38/BV$10</f>
        <v>0.47746000884016271</v>
      </c>
      <c r="BW40" s="80">
        <f t="shared" ref="BW40" si="118">+BW38/BW$10</f>
        <v>0.12749162437463346</v>
      </c>
      <c r="BX40" s="80">
        <f t="shared" si="117"/>
        <v>0.21114885953208845</v>
      </c>
      <c r="BY40" s="80">
        <f t="shared" ref="BY40" si="119">+BY38/BY$10</f>
        <v>0.15994837296575257</v>
      </c>
      <c r="BZ40" s="80">
        <f t="shared" si="117"/>
        <v>0.27322377958907224</v>
      </c>
      <c r="CA40" s="80">
        <f t="shared" ref="CA40" si="120">+CA38/CA$10</f>
        <v>0.18381335552963574</v>
      </c>
      <c r="CB40" s="80">
        <f t="shared" ref="CB40" si="121">+CB38/CB$10</f>
        <v>0.10302640886811132</v>
      </c>
      <c r="CC40" s="80"/>
      <c r="CD40" s="80">
        <f t="shared" ref="CD40:CE40" si="122">+CD38/CD$10</f>
        <v>0.20445112842040433</v>
      </c>
      <c r="CE40" s="80">
        <f t="shared" si="122"/>
        <v>0.15799120861790517</v>
      </c>
      <c r="CF40" s="80">
        <f t="shared" ref="CF40" si="123">+CF38/CF$10</f>
        <v>0.18840757887532533</v>
      </c>
      <c r="CG40" s="60"/>
      <c r="CH40" s="60"/>
    </row>
    <row r="41" spans="2:86" ht="4.5" customHeight="1">
      <c r="B41" s="64"/>
      <c r="C41" s="82"/>
      <c r="D41" s="76"/>
      <c r="E41" s="76"/>
      <c r="F41" s="76"/>
      <c r="G41" s="55"/>
      <c r="H41" s="76"/>
      <c r="I41" s="76"/>
      <c r="J41" s="76"/>
      <c r="K41" s="76"/>
      <c r="L41" s="76"/>
      <c r="N41" s="76"/>
      <c r="O41" s="76"/>
      <c r="P41" s="76"/>
      <c r="Q41" s="76"/>
      <c r="R41" s="76"/>
      <c r="S41" s="76"/>
      <c r="T41" s="76"/>
      <c r="U41" s="76"/>
      <c r="W41" s="76"/>
      <c r="X41" s="76"/>
      <c r="Y41" s="76"/>
      <c r="Z41" s="76"/>
      <c r="AA41" s="76"/>
      <c r="AB41" s="76"/>
      <c r="AC41" s="76"/>
      <c r="AD41" s="76"/>
      <c r="AE41" s="76"/>
      <c r="AF41" s="76"/>
      <c r="AG41" s="76"/>
      <c r="AH41" s="76"/>
      <c r="AI41" s="76"/>
      <c r="AJ41" s="76"/>
      <c r="AK41" s="76"/>
      <c r="AN41" s="76"/>
      <c r="AO41" s="76"/>
      <c r="AQ41" s="76"/>
      <c r="AR41" s="76"/>
      <c r="AS41" s="76"/>
      <c r="AT41" s="76"/>
      <c r="AU41" s="76"/>
      <c r="AV41" s="76"/>
      <c r="AX41" s="76"/>
      <c r="AY41" s="76"/>
      <c r="AZ41" s="76"/>
      <c r="BA41" s="76"/>
      <c r="BC41" s="76"/>
      <c r="BD41" s="76"/>
      <c r="BE41" s="76"/>
      <c r="BF41" s="76"/>
      <c r="BG41" s="76"/>
      <c r="BH41" s="76"/>
      <c r="BI41" s="76"/>
      <c r="BJ41" s="76"/>
      <c r="BK41" s="76"/>
      <c r="BL41" s="60"/>
      <c r="BM41" s="76"/>
      <c r="BN41" s="76"/>
      <c r="BO41" s="76"/>
      <c r="BP41" s="76"/>
      <c r="BQ41" s="76"/>
      <c r="BR41" s="76"/>
      <c r="BS41" s="76"/>
      <c r="BT41" s="76"/>
      <c r="BU41" s="76"/>
      <c r="BV41" s="76"/>
      <c r="BW41" s="76"/>
      <c r="BX41" s="76"/>
      <c r="BY41" s="76"/>
      <c r="BZ41" s="76"/>
      <c r="CA41" s="76"/>
      <c r="CB41" s="76"/>
      <c r="CC41" s="76"/>
      <c r="CD41" s="76"/>
      <c r="CE41" s="76"/>
      <c r="CF41" s="76"/>
      <c r="CG41" s="60"/>
      <c r="CH41" s="60"/>
    </row>
    <row r="42" spans="2:86" s="56" customFormat="1" ht="16.5" customHeight="1">
      <c r="B42" s="83" t="s">
        <v>145</v>
      </c>
      <c r="C42" s="84">
        <f>+C38+C20+C29+C31-C36</f>
        <v>803253</v>
      </c>
      <c r="D42" s="84">
        <f>+D38+D20+D29+D31-D36</f>
        <v>740260.97639072989</v>
      </c>
      <c r="E42" s="84">
        <f>+E38+E20+E29+E31-E36</f>
        <v>458645</v>
      </c>
      <c r="F42" s="84">
        <f>+F38+F20+F29+F31-F36</f>
        <v>222458</v>
      </c>
      <c r="G42" s="58"/>
      <c r="H42" s="84">
        <f>+H38+H20+H29+H31-H36</f>
        <v>459893</v>
      </c>
      <c r="I42" s="84">
        <f t="shared" ref="I42:L42" si="124">+I38+I20+I29+I31-I36</f>
        <v>765822</v>
      </c>
      <c r="J42" s="84">
        <f t="shared" si="124"/>
        <v>679975</v>
      </c>
      <c r="K42" s="84">
        <f t="shared" si="124"/>
        <v>522044</v>
      </c>
      <c r="L42" s="84">
        <f t="shared" si="124"/>
        <v>516407</v>
      </c>
      <c r="N42" s="84">
        <f t="shared" ref="N42:U42" si="125">+N38+N20+N29+N31-N36</f>
        <v>764069</v>
      </c>
      <c r="O42" s="84">
        <f t="shared" si="125"/>
        <v>758829</v>
      </c>
      <c r="P42" s="84">
        <f t="shared" si="125"/>
        <v>889098</v>
      </c>
      <c r="Q42" s="84">
        <f t="shared" si="125"/>
        <v>880143</v>
      </c>
      <c r="R42" s="84">
        <f t="shared" si="125"/>
        <v>881311</v>
      </c>
      <c r="S42" s="84">
        <f t="shared" si="125"/>
        <v>938326</v>
      </c>
      <c r="T42" s="84">
        <f t="shared" si="125"/>
        <v>884211</v>
      </c>
      <c r="U42" s="84">
        <f t="shared" si="125"/>
        <v>861990</v>
      </c>
      <c r="W42" s="84">
        <f t="shared" ref="W42:AD42" si="126">+W38+W20+W29+W31-W36</f>
        <v>783944</v>
      </c>
      <c r="X42" s="84">
        <f t="shared" si="126"/>
        <v>783943</v>
      </c>
      <c r="Y42" s="84">
        <f t="shared" si="126"/>
        <v>875559</v>
      </c>
      <c r="Z42" s="84">
        <f t="shared" si="126"/>
        <v>875558</v>
      </c>
      <c r="AA42" s="84">
        <f t="shared" si="126"/>
        <v>1193364</v>
      </c>
      <c r="AB42" s="84">
        <f t="shared" si="126"/>
        <v>1193364</v>
      </c>
      <c r="AC42" s="84">
        <f t="shared" si="126"/>
        <v>972221</v>
      </c>
      <c r="AD42" s="84">
        <f t="shared" si="126"/>
        <v>972223</v>
      </c>
      <c r="AE42" s="85"/>
      <c r="AF42" s="84">
        <f t="shared" ref="AF42:AK42" si="127">+AF38+AF20+AF29+AF31-AF36</f>
        <v>941213</v>
      </c>
      <c r="AG42" s="84">
        <f t="shared" si="127"/>
        <v>938619</v>
      </c>
      <c r="AH42" s="84">
        <f t="shared" si="127"/>
        <v>891224</v>
      </c>
      <c r="AI42" s="84">
        <f t="shared" si="127"/>
        <v>886520</v>
      </c>
      <c r="AJ42" s="84">
        <f t="shared" si="127"/>
        <v>1022496</v>
      </c>
      <c r="AK42" s="84">
        <f t="shared" si="127"/>
        <v>1018676</v>
      </c>
      <c r="AN42" s="84">
        <f t="shared" ref="AN42:AO42" si="128">+AN38+AN20+AN29+AN31-AN36</f>
        <v>1111072</v>
      </c>
      <c r="AO42" s="84">
        <f t="shared" si="128"/>
        <v>1102852</v>
      </c>
      <c r="AQ42" s="84">
        <f t="shared" ref="AQ42:AV42" si="129">+AQ38+AQ20+AQ29+AQ31-AQ36</f>
        <v>998294</v>
      </c>
      <c r="AR42" s="84">
        <f t="shared" si="129"/>
        <v>991882</v>
      </c>
      <c r="AS42" s="84">
        <f t="shared" si="129"/>
        <v>1052952</v>
      </c>
      <c r="AT42" s="84">
        <f t="shared" si="129"/>
        <v>1044897</v>
      </c>
      <c r="AU42" s="84">
        <f t="shared" si="129"/>
        <v>1412539</v>
      </c>
      <c r="AV42" s="84">
        <f t="shared" si="129"/>
        <v>1338210</v>
      </c>
      <c r="AX42" s="84">
        <f t="shared" ref="AX42:BA42" si="130">+AX38+AX20+AX29+AX31-AX36</f>
        <v>818768</v>
      </c>
      <c r="AY42" s="84">
        <f t="shared" si="130"/>
        <v>890141</v>
      </c>
      <c r="AZ42" s="84">
        <f t="shared" si="130"/>
        <v>856871</v>
      </c>
      <c r="BA42" s="84">
        <f t="shared" si="130"/>
        <v>789035</v>
      </c>
      <c r="BC42" s="84">
        <f t="shared" ref="BC42:BF42" si="131">+BC38+BC20+BC29+BC31-BC36</f>
        <v>951549</v>
      </c>
      <c r="BD42" s="84">
        <f t="shared" si="131"/>
        <v>1302520</v>
      </c>
      <c r="BE42" s="84">
        <f t="shared" si="131"/>
        <v>1158829</v>
      </c>
      <c r="BF42" s="84">
        <f t="shared" si="131"/>
        <v>923207</v>
      </c>
      <c r="BG42" s="85"/>
      <c r="BH42" s="84">
        <f t="shared" ref="BH42:BJ42" si="132">+BH38+BH20+BH29+BH31-BH36</f>
        <v>1215809</v>
      </c>
      <c r="BI42" s="84">
        <f t="shared" si="132"/>
        <v>1391136</v>
      </c>
      <c r="BJ42" s="84">
        <f t="shared" si="132"/>
        <v>1269176</v>
      </c>
      <c r="BK42" s="84">
        <f t="shared" ref="BK42:BM42" si="133">+BK38+BK20+BK29+BK31-BK36</f>
        <v>1344056</v>
      </c>
      <c r="BL42" s="60"/>
      <c r="BM42" s="84">
        <f t="shared" si="133"/>
        <v>1557840</v>
      </c>
      <c r="BN42" s="84">
        <f t="shared" ref="BN42" si="134">+BN38+BN20+BN29+BN31-BN36</f>
        <v>1246072</v>
      </c>
      <c r="BO42" s="84">
        <f t="shared" ref="BO42:BQ42" si="135">+BO38+BO20+BO29+BO31-BO36</f>
        <v>1553262</v>
      </c>
      <c r="BP42" s="84">
        <f t="shared" ref="BP42" si="136">+BP38+BP20+BP29+BP31-BP36</f>
        <v>1138182</v>
      </c>
      <c r="BQ42" s="84">
        <f t="shared" si="135"/>
        <v>1282752</v>
      </c>
      <c r="BR42" s="84">
        <f t="shared" ref="BR42" si="137">+BR38+BR20+BR29+BR31-BR36</f>
        <v>850689</v>
      </c>
      <c r="BS42" s="84">
        <f t="shared" ref="BS42:BT42" si="138">+BS38+BS20+BS29+BS31-BS36</f>
        <v>1109371</v>
      </c>
      <c r="BT42" s="84">
        <f t="shared" si="138"/>
        <v>744686</v>
      </c>
      <c r="BU42" s="85"/>
      <c r="BV42" s="84">
        <f t="shared" ref="BV42:BZ42" si="139">+BV38+BV20+BV29+BV31-BV36</f>
        <v>2369870</v>
      </c>
      <c r="BW42" s="84">
        <f t="shared" ref="BW42" si="140">+BW38+BW20+BW29+BW31-BW36</f>
        <v>549498</v>
      </c>
      <c r="BX42" s="84">
        <f t="shared" si="139"/>
        <v>993360</v>
      </c>
      <c r="BY42" s="84">
        <f t="shared" ref="BY42" si="141">+BY38+BY20+BY29+BY31-BY36</f>
        <v>765091</v>
      </c>
      <c r="BZ42" s="84">
        <f t="shared" si="139"/>
        <v>1135733</v>
      </c>
      <c r="CA42" s="84">
        <f t="shared" ref="CA42" si="142">+CA38+CA20+CA29+CA31-CA36</f>
        <v>772787</v>
      </c>
      <c r="CB42" s="84">
        <f t="shared" ref="CB42" si="143">+CB38+CB20+CB29+CB31-CB36</f>
        <v>613048</v>
      </c>
      <c r="CC42" s="85"/>
      <c r="CD42" s="84">
        <f t="shared" ref="CD42:CE42" si="144">+CD38+CD20+CD29+CD31-CD36</f>
        <v>808777</v>
      </c>
      <c r="CE42" s="84">
        <f t="shared" si="144"/>
        <v>650810</v>
      </c>
      <c r="CF42" s="84">
        <f t="shared" ref="CF42" si="145">+CF38+CF20+CF29+CF31-CF36</f>
        <v>850456</v>
      </c>
      <c r="CG42" s="60">
        <f>+CD42+CE42+CF42-'ER GA Cons Acum.'!C43</f>
        <v>0</v>
      </c>
      <c r="CH42" s="60">
        <f>+BW42+BY42+CA42-'ER GA Cons Acum.'!E43</f>
        <v>0</v>
      </c>
    </row>
    <row r="43" spans="2:86" s="56" customFormat="1" ht="16.5" hidden="1" customHeight="1">
      <c r="B43" s="86" t="s">
        <v>35</v>
      </c>
      <c r="C43" s="87">
        <v>377.6</v>
      </c>
      <c r="D43" s="87">
        <v>399.12</v>
      </c>
      <c r="E43" s="87">
        <v>233.72</v>
      </c>
      <c r="F43" s="87">
        <v>105.58</v>
      </c>
      <c r="G43" s="58"/>
      <c r="H43" s="87">
        <v>260.04000000000002</v>
      </c>
      <c r="I43" s="87">
        <v>304.83</v>
      </c>
      <c r="J43" s="87">
        <v>232</v>
      </c>
      <c r="K43" s="87">
        <v>174.11</v>
      </c>
      <c r="L43" s="87" t="e">
        <f>+#REF!-J43-I43-H43</f>
        <v>#REF!</v>
      </c>
      <c r="N43" s="87">
        <v>260.04000000000002</v>
      </c>
      <c r="O43" s="87">
        <v>260.04000000000002</v>
      </c>
      <c r="P43" s="87">
        <v>260.04000000000002</v>
      </c>
      <c r="Q43" s="87">
        <v>260.04000000000002</v>
      </c>
      <c r="R43" s="87">
        <v>260.04000000000002</v>
      </c>
      <c r="S43" s="87">
        <v>260.04000000000002</v>
      </c>
      <c r="T43" s="87"/>
      <c r="U43" s="87"/>
      <c r="W43" s="87">
        <v>260.04000000000002</v>
      </c>
      <c r="X43" s="87">
        <v>260.04000000000002</v>
      </c>
      <c r="Y43" s="87">
        <v>260.04000000000002</v>
      </c>
      <c r="Z43" s="87">
        <v>260.04000000000002</v>
      </c>
      <c r="AA43" s="87">
        <v>260.04000000000002</v>
      </c>
      <c r="AB43" s="87">
        <v>260.04000000000002</v>
      </c>
      <c r="AC43" s="87">
        <v>260.04000000000002</v>
      </c>
      <c r="AD43" s="87">
        <v>260.04000000000002</v>
      </c>
      <c r="AE43" s="88"/>
      <c r="AF43" s="87">
        <v>260.04000000000002</v>
      </c>
      <c r="AG43" s="87">
        <v>260.04000000000002</v>
      </c>
      <c r="AH43" s="87">
        <v>260.04000000000002</v>
      </c>
      <c r="AI43" s="87">
        <v>260.04000000000002</v>
      </c>
      <c r="AJ43" s="87">
        <v>260.04000000000002</v>
      </c>
      <c r="AK43" s="87">
        <v>260.04000000000002</v>
      </c>
      <c r="AN43" s="87">
        <v>260.04000000000002</v>
      </c>
      <c r="AO43" s="87">
        <v>260.04000000000002</v>
      </c>
      <c r="AQ43" s="87">
        <v>260.04000000000002</v>
      </c>
      <c r="AR43" s="87">
        <v>260.04000000000002</v>
      </c>
      <c r="AS43" s="87">
        <v>260.04000000000002</v>
      </c>
      <c r="AT43" s="87">
        <v>260.04000000000002</v>
      </c>
      <c r="AU43" s="87">
        <v>260.04000000000002</v>
      </c>
      <c r="AV43" s="87">
        <v>260.04000000000002</v>
      </c>
      <c r="AX43" s="87">
        <v>260.04000000000002</v>
      </c>
      <c r="AY43" s="87">
        <v>260.04000000000002</v>
      </c>
      <c r="AZ43" s="87">
        <v>260.04000000000002</v>
      </c>
      <c r="BA43" s="87">
        <v>260.04000000000002</v>
      </c>
      <c r="BC43" s="87">
        <v>260.04000000000002</v>
      </c>
      <c r="BD43" s="87">
        <v>260.04000000000002</v>
      </c>
      <c r="BE43" s="87">
        <v>260.04000000000002</v>
      </c>
      <c r="BF43" s="87">
        <v>260.04000000000002</v>
      </c>
      <c r="BG43" s="88"/>
      <c r="BH43" s="87">
        <v>260.04000000000002</v>
      </c>
      <c r="BI43" s="87">
        <v>260.04000000000002</v>
      </c>
      <c r="BJ43" s="87">
        <v>260.04000000000002</v>
      </c>
      <c r="BK43" s="87">
        <v>260.04000000000002</v>
      </c>
      <c r="BL43" s="60"/>
      <c r="BM43" s="87">
        <v>260.04000000000002</v>
      </c>
      <c r="BN43" s="87">
        <v>260.04000000000002</v>
      </c>
      <c r="BO43" s="87">
        <v>260.04000000000002</v>
      </c>
      <c r="BP43" s="87">
        <v>260.04000000000002</v>
      </c>
      <c r="BQ43" s="87">
        <v>260.04000000000002</v>
      </c>
      <c r="BR43" s="87">
        <v>260.04000000000002</v>
      </c>
      <c r="BS43" s="87">
        <v>260.04000000000002</v>
      </c>
      <c r="BT43" s="87">
        <v>260.04000000000002</v>
      </c>
      <c r="BU43" s="88"/>
      <c r="BV43" s="87">
        <v>260.04000000000002</v>
      </c>
      <c r="BW43" s="87">
        <v>260.04000000000002</v>
      </c>
      <c r="BX43" s="87">
        <v>260.04000000000002</v>
      </c>
      <c r="BY43" s="87">
        <v>260.04000000000002</v>
      </c>
      <c r="BZ43" s="87"/>
      <c r="CA43" s="87"/>
      <c r="CB43" s="87"/>
      <c r="CC43" s="88"/>
      <c r="CD43" s="87">
        <v>260.04000000000002</v>
      </c>
      <c r="CE43" s="87">
        <v>260.04000000000002</v>
      </c>
      <c r="CF43" s="87">
        <v>260.04000000000002</v>
      </c>
      <c r="CG43" s="60">
        <f>+BM43+BO43+BQ43-'ER GA Cons Acum.'!C45</f>
        <v>780.12000000000012</v>
      </c>
      <c r="CH43" s="60">
        <f>+BH43+BI43-'ER GA Cons Acum.'!E42</f>
        <v>520.08000000000004</v>
      </c>
    </row>
    <row r="44" spans="2:86" s="56" customFormat="1" ht="16.5" customHeight="1">
      <c r="B44" s="89" t="s">
        <v>146</v>
      </c>
      <c r="C44" s="90">
        <f>+C42/C$10</f>
        <v>0.35034096237092605</v>
      </c>
      <c r="D44" s="90">
        <f>+D42/D$10</f>
        <v>0.29085126764117125</v>
      </c>
      <c r="E44" s="90">
        <f>+E42/E$10</f>
        <v>0.20523379859169552</v>
      </c>
      <c r="F44" s="90">
        <f>+F42/F$10</f>
        <v>0.10004330781784813</v>
      </c>
      <c r="G44" s="91"/>
      <c r="H44" s="90">
        <f>+H42/H$10</f>
        <v>0.17419463582956771</v>
      </c>
      <c r="I44" s="90">
        <f t="shared" ref="I44:L44" si="146">+I42/I$10</f>
        <v>0.26872163687409006</v>
      </c>
      <c r="J44" s="90">
        <f t="shared" si="146"/>
        <v>0.21167255169124805</v>
      </c>
      <c r="K44" s="90">
        <f t="shared" si="146"/>
        <v>0.13464090788810582</v>
      </c>
      <c r="L44" s="90">
        <f t="shared" si="146"/>
        <v>0.12916853013007726</v>
      </c>
      <c r="N44" s="90">
        <f t="shared" ref="N44:U44" si="147">+N42/N$10</f>
        <v>0.18837375401644868</v>
      </c>
      <c r="O44" s="90">
        <f t="shared" si="147"/>
        <v>0.18770699730991622</v>
      </c>
      <c r="P44" s="90">
        <f t="shared" si="147"/>
        <v>0.26183517687387353</v>
      </c>
      <c r="Q44" s="90">
        <f t="shared" si="147"/>
        <v>0.26006048969707285</v>
      </c>
      <c r="R44" s="90">
        <f t="shared" si="147"/>
        <v>0.26212058348092859</v>
      </c>
      <c r="S44" s="90">
        <f t="shared" si="147"/>
        <v>0.2758223956405807</v>
      </c>
      <c r="T44" s="90">
        <f t="shared" si="147"/>
        <v>0.23649112727996327</v>
      </c>
      <c r="U44" s="90">
        <f t="shared" si="147"/>
        <v>0.23147133696387717</v>
      </c>
      <c r="W44" s="90">
        <f t="shared" ref="W44:AD44" si="148">+W42/W$10</f>
        <v>0.23351167671573345</v>
      </c>
      <c r="X44" s="90">
        <f t="shared" si="148"/>
        <v>0.23351137884793075</v>
      </c>
      <c r="Y44" s="90">
        <f t="shared" si="148"/>
        <v>0.24558943523285107</v>
      </c>
      <c r="Z44" s="90">
        <f t="shared" si="148"/>
        <v>0.24558915473840667</v>
      </c>
      <c r="AA44" s="90">
        <f t="shared" si="148"/>
        <v>0.29349524672888277</v>
      </c>
      <c r="AB44" s="90">
        <f t="shared" si="148"/>
        <v>0.29349531891095049</v>
      </c>
      <c r="AC44" s="90">
        <f t="shared" si="148"/>
        <v>0.27117554374096459</v>
      </c>
      <c r="AD44" s="90">
        <f t="shared" si="148"/>
        <v>0.27117595031366354</v>
      </c>
      <c r="AE44" s="80"/>
      <c r="AF44" s="90">
        <f t="shared" ref="AF44:AK44" si="149">+AF42/AF$10</f>
        <v>0.28430748281401313</v>
      </c>
      <c r="AG44" s="90">
        <f t="shared" si="149"/>
        <v>0.28374625750313187</v>
      </c>
      <c r="AH44" s="90">
        <f t="shared" si="149"/>
        <v>0.24639117969870974</v>
      </c>
      <c r="AI44" s="90">
        <f t="shared" si="149"/>
        <v>0.24540984595862148</v>
      </c>
      <c r="AJ44" s="90">
        <f t="shared" si="149"/>
        <v>0.28104122815359728</v>
      </c>
      <c r="AK44" s="90">
        <f t="shared" si="149"/>
        <v>0.28028555847394715</v>
      </c>
      <c r="AN44" s="90">
        <f t="shared" ref="AN44:AO44" si="150">+AN42/AN$10</f>
        <v>0.29643487459696405</v>
      </c>
      <c r="AO44" s="90">
        <f t="shared" si="150"/>
        <v>0.29488849285875673</v>
      </c>
      <c r="AQ44" s="90">
        <f t="shared" ref="AQ44:AV44" si="151">+AQ42/AQ$10</f>
        <v>0.26826370026087543</v>
      </c>
      <c r="AR44" s="90">
        <f t="shared" si="151"/>
        <v>0.26700070849744706</v>
      </c>
      <c r="AS44" s="90">
        <f t="shared" si="151"/>
        <v>0.27274549897605688</v>
      </c>
      <c r="AT44" s="90">
        <f t="shared" si="151"/>
        <v>0.26688262877462238</v>
      </c>
      <c r="AU44" s="90">
        <f t="shared" si="151"/>
        <v>0.2702034379640556</v>
      </c>
      <c r="AV44" s="90">
        <f t="shared" si="151"/>
        <v>0.33957791354251571</v>
      </c>
      <c r="AX44" s="90">
        <f t="shared" ref="AX44:BA44" si="152">+AX42/AX$10</f>
        <v>0.22644285523850718</v>
      </c>
      <c r="AY44" s="90">
        <f t="shared" si="152"/>
        <v>0.26604648799543307</v>
      </c>
      <c r="AZ44" s="90">
        <f t="shared" si="152"/>
        <v>0.24813954202240138</v>
      </c>
      <c r="BA44" s="90">
        <f t="shared" si="152"/>
        <v>0.22066285972533306</v>
      </c>
      <c r="BC44" s="90">
        <f t="shared" ref="BC44:BF44" si="153">+BC42/BC$10</f>
        <v>0.25490099956764156</v>
      </c>
      <c r="BD44" s="90">
        <f t="shared" si="153"/>
        <v>0.32347693750397355</v>
      </c>
      <c r="BE44" s="90">
        <f t="shared" si="153"/>
        <v>0.28158253784855231</v>
      </c>
      <c r="BF44" s="90">
        <f t="shared" si="153"/>
        <v>0.20820777137733176</v>
      </c>
      <c r="BG44" s="80"/>
      <c r="BH44" s="90">
        <f t="shared" ref="BH44:BJ44" si="154">+BH42/BH$10</f>
        <v>0.26352106884984244</v>
      </c>
      <c r="BI44" s="90">
        <f t="shared" si="154"/>
        <v>0.23586215806509533</v>
      </c>
      <c r="BJ44" s="90">
        <f t="shared" si="154"/>
        <v>0.2494397718915447</v>
      </c>
      <c r="BK44" s="90">
        <f t="shared" ref="BK44:BM44" si="155">+BK42/BK$10</f>
        <v>0.2341640934080676</v>
      </c>
      <c r="BL44" s="60"/>
      <c r="BM44" s="90">
        <f t="shared" si="155"/>
        <v>0.27116906934721091</v>
      </c>
      <c r="BN44" s="90">
        <f t="shared" ref="BN44" si="156">+BN42/BN$10</f>
        <v>0.33098742506396905</v>
      </c>
      <c r="BO44" s="90">
        <f t="shared" ref="BO44:BQ44" si="157">+BO42/BO$10</f>
        <v>0.24298592311645323</v>
      </c>
      <c r="BP44" s="90">
        <f t="shared" ref="BP44" si="158">+BP42/BP$10</f>
        <v>0.2574671052408346</v>
      </c>
      <c r="BQ44" s="90">
        <f t="shared" si="157"/>
        <v>0.26479402040195782</v>
      </c>
      <c r="BR44" s="90">
        <f t="shared" ref="BR44" si="159">+BR42/BR$10</f>
        <v>0.27671441057637164</v>
      </c>
      <c r="BS44" s="90">
        <f t="shared" ref="BS44:BT44" si="160">+BS42/BS$10</f>
        <v>0.19769724977296477</v>
      </c>
      <c r="BT44" s="90">
        <f t="shared" si="160"/>
        <v>0.18931242985177832</v>
      </c>
      <c r="BU44" s="80"/>
      <c r="BV44" s="90">
        <f t="shared" ref="BV44:BZ44" si="161">+BV42/BV$10</f>
        <v>0.52218435749512271</v>
      </c>
      <c r="BW44" s="90">
        <f t="shared" ref="BW44" si="162">+BW42/BW$10</f>
        <v>0.20216953163458801</v>
      </c>
      <c r="BX44" s="90">
        <f t="shared" si="161"/>
        <v>0.26959573666595382</v>
      </c>
      <c r="BY44" s="90">
        <f t="shared" ref="BY44" si="163">+BY42/BY$10</f>
        <v>0.22260696156107768</v>
      </c>
      <c r="BZ44" s="90">
        <f t="shared" si="161"/>
        <v>0.34309925905159694</v>
      </c>
      <c r="CA44" s="90">
        <f t="shared" ref="CA44" si="164">+CA42/CA$10</f>
        <v>0.26233198317896855</v>
      </c>
      <c r="CB44" s="90">
        <f t="shared" ref="CB44" si="165">+CB42/CB$10</f>
        <v>0.16920355525967953</v>
      </c>
      <c r="CC44" s="80"/>
      <c r="CD44" s="90">
        <f t="shared" ref="CD44:CE44" si="166">+CD42/CD$10</f>
        <v>0.27858803380766062</v>
      </c>
      <c r="CE44" s="90">
        <f t="shared" si="166"/>
        <v>0.24206800563279279</v>
      </c>
      <c r="CF44" s="90">
        <f t="shared" ref="CF44" si="167">+CF42/CF$10</f>
        <v>0.25439683592334977</v>
      </c>
      <c r="CG44" s="60"/>
      <c r="CH44" s="60"/>
    </row>
    <row r="45" spans="2:86" ht="4.5" customHeight="1">
      <c r="C45" s="55"/>
      <c r="D45" s="66"/>
      <c r="E45" s="66"/>
      <c r="F45" s="66"/>
      <c r="G45" s="55"/>
      <c r="H45" s="66"/>
      <c r="I45" s="66"/>
      <c r="J45" s="66"/>
      <c r="K45" s="66"/>
      <c r="L45" s="66"/>
      <c r="N45" s="66"/>
      <c r="O45" s="66"/>
      <c r="P45" s="66"/>
      <c r="Q45" s="66"/>
      <c r="R45" s="66"/>
      <c r="S45" s="66"/>
      <c r="T45" s="66"/>
      <c r="U45" s="66"/>
      <c r="W45" s="66"/>
      <c r="X45" s="66"/>
      <c r="Y45" s="66"/>
      <c r="Z45" s="66"/>
      <c r="AA45" s="66"/>
      <c r="AB45" s="66"/>
      <c r="AC45" s="66"/>
      <c r="AD45" s="66"/>
      <c r="AE45" s="66"/>
      <c r="AF45" s="66"/>
      <c r="AG45" s="66"/>
      <c r="AH45" s="66"/>
      <c r="AI45" s="66"/>
      <c r="AJ45" s="66"/>
      <c r="AK45" s="66"/>
      <c r="AN45" s="66"/>
      <c r="AO45" s="66"/>
      <c r="AQ45" s="66"/>
      <c r="AR45" s="66"/>
      <c r="AS45" s="66"/>
      <c r="AT45" s="66"/>
      <c r="AU45" s="66"/>
      <c r="AV45" s="66"/>
      <c r="AX45" s="66"/>
      <c r="AY45" s="66"/>
      <c r="AZ45" s="66"/>
      <c r="BA45" s="66"/>
      <c r="BC45" s="66"/>
      <c r="BD45" s="66"/>
      <c r="BE45" s="66"/>
      <c r="BF45" s="66"/>
      <c r="BG45" s="66"/>
      <c r="BH45" s="66"/>
      <c r="BI45" s="66"/>
      <c r="BJ45" s="66"/>
      <c r="BK45" s="66"/>
      <c r="BL45" s="60"/>
      <c r="BM45" s="66"/>
      <c r="BN45" s="66"/>
      <c r="BO45" s="66"/>
      <c r="BP45" s="66"/>
      <c r="BQ45" s="66"/>
      <c r="BR45" s="66"/>
      <c r="BS45" s="66"/>
      <c r="BT45" s="66"/>
      <c r="BU45" s="66"/>
      <c r="BV45" s="66"/>
      <c r="BW45" s="66"/>
      <c r="BX45" s="66"/>
      <c r="BY45" s="66"/>
      <c r="BZ45" s="66"/>
      <c r="CA45" s="66"/>
      <c r="CB45" s="66"/>
      <c r="CC45" s="66"/>
      <c r="CD45" s="66"/>
      <c r="CE45" s="66"/>
      <c r="CF45" s="66"/>
      <c r="CG45" s="60"/>
      <c r="CH45" s="60"/>
    </row>
    <row r="46" spans="2:86" ht="16.5" customHeight="1">
      <c r="B46" s="56" t="s">
        <v>147</v>
      </c>
      <c r="C46" s="67">
        <f>SUM(C47:C49)</f>
        <v>-274858</v>
      </c>
      <c r="D46" s="59">
        <f>SUM(D47:D49)</f>
        <v>110083.87971088001</v>
      </c>
      <c r="E46" s="59">
        <f>SUM(E47:E49)</f>
        <v>-91925</v>
      </c>
      <c r="F46" s="59">
        <f>SUM(F47:F49)</f>
        <v>-104873</v>
      </c>
      <c r="G46" s="55"/>
      <c r="H46" s="59">
        <f>SUM(H47:H49)</f>
        <v>-157390</v>
      </c>
      <c r="I46" s="59">
        <f t="shared" ref="I46:L46" si="168">SUM(I47:I49)</f>
        <v>-150581</v>
      </c>
      <c r="J46" s="59">
        <f t="shared" si="168"/>
        <v>-194136</v>
      </c>
      <c r="K46" s="59">
        <f t="shared" si="168"/>
        <v>-211928</v>
      </c>
      <c r="L46" s="59">
        <f t="shared" si="168"/>
        <v>-213297</v>
      </c>
      <c r="N46" s="59">
        <f t="shared" ref="N46:U46" si="169">SUM(N47:N49)</f>
        <v>-203291</v>
      </c>
      <c r="O46" s="59">
        <f t="shared" si="169"/>
        <v>-203290</v>
      </c>
      <c r="P46" s="59">
        <f t="shared" si="169"/>
        <v>-268582</v>
      </c>
      <c r="Q46" s="59">
        <f t="shared" si="169"/>
        <v>-268582</v>
      </c>
      <c r="R46" s="59">
        <f t="shared" si="169"/>
        <v>-243502</v>
      </c>
      <c r="S46" s="59">
        <f t="shared" si="169"/>
        <v>-243502</v>
      </c>
      <c r="T46" s="59">
        <f t="shared" si="169"/>
        <v>-256227</v>
      </c>
      <c r="U46" s="59">
        <f t="shared" si="169"/>
        <v>-256228</v>
      </c>
      <c r="W46" s="59">
        <f t="shared" ref="W46:AD46" si="170">SUM(W47:W49)</f>
        <v>-271918</v>
      </c>
      <c r="X46" s="59">
        <f t="shared" si="170"/>
        <v>-271918</v>
      </c>
      <c r="Y46" s="59">
        <f t="shared" si="170"/>
        <v>-253126</v>
      </c>
      <c r="Z46" s="59">
        <f t="shared" si="170"/>
        <v>-253126</v>
      </c>
      <c r="AA46" s="59">
        <f t="shared" si="170"/>
        <v>-277134</v>
      </c>
      <c r="AB46" s="59">
        <f t="shared" si="170"/>
        <v>-277133</v>
      </c>
      <c r="AC46" s="59">
        <f t="shared" si="170"/>
        <v>-276908</v>
      </c>
      <c r="AD46" s="59">
        <f t="shared" si="170"/>
        <v>-276908</v>
      </c>
      <c r="AE46" s="59"/>
      <c r="AF46" s="59">
        <f t="shared" ref="AF46:AK46" si="171">SUM(AF47:AF49)</f>
        <v>-268932</v>
      </c>
      <c r="AG46" s="59">
        <f t="shared" si="171"/>
        <v>-266338</v>
      </c>
      <c r="AH46" s="59">
        <f t="shared" si="171"/>
        <v>-242510</v>
      </c>
      <c r="AI46" s="59">
        <f t="shared" si="171"/>
        <v>-237807</v>
      </c>
      <c r="AJ46" s="59">
        <f t="shared" si="171"/>
        <v>-286113</v>
      </c>
      <c r="AK46" s="59">
        <f t="shared" si="171"/>
        <v>-282292</v>
      </c>
      <c r="AN46" s="59">
        <f t="shared" ref="AN46:AO46" si="172">SUM(AN47:AN49)</f>
        <v>-284469</v>
      </c>
      <c r="AO46" s="59">
        <f t="shared" si="172"/>
        <v>-276249</v>
      </c>
      <c r="AQ46" s="59">
        <f t="shared" ref="AQ46:AV46" si="173">SUM(AQ47:AQ49)</f>
        <v>-300140</v>
      </c>
      <c r="AR46" s="59">
        <f t="shared" si="173"/>
        <v>-293728</v>
      </c>
      <c r="AS46" s="59">
        <f t="shared" si="173"/>
        <v>-309171</v>
      </c>
      <c r="AT46" s="59">
        <f t="shared" si="173"/>
        <v>-301117</v>
      </c>
      <c r="AU46" s="59">
        <f t="shared" si="173"/>
        <v>-339835</v>
      </c>
      <c r="AV46" s="59">
        <f t="shared" si="173"/>
        <v>-278361</v>
      </c>
      <c r="AX46" s="59">
        <f t="shared" ref="AX46:BA46" si="174">SUM(AX47:AX49)</f>
        <v>-282338</v>
      </c>
      <c r="AY46" s="59">
        <f t="shared" si="174"/>
        <v>-352017</v>
      </c>
      <c r="AZ46" s="59">
        <f t="shared" si="174"/>
        <v>-280422</v>
      </c>
      <c r="BA46" s="59">
        <f t="shared" si="174"/>
        <v>-317308</v>
      </c>
      <c r="BC46" s="59">
        <f t="shared" ref="BC46:BF46" si="175">SUM(BC47:BC49)</f>
        <v>-242377</v>
      </c>
      <c r="BD46" s="59">
        <f t="shared" si="175"/>
        <v>-284409</v>
      </c>
      <c r="BE46" s="59">
        <f t="shared" si="175"/>
        <v>-255519</v>
      </c>
      <c r="BF46" s="59">
        <f t="shared" si="175"/>
        <v>-178529</v>
      </c>
      <c r="BG46" s="59"/>
      <c r="BH46" s="59">
        <f t="shared" ref="BH46:BJ46" si="176">SUM(BH47:BH49)</f>
        <v>-296131</v>
      </c>
      <c r="BI46" s="59">
        <f t="shared" si="176"/>
        <v>-342836</v>
      </c>
      <c r="BJ46" s="59">
        <f t="shared" si="176"/>
        <v>-326635</v>
      </c>
      <c r="BK46" s="59">
        <f t="shared" ref="BK46:BM46" si="177">SUM(BK47:BK49)</f>
        <v>-373386</v>
      </c>
      <c r="BL46" s="60"/>
      <c r="BM46" s="59">
        <f t="shared" si="177"/>
        <v>-468201</v>
      </c>
      <c r="BN46" s="59">
        <f t="shared" ref="BN46" si="178">SUM(BN47:BN49)</f>
        <v>-424584</v>
      </c>
      <c r="BO46" s="59">
        <f t="shared" ref="BO46:BQ46" si="179">SUM(BO47:BO49)</f>
        <v>-563578</v>
      </c>
      <c r="BP46" s="59">
        <f t="shared" ref="BP46" si="180">SUM(BP47:BP49)</f>
        <v>-515971</v>
      </c>
      <c r="BQ46" s="59">
        <f t="shared" si="179"/>
        <v>-467293</v>
      </c>
      <c r="BR46" s="59">
        <f t="shared" ref="BR46" si="181">SUM(BR47:BR49)</f>
        <v>-434570</v>
      </c>
      <c r="BS46" s="59">
        <f t="shared" ref="BS46:BT46" si="182">SUM(BS47:BS49)</f>
        <v>-416472</v>
      </c>
      <c r="BT46" s="59">
        <f t="shared" si="182"/>
        <v>-402165</v>
      </c>
      <c r="BU46" s="59"/>
      <c r="BV46" s="59">
        <f t="shared" ref="BV46:BZ46" si="183">SUM(BV47:BV49)</f>
        <v>-323009</v>
      </c>
      <c r="BW46" s="59">
        <f t="shared" ref="BW46" si="184">SUM(BW47:BW49)</f>
        <v>-323009</v>
      </c>
      <c r="BX46" s="59">
        <f t="shared" si="183"/>
        <v>-367872</v>
      </c>
      <c r="BY46" s="59">
        <f t="shared" ref="BY46" si="185">SUM(BY47:BY49)</f>
        <v>-367872</v>
      </c>
      <c r="BZ46" s="59">
        <f t="shared" si="183"/>
        <v>-286726</v>
      </c>
      <c r="CA46" s="59">
        <f t="shared" ref="CA46" si="186">SUM(CA47:CA49)</f>
        <v>-286697</v>
      </c>
      <c r="CB46" s="59">
        <f t="shared" ref="CB46" si="187">SUM(CB47:CB49)</f>
        <v>-339559</v>
      </c>
      <c r="CC46" s="59"/>
      <c r="CD46" s="59">
        <f t="shared" ref="CD46:CE46" si="188">SUM(CD47:CD49)</f>
        <v>-219325</v>
      </c>
      <c r="CE46" s="59">
        <f t="shared" si="188"/>
        <v>-141512</v>
      </c>
      <c r="CF46" s="59">
        <f t="shared" ref="CF46" si="189">SUM(CF47:CF49)</f>
        <v>-264982</v>
      </c>
      <c r="CG46" s="60">
        <f>+CD46+CE46+CF46-'ER GA Cons Acum.'!C46</f>
        <v>0</v>
      </c>
      <c r="CH46" s="60">
        <f>+BW46+BY46+CA46-'ER GA Cons Acum.'!E46</f>
        <v>0</v>
      </c>
    </row>
    <row r="47" spans="2:86" ht="16.5" customHeight="1">
      <c r="B47" s="92" t="s">
        <v>148</v>
      </c>
      <c r="C47" s="68">
        <v>-271498</v>
      </c>
      <c r="D47" s="22">
        <f>91817</f>
        <v>91817</v>
      </c>
      <c r="E47" s="22">
        <v>-86348</v>
      </c>
      <c r="F47" s="22">
        <v>-137095</v>
      </c>
      <c r="G47" s="55"/>
      <c r="H47" s="22">
        <f>-161839</f>
        <v>-161839</v>
      </c>
      <c r="I47" s="22">
        <f>-143935+2</f>
        <v>-143933</v>
      </c>
      <c r="J47" s="22">
        <v>-172868</v>
      </c>
      <c r="K47" s="22">
        <f>-201914</f>
        <v>-201914</v>
      </c>
      <c r="L47" s="22">
        <v>-202390</v>
      </c>
      <c r="N47" s="22">
        <v>-213835</v>
      </c>
      <c r="O47" s="22">
        <v>-213834</v>
      </c>
      <c r="P47" s="22">
        <f>-264231</f>
        <v>-264231</v>
      </c>
      <c r="Q47" s="22">
        <f>-264232</f>
        <v>-264232</v>
      </c>
      <c r="R47" s="22">
        <v>-256109</v>
      </c>
      <c r="S47" s="22">
        <v>-256109</v>
      </c>
      <c r="T47" s="22">
        <f>-277702+1</f>
        <v>-277701</v>
      </c>
      <c r="U47" s="22">
        <v>-277702</v>
      </c>
      <c r="W47" s="22">
        <v>-262567</v>
      </c>
      <c r="X47" s="22">
        <v>-262567</v>
      </c>
      <c r="Y47" s="22">
        <v>-277709</v>
      </c>
      <c r="Z47" s="22">
        <v>-277709</v>
      </c>
      <c r="AA47" s="22">
        <f>-274299</f>
        <v>-274299</v>
      </c>
      <c r="AB47" s="22">
        <f>-274299</f>
        <v>-274299</v>
      </c>
      <c r="AC47" s="22">
        <v>-287705</v>
      </c>
      <c r="AD47" s="22">
        <v>-287705</v>
      </c>
      <c r="AE47" s="22"/>
      <c r="AF47" s="22">
        <v>-270568</v>
      </c>
      <c r="AG47" s="22">
        <v>-270568</v>
      </c>
      <c r="AH47" s="22">
        <v>-268875</v>
      </c>
      <c r="AI47" s="22">
        <v>-268875</v>
      </c>
      <c r="AJ47" s="22">
        <f>-276287+1</f>
        <v>-276286</v>
      </c>
      <c r="AK47" s="22">
        <f>-276287+1</f>
        <v>-276286</v>
      </c>
      <c r="AN47" s="22">
        <v>-291890</v>
      </c>
      <c r="AO47" s="22">
        <v>-291890</v>
      </c>
      <c r="AQ47" s="22">
        <v>-297421</v>
      </c>
      <c r="AR47" s="22">
        <v>-297421</v>
      </c>
      <c r="AS47" s="22">
        <v>-331832</v>
      </c>
      <c r="AT47" s="22">
        <v>-331832</v>
      </c>
      <c r="AU47" s="22">
        <f>-325321+1</f>
        <v>-325320</v>
      </c>
      <c r="AV47" s="22">
        <f>-319735-1</f>
        <v>-319736</v>
      </c>
      <c r="AX47" s="22">
        <v>-299549</v>
      </c>
      <c r="AY47" s="22">
        <v>-344902</v>
      </c>
      <c r="AZ47" s="22">
        <v>-265637</v>
      </c>
      <c r="BA47" s="22">
        <f>-328343-2</f>
        <v>-328345</v>
      </c>
      <c r="BC47" s="22">
        <v>-217003</v>
      </c>
      <c r="BD47" s="22">
        <v>-274276</v>
      </c>
      <c r="BE47" s="22">
        <f>-256699+1</f>
        <v>-256698</v>
      </c>
      <c r="BF47" s="22">
        <f>-240671-1</f>
        <v>-240672</v>
      </c>
      <c r="BG47" s="22"/>
      <c r="BH47" s="22">
        <v>-276686</v>
      </c>
      <c r="BI47" s="22">
        <f>-346002+1</f>
        <v>-346001</v>
      </c>
      <c r="BJ47" s="22">
        <f>-369257-1</f>
        <v>-369258</v>
      </c>
      <c r="BK47" s="22">
        <v>-449396</v>
      </c>
      <c r="BL47" s="60"/>
      <c r="BM47" s="22">
        <v>-439101</v>
      </c>
      <c r="BN47" s="22">
        <v>-395484</v>
      </c>
      <c r="BO47" s="22">
        <f>-492123+1</f>
        <v>-492122</v>
      </c>
      <c r="BP47" s="22">
        <f>-444515-1</f>
        <v>-444516</v>
      </c>
      <c r="BQ47" s="22">
        <f>-454072-1</f>
        <v>-454073</v>
      </c>
      <c r="BR47" s="22">
        <f>-421350+1</f>
        <v>-421349</v>
      </c>
      <c r="BS47" s="22">
        <f>-389698+1</f>
        <v>-389697</v>
      </c>
      <c r="BT47" s="22">
        <v>-375396</v>
      </c>
      <c r="BU47" s="22"/>
      <c r="BV47" s="22">
        <v>-316348</v>
      </c>
      <c r="BW47" s="22">
        <v>-316348</v>
      </c>
      <c r="BX47" s="22">
        <v>-391686</v>
      </c>
      <c r="BY47" s="22">
        <v>-391686</v>
      </c>
      <c r="BZ47" s="22">
        <v>-311390</v>
      </c>
      <c r="CA47" s="22">
        <v>-311390</v>
      </c>
      <c r="CB47" s="22">
        <f>-328021+1</f>
        <v>-328020</v>
      </c>
      <c r="CC47" s="22"/>
      <c r="CD47" s="22">
        <v>-255595</v>
      </c>
      <c r="CE47" s="22">
        <v>-198035</v>
      </c>
      <c r="CF47" s="22">
        <v>-291508</v>
      </c>
      <c r="CG47" s="60">
        <f>+CD47+CE47+CF47-'ER GA Cons Acum.'!C47</f>
        <v>0</v>
      </c>
      <c r="CH47" s="60">
        <f>+BW47+BY47+CA47-'ER GA Cons Acum.'!E47</f>
        <v>0</v>
      </c>
    </row>
    <row r="48" spans="2:86" ht="16.5" customHeight="1">
      <c r="B48" s="92" t="s">
        <v>149</v>
      </c>
      <c r="C48" s="68">
        <v>-3360</v>
      </c>
      <c r="D48" s="22">
        <v>18266.879710880003</v>
      </c>
      <c r="E48" s="22">
        <v>-5577</v>
      </c>
      <c r="F48" s="22">
        <v>32222</v>
      </c>
      <c r="G48" s="55"/>
      <c r="H48" s="22">
        <v>4449</v>
      </c>
      <c r="I48" s="22">
        <v>-6648</v>
      </c>
      <c r="J48" s="22">
        <v>-21268</v>
      </c>
      <c r="K48" s="22">
        <f>-10013-1</f>
        <v>-10014</v>
      </c>
      <c r="L48" s="22">
        <v>-10907</v>
      </c>
      <c r="N48" s="22">
        <v>10544</v>
      </c>
      <c r="O48" s="22">
        <v>10544</v>
      </c>
      <c r="P48" s="22">
        <v>-4351</v>
      </c>
      <c r="Q48" s="22">
        <f>-4350</f>
        <v>-4350</v>
      </c>
      <c r="R48" s="22">
        <v>12607</v>
      </c>
      <c r="S48" s="22">
        <v>12607</v>
      </c>
      <c r="T48" s="22">
        <v>21474</v>
      </c>
      <c r="U48" s="22">
        <v>21474</v>
      </c>
      <c r="W48" s="22">
        <v>-9351</v>
      </c>
      <c r="X48" s="22">
        <v>-9351</v>
      </c>
      <c r="Y48" s="22">
        <v>24583</v>
      </c>
      <c r="Z48" s="22">
        <v>24583</v>
      </c>
      <c r="AA48" s="22">
        <f>-2834-1</f>
        <v>-2835</v>
      </c>
      <c r="AB48" s="22">
        <f>-2834</f>
        <v>-2834</v>
      </c>
      <c r="AC48" s="22">
        <v>10797</v>
      </c>
      <c r="AD48" s="22">
        <v>10797</v>
      </c>
      <c r="AE48" s="22"/>
      <c r="AF48" s="22">
        <v>1636</v>
      </c>
      <c r="AG48" s="22">
        <v>4230</v>
      </c>
      <c r="AH48" s="22">
        <v>26365</v>
      </c>
      <c r="AI48" s="22">
        <v>31068</v>
      </c>
      <c r="AJ48" s="22">
        <v>-9827</v>
      </c>
      <c r="AK48" s="22">
        <v>-6006</v>
      </c>
      <c r="AN48" s="22">
        <v>7421</v>
      </c>
      <c r="AO48" s="22">
        <f>15640+1</f>
        <v>15641</v>
      </c>
      <c r="AQ48" s="22">
        <v>-2719</v>
      </c>
      <c r="AR48" s="22">
        <f>3694-1</f>
        <v>3693</v>
      </c>
      <c r="AS48" s="22">
        <v>22661</v>
      </c>
      <c r="AT48" s="22">
        <f>30715</f>
        <v>30715</v>
      </c>
      <c r="AU48" s="22">
        <v>-14515</v>
      </c>
      <c r="AV48" s="22">
        <v>41375</v>
      </c>
      <c r="AX48" s="22">
        <v>17211</v>
      </c>
      <c r="AY48" s="22">
        <v>-7115</v>
      </c>
      <c r="AZ48" s="22">
        <v>-14785</v>
      </c>
      <c r="BA48" s="22">
        <f>11036+1</f>
        <v>11037</v>
      </c>
      <c r="BC48" s="22">
        <v>-25374</v>
      </c>
      <c r="BD48" s="22">
        <v>-10133</v>
      </c>
      <c r="BE48" s="22">
        <v>1179</v>
      </c>
      <c r="BF48" s="22">
        <v>62143</v>
      </c>
      <c r="BG48" s="22"/>
      <c r="BH48" s="22">
        <v>-19445</v>
      </c>
      <c r="BI48" s="22">
        <f>3166-1</f>
        <v>3165</v>
      </c>
      <c r="BJ48" s="22">
        <f>42623</f>
        <v>42623</v>
      </c>
      <c r="BK48" s="22">
        <v>76010</v>
      </c>
      <c r="BL48" s="60"/>
      <c r="BM48" s="22">
        <v>-29100</v>
      </c>
      <c r="BN48" s="22">
        <v>-29100</v>
      </c>
      <c r="BO48" s="22">
        <v>-71456</v>
      </c>
      <c r="BP48" s="22">
        <f>-71456+1</f>
        <v>-71455</v>
      </c>
      <c r="BQ48" s="22">
        <v>-13220</v>
      </c>
      <c r="BR48" s="22">
        <f>-13220-1</f>
        <v>-13221</v>
      </c>
      <c r="BS48" s="22">
        <v>-26775</v>
      </c>
      <c r="BT48" s="22">
        <f>-26770+1</f>
        <v>-26769</v>
      </c>
      <c r="BU48" s="22"/>
      <c r="BV48" s="22">
        <v>-6661</v>
      </c>
      <c r="BW48" s="22">
        <v>-6661</v>
      </c>
      <c r="BX48" s="22">
        <f>23813+1</f>
        <v>23814</v>
      </c>
      <c r="BY48" s="22">
        <f>23813+1</f>
        <v>23814</v>
      </c>
      <c r="BZ48" s="22">
        <v>24664</v>
      </c>
      <c r="CA48" s="22">
        <v>24693</v>
      </c>
      <c r="CB48" s="22">
        <f>-11538-1</f>
        <v>-11539</v>
      </c>
      <c r="CC48" s="22"/>
      <c r="CD48" s="22">
        <v>36270</v>
      </c>
      <c r="CE48" s="22">
        <v>56523</v>
      </c>
      <c r="CF48" s="22">
        <f>26525+1</f>
        <v>26526</v>
      </c>
      <c r="CG48" s="60">
        <f>+CD48+CE48+CF48-'ER GA Cons Acum.'!C49</f>
        <v>0</v>
      </c>
      <c r="CH48" s="60">
        <f>+BW48+BY48+CA48-'ER GA Cons Acum.'!E49</f>
        <v>0</v>
      </c>
    </row>
    <row r="49" spans="2:86" ht="16.5" customHeight="1">
      <c r="B49" s="92"/>
      <c r="C49" s="68"/>
      <c r="D49" s="68"/>
      <c r="E49" s="68"/>
      <c r="F49" s="68"/>
      <c r="G49" s="55"/>
      <c r="H49" s="68"/>
      <c r="I49" s="22"/>
      <c r="J49" s="93"/>
      <c r="K49" s="22"/>
      <c r="L49" s="22"/>
      <c r="N49" s="68"/>
      <c r="O49" s="68"/>
      <c r="P49" s="68"/>
      <c r="Q49" s="68"/>
      <c r="R49" s="68"/>
      <c r="S49" s="68"/>
      <c r="T49" s="68"/>
      <c r="U49" s="68"/>
      <c r="W49" s="68"/>
      <c r="X49" s="68"/>
      <c r="Y49" s="68"/>
      <c r="Z49" s="68"/>
      <c r="AA49" s="68"/>
      <c r="AB49" s="68"/>
      <c r="AC49" s="68"/>
      <c r="AD49" s="68"/>
      <c r="AE49" s="68"/>
      <c r="AF49" s="68"/>
      <c r="AG49" s="68"/>
      <c r="AH49" s="68"/>
      <c r="AI49" s="68"/>
      <c r="AJ49" s="68"/>
      <c r="AK49" s="68"/>
      <c r="AN49" s="68"/>
      <c r="AO49" s="68"/>
      <c r="AQ49" s="68"/>
      <c r="AR49" s="68"/>
      <c r="AS49" s="68"/>
      <c r="AT49" s="68"/>
      <c r="AU49" s="68"/>
      <c r="AV49" s="68"/>
      <c r="AX49" s="68"/>
      <c r="AY49" s="68"/>
      <c r="AZ49" s="68"/>
      <c r="BA49" s="68"/>
      <c r="BC49" s="68"/>
      <c r="BD49" s="68"/>
      <c r="BE49" s="68"/>
      <c r="BF49" s="68"/>
      <c r="BG49" s="68"/>
      <c r="BH49" s="68"/>
      <c r="BI49" s="68"/>
      <c r="BJ49" s="68"/>
      <c r="BK49" s="68"/>
      <c r="BL49" s="60"/>
      <c r="BM49" s="68"/>
      <c r="BN49" s="68"/>
      <c r="BO49" s="68"/>
      <c r="BP49" s="68"/>
      <c r="BQ49" s="68"/>
      <c r="BR49" s="68"/>
      <c r="BS49" s="68"/>
      <c r="BT49" s="68"/>
      <c r="BU49" s="68"/>
      <c r="BV49" s="68"/>
      <c r="BW49" s="68"/>
      <c r="BX49" s="68"/>
      <c r="BY49" s="68"/>
      <c r="BZ49" s="68"/>
      <c r="CA49" s="68"/>
      <c r="CB49" s="68"/>
      <c r="CC49" s="68"/>
      <c r="CD49" s="68"/>
      <c r="CE49" s="68"/>
      <c r="CF49" s="68"/>
      <c r="CG49" s="60"/>
      <c r="CH49" s="60"/>
    </row>
    <row r="50" spans="2:86" ht="4.5" customHeight="1">
      <c r="C50" s="55"/>
      <c r="D50" s="66"/>
      <c r="E50" s="66"/>
      <c r="F50" s="66"/>
      <c r="G50" s="55"/>
      <c r="H50" s="66"/>
      <c r="I50" s="66"/>
      <c r="J50" s="66"/>
      <c r="K50" s="66"/>
      <c r="L50" s="66"/>
      <c r="N50" s="66"/>
      <c r="O50" s="66"/>
      <c r="P50" s="66"/>
      <c r="Q50" s="66"/>
      <c r="R50" s="66"/>
      <c r="S50" s="66"/>
      <c r="T50" s="66"/>
      <c r="U50" s="66"/>
      <c r="W50" s="66"/>
      <c r="X50" s="66"/>
      <c r="Y50" s="66"/>
      <c r="Z50" s="66"/>
      <c r="AA50" s="66"/>
      <c r="AB50" s="66"/>
      <c r="AC50" s="66"/>
      <c r="AD50" s="66"/>
      <c r="AE50" s="66"/>
      <c r="AF50" s="66"/>
      <c r="AG50" s="66"/>
      <c r="AH50" s="66"/>
      <c r="AI50" s="66"/>
      <c r="AJ50" s="66"/>
      <c r="AK50" s="66"/>
      <c r="AN50" s="66"/>
      <c r="AO50" s="66"/>
      <c r="AQ50" s="66"/>
      <c r="AR50" s="66"/>
      <c r="AS50" s="66"/>
      <c r="AT50" s="66"/>
      <c r="AU50" s="66"/>
      <c r="AV50" s="66"/>
      <c r="AX50" s="66"/>
      <c r="AY50" s="66"/>
      <c r="AZ50" s="66"/>
      <c r="BA50" s="66"/>
      <c r="BC50" s="66"/>
      <c r="BD50" s="66"/>
      <c r="BE50" s="66"/>
      <c r="BF50" s="66"/>
      <c r="BG50" s="66"/>
      <c r="BH50" s="66"/>
      <c r="BI50" s="66"/>
      <c r="BJ50" s="66"/>
      <c r="BK50" s="66"/>
      <c r="BL50" s="60"/>
      <c r="BM50" s="66"/>
      <c r="BN50" s="66"/>
      <c r="BO50" s="66"/>
      <c r="BP50" s="66"/>
      <c r="BQ50" s="66"/>
      <c r="BR50" s="66"/>
      <c r="BS50" s="66"/>
      <c r="BT50" s="66"/>
      <c r="BU50" s="66"/>
      <c r="BV50" s="66"/>
      <c r="BW50" s="66"/>
      <c r="BX50" s="66"/>
      <c r="BY50" s="66"/>
      <c r="BZ50" s="66"/>
      <c r="CA50" s="66"/>
      <c r="CB50" s="66"/>
      <c r="CC50" s="66"/>
      <c r="CD50" s="66"/>
      <c r="CE50" s="66"/>
      <c r="CF50" s="66"/>
      <c r="CG50" s="60"/>
      <c r="CH50" s="60"/>
    </row>
    <row r="51" spans="2:86" ht="16.5" customHeight="1">
      <c r="B51" s="56" t="s">
        <v>150</v>
      </c>
      <c r="C51" s="69">
        <f>+C38+C46</f>
        <v>382606</v>
      </c>
      <c r="D51" s="70">
        <f>+D38+D46</f>
        <v>682565.79061002983</v>
      </c>
      <c r="E51" s="70">
        <f>+E38+E46</f>
        <v>230223</v>
      </c>
      <c r="F51" s="70">
        <f>+F38+F46</f>
        <v>6204</v>
      </c>
      <c r="G51" s="55"/>
      <c r="H51" s="70">
        <f>+H38+H46</f>
        <v>186365</v>
      </c>
      <c r="I51" s="70">
        <f t="shared" ref="I51:L51" si="190">+I38+I46</f>
        <v>411932</v>
      </c>
      <c r="J51" s="70">
        <f t="shared" si="190"/>
        <v>260325</v>
      </c>
      <c r="K51" s="70">
        <f t="shared" si="190"/>
        <v>58354</v>
      </c>
      <c r="L51" s="70">
        <f t="shared" si="190"/>
        <v>51207</v>
      </c>
      <c r="N51" s="70">
        <f t="shared" ref="N51:U51" si="191">+N38+N46</f>
        <v>399847</v>
      </c>
      <c r="O51" s="70">
        <f t="shared" si="191"/>
        <v>396019</v>
      </c>
      <c r="P51" s="70">
        <f t="shared" si="191"/>
        <v>374179</v>
      </c>
      <c r="Q51" s="70">
        <f t="shared" si="191"/>
        <v>381667</v>
      </c>
      <c r="R51" s="70">
        <f t="shared" si="191"/>
        <v>378816</v>
      </c>
      <c r="S51" s="70">
        <f t="shared" si="191"/>
        <v>420642</v>
      </c>
      <c r="T51" s="70">
        <f t="shared" si="191"/>
        <v>311594</v>
      </c>
      <c r="U51" s="70">
        <f t="shared" si="191"/>
        <v>286707</v>
      </c>
      <c r="W51" s="70">
        <f t="shared" ref="W51:AD51" si="192">+W38+W46</f>
        <v>223396</v>
      </c>
      <c r="X51" s="70">
        <f t="shared" si="192"/>
        <v>223395</v>
      </c>
      <c r="Y51" s="70">
        <f t="shared" si="192"/>
        <v>303826</v>
      </c>
      <c r="Z51" s="70">
        <f t="shared" si="192"/>
        <v>303825</v>
      </c>
      <c r="AA51" s="70">
        <f t="shared" si="192"/>
        <v>551467</v>
      </c>
      <c r="AB51" s="70">
        <f t="shared" si="192"/>
        <v>551469</v>
      </c>
      <c r="AC51" s="70">
        <f t="shared" si="192"/>
        <v>362757</v>
      </c>
      <c r="AD51" s="70">
        <f t="shared" si="192"/>
        <v>362759</v>
      </c>
      <c r="AE51" s="70"/>
      <c r="AF51" s="70">
        <f t="shared" ref="AF51:AK51" si="193">+AF38+AF46</f>
        <v>338205</v>
      </c>
      <c r="AG51" s="70">
        <f t="shared" si="193"/>
        <v>338204</v>
      </c>
      <c r="AH51" s="70">
        <f t="shared" si="193"/>
        <v>302952</v>
      </c>
      <c r="AI51" s="70">
        <f t="shared" si="193"/>
        <v>302952</v>
      </c>
      <c r="AJ51" s="70">
        <f t="shared" si="193"/>
        <v>391199</v>
      </c>
      <c r="AK51" s="70">
        <f t="shared" si="193"/>
        <v>391200</v>
      </c>
      <c r="AN51" s="70">
        <f t="shared" ref="AN51:AO51" si="194">+AN38+AN46</f>
        <v>504669</v>
      </c>
      <c r="AO51" s="70">
        <f t="shared" si="194"/>
        <v>504669</v>
      </c>
      <c r="AQ51" s="70">
        <f t="shared" ref="AQ51:AV51" si="195">+AQ38+AQ46</f>
        <v>309364</v>
      </c>
      <c r="AR51" s="70">
        <f t="shared" si="195"/>
        <v>309364</v>
      </c>
      <c r="AS51" s="70">
        <f t="shared" si="195"/>
        <v>301170</v>
      </c>
      <c r="AT51" s="70">
        <f t="shared" si="195"/>
        <v>301169</v>
      </c>
      <c r="AU51" s="70">
        <f t="shared" si="195"/>
        <v>639500</v>
      </c>
      <c r="AV51" s="70">
        <f t="shared" si="195"/>
        <v>613399</v>
      </c>
      <c r="AX51" s="70">
        <f t="shared" ref="AX51:BA51" si="196">+AX38+AX46</f>
        <v>114291</v>
      </c>
      <c r="AY51" s="70">
        <f t="shared" si="196"/>
        <v>96956</v>
      </c>
      <c r="AZ51" s="70">
        <f t="shared" si="196"/>
        <v>146089</v>
      </c>
      <c r="BA51" s="70">
        <f t="shared" si="196"/>
        <v>48706</v>
      </c>
      <c r="BC51" s="70">
        <f t="shared" ref="BC51:BF51" si="197">+BC38+BC46</f>
        <v>282181</v>
      </c>
      <c r="BD51" s="70">
        <f t="shared" si="197"/>
        <v>588831</v>
      </c>
      <c r="BE51" s="70">
        <f t="shared" si="197"/>
        <v>474267</v>
      </c>
      <c r="BF51" s="70">
        <f t="shared" si="197"/>
        <v>311341</v>
      </c>
      <c r="BG51" s="70"/>
      <c r="BH51" s="70">
        <f t="shared" ref="BH51:BJ51" si="198">+BH38+BH46</f>
        <v>498447</v>
      </c>
      <c r="BI51" s="70">
        <f t="shared" si="198"/>
        <v>638931</v>
      </c>
      <c r="BJ51" s="70">
        <f t="shared" si="198"/>
        <v>515079</v>
      </c>
      <c r="BK51" s="70">
        <f t="shared" ref="BK51:BM51" si="199">+BK38+BK46</f>
        <v>601820</v>
      </c>
      <c r="BL51" s="60"/>
      <c r="BM51" s="70">
        <f t="shared" si="199"/>
        <v>733865</v>
      </c>
      <c r="BN51" s="70">
        <f t="shared" ref="BN51" si="200">+BN38+BN46</f>
        <v>613185</v>
      </c>
      <c r="BO51" s="70">
        <f t="shared" ref="BO51:BQ51" si="201">+BO38+BO46</f>
        <v>648680</v>
      </c>
      <c r="BP51" s="70">
        <f t="shared" ref="BP51" si="202">+BP38+BP46</f>
        <v>405196</v>
      </c>
      <c r="BQ51" s="70">
        <f t="shared" si="201"/>
        <v>495640</v>
      </c>
      <c r="BR51" s="70">
        <f t="shared" ref="BR51" si="203">+BR38+BR46</f>
        <v>206246</v>
      </c>
      <c r="BS51" s="70">
        <f t="shared" ref="BS51:BT51" si="204">+BS38+BS46</f>
        <v>352508</v>
      </c>
      <c r="BT51" s="70">
        <f t="shared" si="204"/>
        <v>118814</v>
      </c>
      <c r="BU51" s="70"/>
      <c r="BV51" s="70">
        <f t="shared" ref="BV51:BZ51" si="205">+BV38+BV46</f>
        <v>1843885</v>
      </c>
      <c r="BW51" s="70">
        <f t="shared" ref="BW51" si="206">+BW38+BW46</f>
        <v>23514</v>
      </c>
      <c r="BX51" s="70">
        <f t="shared" si="205"/>
        <v>410133</v>
      </c>
      <c r="BY51" s="70">
        <f t="shared" ref="BY51" si="207">+BY38+BY46</f>
        <v>181864</v>
      </c>
      <c r="BZ51" s="70">
        <f t="shared" si="205"/>
        <v>617704</v>
      </c>
      <c r="CA51" s="70">
        <f t="shared" ref="CA51" si="208">+CA38+CA46</f>
        <v>254787</v>
      </c>
      <c r="CB51" s="70">
        <f t="shared" ref="CB51" si="209">+CB38+CB46</f>
        <v>33720</v>
      </c>
      <c r="CC51" s="70"/>
      <c r="CD51" s="70">
        <f t="shared" ref="CD51:CE51" si="210">+CD38+CD46</f>
        <v>374223</v>
      </c>
      <c r="CE51" s="70">
        <f t="shared" si="210"/>
        <v>283254</v>
      </c>
      <c r="CF51" s="70">
        <f t="shared" ref="CF51" si="211">+CF38+CF46</f>
        <v>364870</v>
      </c>
      <c r="CG51" s="60">
        <f>+CD51+CE51+CF51-'ER GA Cons Acum.'!C52</f>
        <v>0</v>
      </c>
      <c r="CH51" s="60">
        <f>+BW51+BY51+CA51-'ER GA Cons Acum.'!E52</f>
        <v>0</v>
      </c>
    </row>
    <row r="52" spans="2:86" s="95" customFormat="1" ht="5.25" hidden="1" customHeight="1">
      <c r="B52" s="51"/>
      <c r="C52" s="55"/>
      <c r="D52" s="94"/>
      <c r="E52" s="94"/>
      <c r="F52" s="94"/>
      <c r="G52" s="55"/>
      <c r="H52" s="94"/>
      <c r="I52" s="94"/>
      <c r="J52" s="94"/>
      <c r="K52" s="94"/>
      <c r="L52" s="94" t="e">
        <f>+#REF!-J52-I52-H52</f>
        <v>#REF!</v>
      </c>
      <c r="N52" s="94"/>
      <c r="O52" s="94"/>
      <c r="P52" s="94"/>
      <c r="Q52" s="94"/>
      <c r="R52" s="94"/>
      <c r="S52" s="94"/>
      <c r="T52" s="94"/>
      <c r="U52" s="94"/>
      <c r="W52" s="94"/>
      <c r="X52" s="94"/>
      <c r="Y52" s="94"/>
      <c r="Z52" s="94"/>
      <c r="AA52" s="94"/>
      <c r="AB52" s="94"/>
      <c r="AC52" s="94"/>
      <c r="AD52" s="94"/>
      <c r="AE52" s="94"/>
      <c r="AF52" s="94"/>
      <c r="AG52" s="94"/>
      <c r="AH52" s="94"/>
      <c r="AI52" s="94"/>
      <c r="AJ52" s="94"/>
      <c r="AK52" s="94"/>
      <c r="AN52" s="94"/>
      <c r="AO52" s="94"/>
      <c r="AQ52" s="94"/>
      <c r="AR52" s="94"/>
      <c r="AS52" s="94"/>
      <c r="AT52" s="94"/>
      <c r="AU52" s="94"/>
      <c r="AV52" s="94"/>
      <c r="AX52" s="94"/>
      <c r="AY52" s="94"/>
      <c r="AZ52" s="94"/>
      <c r="BA52" s="94"/>
      <c r="BC52" s="94"/>
      <c r="BD52" s="94"/>
      <c r="BE52" s="94"/>
      <c r="BF52" s="94"/>
      <c r="BG52" s="94"/>
      <c r="BH52" s="94"/>
      <c r="BI52" s="94"/>
      <c r="BJ52" s="94"/>
      <c r="BK52" s="94"/>
      <c r="BL52" s="60"/>
      <c r="BM52" s="94"/>
      <c r="BN52" s="94"/>
      <c r="BO52" s="94"/>
      <c r="BP52" s="94"/>
      <c r="BQ52" s="94"/>
      <c r="BR52" s="94"/>
      <c r="BS52" s="94"/>
      <c r="BT52" s="94"/>
      <c r="BU52" s="94"/>
      <c r="BV52" s="94"/>
      <c r="BW52" s="94"/>
      <c r="BX52" s="94"/>
      <c r="BY52" s="94"/>
      <c r="BZ52" s="94"/>
      <c r="CA52" s="94"/>
      <c r="CB52" s="94"/>
      <c r="CC52" s="94"/>
      <c r="CD52" s="94"/>
      <c r="CE52" s="94"/>
      <c r="CF52" s="94"/>
      <c r="CG52" s="60">
        <f>+BM52+BO52+BQ52-'ER GA Cons Acum.'!C54</f>
        <v>0</v>
      </c>
      <c r="CH52" s="60">
        <f>+BH52+BI52-'ER GA Cons Acum.'!E51</f>
        <v>0</v>
      </c>
    </row>
    <row r="53" spans="2:86" s="95" customFormat="1" ht="5.25" customHeight="1">
      <c r="B53" s="51"/>
      <c r="C53" s="55"/>
      <c r="D53" s="94"/>
      <c r="E53" s="94"/>
      <c r="F53" s="94"/>
      <c r="G53" s="55"/>
      <c r="H53" s="94"/>
      <c r="I53" s="94"/>
      <c r="J53" s="94"/>
      <c r="K53" s="94"/>
      <c r="L53" s="94"/>
      <c r="N53" s="94"/>
      <c r="O53" s="94"/>
      <c r="P53" s="94"/>
      <c r="Q53" s="94"/>
      <c r="R53" s="94"/>
      <c r="S53" s="94"/>
      <c r="T53" s="94"/>
      <c r="U53" s="94"/>
      <c r="W53" s="94"/>
      <c r="X53" s="94"/>
      <c r="Y53" s="94"/>
      <c r="Z53" s="94"/>
      <c r="AA53" s="94"/>
      <c r="AB53" s="94"/>
      <c r="AC53" s="94"/>
      <c r="AD53" s="94"/>
      <c r="AE53" s="94"/>
      <c r="AF53" s="94"/>
      <c r="AG53" s="94"/>
      <c r="AH53" s="94"/>
      <c r="AI53" s="94"/>
      <c r="AJ53" s="94"/>
      <c r="AK53" s="94"/>
      <c r="AN53" s="94"/>
      <c r="AO53" s="94"/>
      <c r="AQ53" s="94"/>
      <c r="AR53" s="94"/>
      <c r="AS53" s="94"/>
      <c r="AT53" s="94"/>
      <c r="AU53" s="94"/>
      <c r="AV53" s="94"/>
      <c r="AX53" s="94"/>
      <c r="AY53" s="94"/>
      <c r="AZ53" s="94"/>
      <c r="BA53" s="94"/>
      <c r="BC53" s="94"/>
      <c r="BD53" s="94"/>
      <c r="BE53" s="94"/>
      <c r="BF53" s="94"/>
      <c r="BG53" s="94"/>
      <c r="BH53" s="94"/>
      <c r="BI53" s="94"/>
      <c r="BJ53" s="94"/>
      <c r="BK53" s="94"/>
      <c r="BL53" s="60"/>
      <c r="BM53" s="94"/>
      <c r="BN53" s="94"/>
      <c r="BO53" s="94"/>
      <c r="BP53" s="94"/>
      <c r="BQ53" s="94"/>
      <c r="BR53" s="94"/>
      <c r="BS53" s="94"/>
      <c r="BT53" s="94"/>
      <c r="BU53" s="94"/>
      <c r="BV53" s="94"/>
      <c r="BW53" s="94"/>
      <c r="BX53" s="94"/>
      <c r="BY53" s="94"/>
      <c r="BZ53" s="94"/>
      <c r="CA53" s="94"/>
      <c r="CB53" s="94"/>
      <c r="CC53" s="94"/>
      <c r="CD53" s="94"/>
      <c r="CE53" s="94"/>
      <c r="CF53" s="94"/>
      <c r="CG53" s="60"/>
      <c r="CH53" s="60"/>
    </row>
    <row r="54" spans="2:86" ht="15.75" customHeight="1">
      <c r="B54" s="96" t="s">
        <v>151</v>
      </c>
      <c r="C54" s="68">
        <v>88640</v>
      </c>
      <c r="D54" s="22">
        <v>114703</v>
      </c>
      <c r="E54" s="22">
        <v>47094</v>
      </c>
      <c r="F54" s="22">
        <v>121109</v>
      </c>
      <c r="G54" s="55"/>
      <c r="H54" s="22">
        <v>94599</v>
      </c>
      <c r="I54" s="22">
        <v>53882</v>
      </c>
      <c r="J54" s="22">
        <v>75127</v>
      </c>
      <c r="K54" s="22">
        <v>36898</v>
      </c>
      <c r="L54" s="22">
        <v>24587</v>
      </c>
      <c r="N54" s="22">
        <v>171898</v>
      </c>
      <c r="O54" s="22">
        <f>168106-1+12377</f>
        <v>180482</v>
      </c>
      <c r="P54" s="22">
        <v>13142</v>
      </c>
      <c r="Q54" s="22">
        <f>10409-1+2546</f>
        <v>12954</v>
      </c>
      <c r="R54" s="22">
        <v>88218</v>
      </c>
      <c r="S54" s="22">
        <f>107394-18569+3646</f>
        <v>92471</v>
      </c>
      <c r="T54" s="22">
        <v>59176</v>
      </c>
      <c r="U54" s="22">
        <f>67124+2</f>
        <v>67126</v>
      </c>
      <c r="V54" s="22"/>
      <c r="W54" s="22">
        <f>69785+8804</f>
        <v>78589</v>
      </c>
      <c r="X54" s="22">
        <v>78588</v>
      </c>
      <c r="Y54" s="22">
        <f>85468+2910</f>
        <v>88378</v>
      </c>
      <c r="Z54" s="22">
        <f>85468+2910+1</f>
        <v>88379</v>
      </c>
      <c r="AA54" s="22">
        <f>111567-15302+3588</f>
        <v>99853</v>
      </c>
      <c r="AB54" s="22">
        <f>111567-15302+3588</f>
        <v>99853</v>
      </c>
      <c r="AC54" s="22">
        <f>268044+1</f>
        <v>268045</v>
      </c>
      <c r="AD54" s="22">
        <f>268044+1</f>
        <v>268045</v>
      </c>
      <c r="AE54" s="22"/>
      <c r="AF54" s="22">
        <v>117143</v>
      </c>
      <c r="AG54" s="22">
        <v>117143</v>
      </c>
      <c r="AH54" s="22">
        <f>70202-1</f>
        <v>70201</v>
      </c>
      <c r="AI54" s="22">
        <f>70202-1</f>
        <v>70201</v>
      </c>
      <c r="AJ54" s="22">
        <v>-18841</v>
      </c>
      <c r="AK54" s="22">
        <v>-18841</v>
      </c>
      <c r="AN54" s="22">
        <v>174404</v>
      </c>
      <c r="AO54" s="22">
        <v>174404</v>
      </c>
      <c r="AQ54" s="22">
        <v>86082</v>
      </c>
      <c r="AR54" s="22">
        <v>86082</v>
      </c>
      <c r="AS54" s="22">
        <v>81685</v>
      </c>
      <c r="AT54" s="22">
        <v>81685</v>
      </c>
      <c r="AU54" s="22">
        <v>122933</v>
      </c>
      <c r="AV54" s="22">
        <v>316595</v>
      </c>
      <c r="AX54" s="22">
        <v>87916</v>
      </c>
      <c r="AY54" s="22">
        <f>35122-1</f>
        <v>35121</v>
      </c>
      <c r="AZ54" s="22">
        <v>68259</v>
      </c>
      <c r="BA54" s="22">
        <v>60801</v>
      </c>
      <c r="BC54" s="22">
        <v>91593</v>
      </c>
      <c r="BD54" s="22">
        <v>196413</v>
      </c>
      <c r="BE54" s="22">
        <v>99600</v>
      </c>
      <c r="BF54" s="22">
        <v>62981</v>
      </c>
      <c r="BG54" s="22"/>
      <c r="BH54" s="22">
        <v>183520</v>
      </c>
      <c r="BI54" s="22">
        <v>227812</v>
      </c>
      <c r="BJ54" s="22">
        <f>188949</f>
        <v>188949</v>
      </c>
      <c r="BK54" s="22">
        <f>213654+1</f>
        <v>213655</v>
      </c>
      <c r="BL54" s="60"/>
      <c r="BM54" s="22">
        <f>163714+1</f>
        <v>163715</v>
      </c>
      <c r="BN54" s="22">
        <f>143724+1</f>
        <v>143725</v>
      </c>
      <c r="BO54" s="22">
        <v>190328</v>
      </c>
      <c r="BP54" s="22">
        <f>141504-1</f>
        <v>141503</v>
      </c>
      <c r="BQ54" s="22">
        <f>128273-1</f>
        <v>128272</v>
      </c>
      <c r="BR54" s="22">
        <v>64965</v>
      </c>
      <c r="BS54" s="22">
        <v>288380</v>
      </c>
      <c r="BT54" s="22">
        <v>231049</v>
      </c>
      <c r="BU54" s="22"/>
      <c r="BV54" s="22">
        <v>670381</v>
      </c>
      <c r="BW54" s="22">
        <v>153332</v>
      </c>
      <c r="BX54" s="22">
        <v>73471</v>
      </c>
      <c r="BY54" s="22">
        <v>67518</v>
      </c>
      <c r="BZ54" s="22">
        <v>83697</v>
      </c>
      <c r="CA54" s="22">
        <v>69223</v>
      </c>
      <c r="CB54" s="22">
        <f>-79933+1</f>
        <v>-79932</v>
      </c>
      <c r="CC54" s="22"/>
      <c r="CD54" s="22">
        <f>128584+1</f>
        <v>128585</v>
      </c>
      <c r="CE54" s="22">
        <v>67798</v>
      </c>
      <c r="CF54" s="22">
        <v>328802</v>
      </c>
      <c r="CG54" s="60">
        <f>+CD54+CE54+CF54-'ER GA Cons Acum.'!C55</f>
        <v>0</v>
      </c>
      <c r="CH54" s="60">
        <f>+BW54+BY54+CA54-'ER GA Cons Acum.'!E55</f>
        <v>0</v>
      </c>
    </row>
    <row r="55" spans="2:86" ht="8.25" customHeight="1">
      <c r="C55" s="55"/>
      <c r="D55" s="66"/>
      <c r="E55" s="66"/>
      <c r="F55" s="66"/>
      <c r="G55" s="55"/>
      <c r="H55" s="66"/>
      <c r="I55" s="66"/>
      <c r="J55" s="66"/>
      <c r="K55" s="66"/>
      <c r="L55" s="66"/>
      <c r="N55" s="66"/>
      <c r="O55" s="66"/>
      <c r="P55" s="66"/>
      <c r="Q55" s="66"/>
      <c r="R55" s="66"/>
      <c r="S55" s="66"/>
      <c r="T55" s="66"/>
      <c r="U55" s="66"/>
      <c r="W55" s="66"/>
      <c r="X55" s="66"/>
      <c r="Y55" s="66"/>
      <c r="Z55" s="66"/>
      <c r="AA55" s="66"/>
      <c r="AB55" s="66"/>
      <c r="AC55" s="66"/>
      <c r="AD55" s="66"/>
      <c r="AE55" s="66"/>
      <c r="AF55" s="66"/>
      <c r="AG55" s="66"/>
      <c r="AH55" s="66"/>
      <c r="AI55" s="66"/>
      <c r="AJ55" s="66"/>
      <c r="AK55" s="66"/>
      <c r="AN55" s="66"/>
      <c r="AO55" s="66"/>
      <c r="AQ55" s="66"/>
      <c r="AR55" s="66"/>
      <c r="AS55" s="66"/>
      <c r="AT55" s="66"/>
      <c r="AU55" s="66"/>
      <c r="AV55" s="66"/>
      <c r="AX55" s="66"/>
      <c r="AY55" s="66"/>
      <c r="AZ55" s="66"/>
      <c r="BA55" s="66"/>
      <c r="BC55" s="66"/>
      <c r="BD55" s="66"/>
      <c r="BE55" s="66"/>
      <c r="BF55" s="66"/>
      <c r="BG55" s="66"/>
      <c r="BH55" s="66"/>
      <c r="BI55" s="66"/>
      <c r="BJ55" s="66"/>
      <c r="BK55" s="66"/>
      <c r="BL55" s="60"/>
      <c r="BM55" s="66"/>
      <c r="BN55" s="66"/>
      <c r="BO55" s="66"/>
      <c r="BP55" s="66"/>
      <c r="BQ55" s="66"/>
      <c r="BR55" s="66"/>
      <c r="BS55" s="66"/>
      <c r="BT55" s="66"/>
      <c r="BU55" s="66"/>
      <c r="BV55" s="66"/>
      <c r="BW55" s="66"/>
      <c r="BX55" s="66"/>
      <c r="BY55" s="66"/>
      <c r="BZ55" s="66"/>
      <c r="CA55" s="66"/>
      <c r="CB55" s="66"/>
      <c r="CC55" s="66"/>
      <c r="CD55" s="66"/>
      <c r="CE55" s="66"/>
      <c r="CF55" s="66"/>
      <c r="CG55" s="60"/>
      <c r="CH55" s="60"/>
    </row>
    <row r="56" spans="2:86" s="56" customFormat="1" ht="13">
      <c r="B56" s="56" t="s">
        <v>669</v>
      </c>
      <c r="C56" s="67">
        <f>+C51-C54</f>
        <v>293966</v>
      </c>
      <c r="D56" s="67">
        <f>+D51-D54</f>
        <v>567862.79061002983</v>
      </c>
      <c r="E56" s="67">
        <f>+E51-E54</f>
        <v>183129</v>
      </c>
      <c r="F56" s="67">
        <f>+F51-F54</f>
        <v>-114905</v>
      </c>
      <c r="G56" s="55"/>
      <c r="H56" s="67">
        <f>+H51-H54</f>
        <v>91766</v>
      </c>
      <c r="I56" s="67">
        <f t="shared" ref="I56:L56" si="212">+I51-I54</f>
        <v>358050</v>
      </c>
      <c r="J56" s="67">
        <f t="shared" si="212"/>
        <v>185198</v>
      </c>
      <c r="K56" s="67">
        <f t="shared" si="212"/>
        <v>21456</v>
      </c>
      <c r="L56" s="67">
        <f t="shared" si="212"/>
        <v>26620</v>
      </c>
      <c r="N56" s="67">
        <f t="shared" ref="N56:U56" si="213">+N51-N54</f>
        <v>227949</v>
      </c>
      <c r="O56" s="67">
        <f t="shared" si="213"/>
        <v>215537</v>
      </c>
      <c r="P56" s="67">
        <f t="shared" si="213"/>
        <v>361037</v>
      </c>
      <c r="Q56" s="67">
        <f t="shared" si="213"/>
        <v>368713</v>
      </c>
      <c r="R56" s="67">
        <f t="shared" si="213"/>
        <v>290598</v>
      </c>
      <c r="S56" s="67">
        <f t="shared" si="213"/>
        <v>328171</v>
      </c>
      <c r="T56" s="67">
        <f t="shared" si="213"/>
        <v>252418</v>
      </c>
      <c r="U56" s="67">
        <f t="shared" si="213"/>
        <v>219581</v>
      </c>
      <c r="W56" s="67">
        <f t="shared" ref="W56:AD56" si="214">+W51-W54</f>
        <v>144807</v>
      </c>
      <c r="X56" s="67">
        <f t="shared" si="214"/>
        <v>144807</v>
      </c>
      <c r="Y56" s="67">
        <f t="shared" si="214"/>
        <v>215448</v>
      </c>
      <c r="Z56" s="67">
        <f t="shared" si="214"/>
        <v>215446</v>
      </c>
      <c r="AA56" s="67">
        <f t="shared" si="214"/>
        <v>451614</v>
      </c>
      <c r="AB56" s="67">
        <f t="shared" si="214"/>
        <v>451616</v>
      </c>
      <c r="AC56" s="67">
        <f t="shared" si="214"/>
        <v>94712</v>
      </c>
      <c r="AD56" s="67">
        <f t="shared" si="214"/>
        <v>94714</v>
      </c>
      <c r="AE56" s="67"/>
      <c r="AF56" s="67">
        <f t="shared" ref="AF56:AK56" si="215">+AF51-AF54</f>
        <v>221062</v>
      </c>
      <c r="AG56" s="67">
        <f t="shared" si="215"/>
        <v>221061</v>
      </c>
      <c r="AH56" s="67">
        <f t="shared" si="215"/>
        <v>232751</v>
      </c>
      <c r="AI56" s="67">
        <f t="shared" si="215"/>
        <v>232751</v>
      </c>
      <c r="AJ56" s="67">
        <f t="shared" si="215"/>
        <v>410040</v>
      </c>
      <c r="AK56" s="67">
        <f t="shared" si="215"/>
        <v>410041</v>
      </c>
      <c r="AN56" s="67">
        <f t="shared" ref="AN56:AO56" si="216">+AN51-AN54</f>
        <v>330265</v>
      </c>
      <c r="AO56" s="67">
        <f t="shared" si="216"/>
        <v>330265</v>
      </c>
      <c r="AQ56" s="67">
        <f t="shared" ref="AQ56:AV56" si="217">+AQ51-AQ54</f>
        <v>223282</v>
      </c>
      <c r="AR56" s="67">
        <f t="shared" si="217"/>
        <v>223282</v>
      </c>
      <c r="AS56" s="67">
        <f t="shared" si="217"/>
        <v>219485</v>
      </c>
      <c r="AT56" s="67">
        <f t="shared" si="217"/>
        <v>219484</v>
      </c>
      <c r="AU56" s="67">
        <f t="shared" si="217"/>
        <v>516567</v>
      </c>
      <c r="AV56" s="67">
        <f t="shared" si="217"/>
        <v>296804</v>
      </c>
      <c r="AX56" s="67">
        <f t="shared" ref="AX56:BA56" si="218">+AX51-AX54</f>
        <v>26375</v>
      </c>
      <c r="AY56" s="67">
        <f t="shared" si="218"/>
        <v>61835</v>
      </c>
      <c r="AZ56" s="67">
        <f t="shared" si="218"/>
        <v>77830</v>
      </c>
      <c r="BA56" s="67">
        <f t="shared" si="218"/>
        <v>-12095</v>
      </c>
      <c r="BC56" s="67">
        <f t="shared" ref="BC56:BF56" si="219">+BC51-BC54</f>
        <v>190588</v>
      </c>
      <c r="BD56" s="67">
        <f t="shared" si="219"/>
        <v>392418</v>
      </c>
      <c r="BE56" s="67">
        <f t="shared" si="219"/>
        <v>374667</v>
      </c>
      <c r="BF56" s="67">
        <f t="shared" si="219"/>
        <v>248360</v>
      </c>
      <c r="BG56" s="67"/>
      <c r="BH56" s="67">
        <f t="shared" ref="BH56:BJ56" si="220">+BH51-BH54</f>
        <v>314927</v>
      </c>
      <c r="BI56" s="67">
        <f t="shared" si="220"/>
        <v>411119</v>
      </c>
      <c r="BJ56" s="67">
        <f t="shared" si="220"/>
        <v>326130</v>
      </c>
      <c r="BK56" s="67">
        <f t="shared" ref="BK56:BM56" si="221">+BK51-BK54</f>
        <v>388165</v>
      </c>
      <c r="BL56" s="60"/>
      <c r="BM56" s="67">
        <f t="shared" si="221"/>
        <v>570150</v>
      </c>
      <c r="BN56" s="67">
        <f t="shared" ref="BN56" si="222">+BN51-BN54</f>
        <v>469460</v>
      </c>
      <c r="BO56" s="67">
        <f t="shared" ref="BO56:BQ56" si="223">+BO51-BO54</f>
        <v>458352</v>
      </c>
      <c r="BP56" s="67">
        <f t="shared" ref="BP56" si="224">+BP51-BP54</f>
        <v>263693</v>
      </c>
      <c r="BQ56" s="67">
        <f t="shared" si="223"/>
        <v>367368</v>
      </c>
      <c r="BR56" s="67">
        <f t="shared" ref="BR56" si="225">+BR51-BR54</f>
        <v>141281</v>
      </c>
      <c r="BS56" s="67">
        <f t="shared" ref="BS56:BT56" si="226">+BS51-BS54</f>
        <v>64128</v>
      </c>
      <c r="BT56" s="67">
        <f t="shared" si="226"/>
        <v>-112235</v>
      </c>
      <c r="BU56" s="67"/>
      <c r="BV56" s="67">
        <f t="shared" ref="BV56:BZ56" si="227">+BV51-BV54</f>
        <v>1173504</v>
      </c>
      <c r="BW56" s="67">
        <f t="shared" ref="BW56" si="228">+BW51-BW54</f>
        <v>-129818</v>
      </c>
      <c r="BX56" s="67">
        <f t="shared" si="227"/>
        <v>336662</v>
      </c>
      <c r="BY56" s="67">
        <f t="shared" ref="BY56" si="229">+BY51-BY54</f>
        <v>114346</v>
      </c>
      <c r="BZ56" s="67">
        <f t="shared" si="227"/>
        <v>534007</v>
      </c>
      <c r="CA56" s="67">
        <f t="shared" ref="CA56" si="230">+CA51-CA54</f>
        <v>185564</v>
      </c>
      <c r="CB56" s="67">
        <f t="shared" ref="CB56" si="231">+CB51-CB54</f>
        <v>113652</v>
      </c>
      <c r="CC56" s="67"/>
      <c r="CD56" s="67">
        <f t="shared" ref="CD56:CE56" si="232">+CD51-CD54</f>
        <v>245638</v>
      </c>
      <c r="CE56" s="67">
        <f t="shared" si="232"/>
        <v>215456</v>
      </c>
      <c r="CF56" s="67">
        <f t="shared" ref="CF56" si="233">+CF51-CF54</f>
        <v>36068</v>
      </c>
      <c r="CG56" s="60">
        <f>+CD56+CE56+CF56-'ER GA Cons Acum.'!C57</f>
        <v>0</v>
      </c>
      <c r="CH56" s="60">
        <f>+BW56+BY56+CA56-'ER GA Cons Acum.'!E57</f>
        <v>0</v>
      </c>
    </row>
    <row r="57" spans="2:86" s="56" customFormat="1" ht="16.5" customHeight="1">
      <c r="B57" s="97" t="s">
        <v>667</v>
      </c>
      <c r="C57" s="68">
        <v>-869</v>
      </c>
      <c r="D57" s="22">
        <f>330+1</f>
        <v>331</v>
      </c>
      <c r="E57" s="22">
        <f>-5125+1</f>
        <v>-5124</v>
      </c>
      <c r="F57" s="22">
        <f>6047-1</f>
        <v>6046</v>
      </c>
      <c r="G57" s="55"/>
      <c r="H57" s="22"/>
      <c r="I57" s="22">
        <v>-3566</v>
      </c>
      <c r="J57" s="93">
        <v>3566</v>
      </c>
      <c r="K57" s="22">
        <v>-13315</v>
      </c>
      <c r="L57" s="22">
        <v>-13315</v>
      </c>
      <c r="N57" s="22">
        <v>0</v>
      </c>
      <c r="O57" s="22">
        <v>0</v>
      </c>
      <c r="P57" s="22">
        <v>0</v>
      </c>
      <c r="Q57" s="22">
        <v>0</v>
      </c>
      <c r="R57" s="22">
        <v>0</v>
      </c>
      <c r="S57" s="22">
        <v>0</v>
      </c>
      <c r="T57" s="22">
        <v>0</v>
      </c>
      <c r="U57" s="22">
        <v>0</v>
      </c>
      <c r="W57" s="22">
        <v>0</v>
      </c>
      <c r="X57" s="22">
        <v>0</v>
      </c>
      <c r="Y57" s="22">
        <v>0</v>
      </c>
      <c r="Z57" s="22">
        <v>0</v>
      </c>
      <c r="AA57" s="22">
        <v>0</v>
      </c>
      <c r="AB57" s="22">
        <v>0</v>
      </c>
      <c r="AC57" s="22">
        <v>0</v>
      </c>
      <c r="AD57" s="22">
        <v>0</v>
      </c>
      <c r="AE57" s="22"/>
      <c r="AF57" s="22">
        <v>0</v>
      </c>
      <c r="AG57" s="22">
        <v>0</v>
      </c>
      <c r="AH57" s="22">
        <v>0</v>
      </c>
      <c r="AI57" s="22">
        <v>0</v>
      </c>
      <c r="AJ57" s="22">
        <v>0</v>
      </c>
      <c r="AK57" s="22">
        <v>0</v>
      </c>
      <c r="AN57" s="22">
        <v>0</v>
      </c>
      <c r="AO57" s="22">
        <v>0</v>
      </c>
      <c r="AQ57" s="22">
        <v>0</v>
      </c>
      <c r="AR57" s="22">
        <v>0</v>
      </c>
      <c r="AS57" s="22">
        <v>0</v>
      </c>
      <c r="AT57" s="22">
        <v>0</v>
      </c>
      <c r="AU57" s="22">
        <v>0</v>
      </c>
      <c r="AV57" s="22">
        <v>0</v>
      </c>
      <c r="AX57" s="22">
        <v>0</v>
      </c>
      <c r="AY57" s="22">
        <v>0</v>
      </c>
      <c r="AZ57" s="22">
        <v>0</v>
      </c>
      <c r="BA57" s="22">
        <v>0</v>
      </c>
      <c r="BC57" s="22">
        <v>0</v>
      </c>
      <c r="BD57" s="22">
        <v>0</v>
      </c>
      <c r="BE57" s="22">
        <v>0</v>
      </c>
      <c r="BF57" s="22">
        <v>0</v>
      </c>
      <c r="BG57" s="22"/>
      <c r="BH57" s="22">
        <v>0</v>
      </c>
      <c r="BI57" s="22">
        <v>0</v>
      </c>
      <c r="BJ57" s="22">
        <v>0</v>
      </c>
      <c r="BK57" s="22">
        <v>0</v>
      </c>
      <c r="BL57" s="60"/>
      <c r="BM57" s="22">
        <v>0</v>
      </c>
      <c r="BN57" s="22">
        <v>100690</v>
      </c>
      <c r="BO57" s="22">
        <v>0</v>
      </c>
      <c r="BP57" s="22">
        <v>194660</v>
      </c>
      <c r="BQ57" s="22">
        <v>0</v>
      </c>
      <c r="BR57" s="22">
        <v>226086</v>
      </c>
      <c r="BS57" s="22">
        <v>0</v>
      </c>
      <c r="BT57" s="22">
        <v>176363</v>
      </c>
      <c r="BU57" s="22"/>
      <c r="BV57" s="22">
        <v>5335895</v>
      </c>
      <c r="BW57" s="22">
        <v>5263895</v>
      </c>
      <c r="BX57" s="22">
        <v>0</v>
      </c>
      <c r="BY57" s="22">
        <f>128910+1</f>
        <v>128911</v>
      </c>
      <c r="BZ57" s="22">
        <v>-40449</v>
      </c>
      <c r="CA57" s="22">
        <v>92002</v>
      </c>
      <c r="CB57" s="22">
        <f>193529-1</f>
        <v>193528</v>
      </c>
      <c r="CC57" s="22"/>
      <c r="CD57" s="22">
        <v>1999483</v>
      </c>
      <c r="CE57" s="22">
        <v>-327</v>
      </c>
      <c r="CF57" s="22">
        <v>-13125</v>
      </c>
      <c r="CG57" s="60">
        <f>+CD57+CE57+CF57-'ER GA Cons Acum.'!C58</f>
        <v>0</v>
      </c>
      <c r="CH57" s="60">
        <f>+BW57+BY57+CA57-'ER GA Cons Acum.'!E58</f>
        <v>0</v>
      </c>
    </row>
    <row r="58" spans="2:86" s="56" customFormat="1" ht="16.5" customHeight="1">
      <c r="B58" s="97" t="s">
        <v>668</v>
      </c>
      <c r="C58" s="68"/>
      <c r="D58" s="22"/>
      <c r="E58" s="22"/>
      <c r="F58" s="22"/>
      <c r="G58" s="55"/>
      <c r="H58" s="22"/>
      <c r="I58" s="22"/>
      <c r="J58" s="93"/>
      <c r="K58" s="22"/>
      <c r="L58" s="22"/>
      <c r="N58" s="22"/>
      <c r="O58" s="22"/>
      <c r="P58" s="22"/>
      <c r="Q58" s="22"/>
      <c r="R58" s="22"/>
      <c r="S58" s="22"/>
      <c r="T58" s="22"/>
      <c r="U58" s="22"/>
      <c r="W58" s="22"/>
      <c r="X58" s="22"/>
      <c r="Y58" s="22"/>
      <c r="Z58" s="22"/>
      <c r="AA58" s="22"/>
      <c r="AB58" s="22"/>
      <c r="AC58" s="22"/>
      <c r="AD58" s="22"/>
      <c r="AE58" s="22"/>
      <c r="AF58" s="22"/>
      <c r="AG58" s="22"/>
      <c r="AH58" s="22"/>
      <c r="AI58" s="22"/>
      <c r="AJ58" s="22"/>
      <c r="AK58" s="22"/>
      <c r="AN58" s="22"/>
      <c r="AO58" s="22"/>
      <c r="AQ58" s="22"/>
      <c r="AR58" s="22"/>
      <c r="AS58" s="22"/>
      <c r="AT58" s="22"/>
      <c r="AU58" s="22"/>
      <c r="AV58" s="22"/>
      <c r="AX58" s="22"/>
      <c r="AY58" s="22"/>
      <c r="AZ58" s="22"/>
      <c r="BA58" s="22"/>
      <c r="BC58" s="22"/>
      <c r="BD58" s="22"/>
      <c r="BE58" s="22"/>
      <c r="BF58" s="22"/>
      <c r="BG58" s="22"/>
      <c r="BH58" s="22"/>
      <c r="BI58" s="22"/>
      <c r="BJ58" s="22"/>
      <c r="BK58" s="22"/>
      <c r="BL58" s="60"/>
      <c r="BM58" s="22"/>
      <c r="BN58" s="22"/>
      <c r="BO58" s="22"/>
      <c r="BP58" s="22"/>
      <c r="BQ58" s="22"/>
      <c r="BR58" s="22"/>
      <c r="BS58" s="22"/>
      <c r="BT58" s="22"/>
      <c r="BU58" s="22"/>
      <c r="BV58" s="22"/>
      <c r="BW58" s="22">
        <v>1375322</v>
      </c>
      <c r="BX58" s="22"/>
      <c r="BY58" s="22">
        <v>93405</v>
      </c>
      <c r="BZ58" s="22"/>
      <c r="CA58" s="22">
        <v>215991</v>
      </c>
      <c r="CB58" s="22"/>
      <c r="CC58" s="22"/>
      <c r="CD58" s="22">
        <v>-11474</v>
      </c>
      <c r="CE58" s="22">
        <v>-15103</v>
      </c>
      <c r="CF58" s="22">
        <v>1653669</v>
      </c>
      <c r="CG58" s="60">
        <f>+CD58+CE58+CF58-'ER GA Cons Acum.'!C59</f>
        <v>0</v>
      </c>
      <c r="CH58" s="60">
        <f>+BW58+BY58+CA58-'ER GA Cons Acum.'!E59</f>
        <v>0</v>
      </c>
    </row>
    <row r="59" spans="2:86" s="56" customFormat="1" ht="16.5" customHeight="1">
      <c r="B59" s="56" t="s">
        <v>152</v>
      </c>
      <c r="C59" s="67">
        <f>+C56+C57</f>
        <v>293097</v>
      </c>
      <c r="D59" s="67">
        <f>+D56+D57</f>
        <v>568193.79061002983</v>
      </c>
      <c r="E59" s="67">
        <f>+E56+E57</f>
        <v>178005</v>
      </c>
      <c r="F59" s="67">
        <f>+F56+F57</f>
        <v>-108859</v>
      </c>
      <c r="G59" s="55"/>
      <c r="H59" s="67">
        <f>+H56+H57</f>
        <v>91766</v>
      </c>
      <c r="I59" s="67">
        <f>+I56+I57</f>
        <v>354484</v>
      </c>
      <c r="J59" s="67">
        <f>+J56+J57</f>
        <v>188764</v>
      </c>
      <c r="K59" s="67">
        <f>+K56+K57</f>
        <v>8141</v>
      </c>
      <c r="L59" s="67">
        <f>+L56+L57</f>
        <v>13305</v>
      </c>
      <c r="N59" s="67">
        <f t="shared" ref="N59:U59" si="234">+N56+N57</f>
        <v>227949</v>
      </c>
      <c r="O59" s="67">
        <f t="shared" si="234"/>
        <v>215537</v>
      </c>
      <c r="P59" s="67">
        <f t="shared" si="234"/>
        <v>361037</v>
      </c>
      <c r="Q59" s="67">
        <f t="shared" si="234"/>
        <v>368713</v>
      </c>
      <c r="R59" s="67">
        <f t="shared" si="234"/>
        <v>290598</v>
      </c>
      <c r="S59" s="67">
        <f t="shared" si="234"/>
        <v>328171</v>
      </c>
      <c r="T59" s="67">
        <f t="shared" si="234"/>
        <v>252418</v>
      </c>
      <c r="U59" s="67">
        <f t="shared" si="234"/>
        <v>219581</v>
      </c>
      <c r="W59" s="67">
        <f t="shared" ref="W59:AD59" si="235">+W56+W57</f>
        <v>144807</v>
      </c>
      <c r="X59" s="67">
        <f t="shared" si="235"/>
        <v>144807</v>
      </c>
      <c r="Y59" s="67">
        <f t="shared" si="235"/>
        <v>215448</v>
      </c>
      <c r="Z59" s="67">
        <f t="shared" si="235"/>
        <v>215446</v>
      </c>
      <c r="AA59" s="67">
        <f t="shared" si="235"/>
        <v>451614</v>
      </c>
      <c r="AB59" s="67">
        <f t="shared" si="235"/>
        <v>451616</v>
      </c>
      <c r="AC59" s="67">
        <f t="shared" si="235"/>
        <v>94712</v>
      </c>
      <c r="AD59" s="67">
        <f t="shared" si="235"/>
        <v>94714</v>
      </c>
      <c r="AE59" s="67"/>
      <c r="AF59" s="67">
        <f t="shared" ref="AF59:AK59" si="236">+AF56+AF57</f>
        <v>221062</v>
      </c>
      <c r="AG59" s="67">
        <f t="shared" si="236"/>
        <v>221061</v>
      </c>
      <c r="AH59" s="67">
        <f t="shared" si="236"/>
        <v>232751</v>
      </c>
      <c r="AI59" s="67">
        <f t="shared" si="236"/>
        <v>232751</v>
      </c>
      <c r="AJ59" s="67">
        <f t="shared" si="236"/>
        <v>410040</v>
      </c>
      <c r="AK59" s="67">
        <f t="shared" si="236"/>
        <v>410041</v>
      </c>
      <c r="AN59" s="67">
        <f>+AN56+AN57</f>
        <v>330265</v>
      </c>
      <c r="AO59" s="67">
        <f>+AO56+AO57</f>
        <v>330265</v>
      </c>
      <c r="AQ59" s="67">
        <f t="shared" ref="AQ59:AV59" si="237">+AQ56+AQ57</f>
        <v>223282</v>
      </c>
      <c r="AR59" s="67">
        <f t="shared" si="237"/>
        <v>223282</v>
      </c>
      <c r="AS59" s="67">
        <f t="shared" si="237"/>
        <v>219485</v>
      </c>
      <c r="AT59" s="67">
        <f t="shared" si="237"/>
        <v>219484</v>
      </c>
      <c r="AU59" s="67">
        <f t="shared" si="237"/>
        <v>516567</v>
      </c>
      <c r="AV59" s="67">
        <f t="shared" si="237"/>
        <v>296804</v>
      </c>
      <c r="AX59" s="67">
        <f>+AX56+AX57</f>
        <v>26375</v>
      </c>
      <c r="AY59" s="67">
        <f>+AY56+AY57</f>
        <v>61835</v>
      </c>
      <c r="AZ59" s="67">
        <f>+AZ56+AZ57</f>
        <v>77830</v>
      </c>
      <c r="BA59" s="67">
        <f>+BA56+BA57</f>
        <v>-12095</v>
      </c>
      <c r="BC59" s="67">
        <f>+BC56+BC57</f>
        <v>190588</v>
      </c>
      <c r="BD59" s="67">
        <f>+BD56+BD57</f>
        <v>392418</v>
      </c>
      <c r="BE59" s="67">
        <f>+BE56+BE57</f>
        <v>374667</v>
      </c>
      <c r="BF59" s="67">
        <f>+BF56+BF57</f>
        <v>248360</v>
      </c>
      <c r="BG59" s="67"/>
      <c r="BH59" s="67">
        <f>+BH56+BH57</f>
        <v>314927</v>
      </c>
      <c r="BI59" s="67">
        <f>+BI56+BI57</f>
        <v>411119</v>
      </c>
      <c r="BJ59" s="67">
        <f>+BJ56+BJ57</f>
        <v>326130</v>
      </c>
      <c r="BK59" s="67">
        <f>+BK56+BK57</f>
        <v>388165</v>
      </c>
      <c r="BL59" s="60"/>
      <c r="BM59" s="67">
        <f t="shared" ref="BM59:BT59" si="238">+BM56+BM57</f>
        <v>570150</v>
      </c>
      <c r="BN59" s="67">
        <f t="shared" si="238"/>
        <v>570150</v>
      </c>
      <c r="BO59" s="67">
        <f t="shared" si="238"/>
        <v>458352</v>
      </c>
      <c r="BP59" s="67">
        <f t="shared" si="238"/>
        <v>458353</v>
      </c>
      <c r="BQ59" s="67">
        <f t="shared" si="238"/>
        <v>367368</v>
      </c>
      <c r="BR59" s="67">
        <f t="shared" si="238"/>
        <v>367367</v>
      </c>
      <c r="BS59" s="67">
        <f t="shared" si="238"/>
        <v>64128</v>
      </c>
      <c r="BT59" s="67">
        <f t="shared" si="238"/>
        <v>64128</v>
      </c>
      <c r="BU59" s="67"/>
      <c r="BV59" s="67">
        <f>+BV56+BV57</f>
        <v>6509399</v>
      </c>
      <c r="BW59" s="67">
        <f>+BW56+BW57+BW58</f>
        <v>6509399</v>
      </c>
      <c r="BX59" s="67">
        <f>+BX56+BX57</f>
        <v>336662</v>
      </c>
      <c r="BY59" s="67">
        <f>+BY56+BY57+BY58</f>
        <v>336662</v>
      </c>
      <c r="BZ59" s="67">
        <f>+BZ56+BZ57</f>
        <v>493558</v>
      </c>
      <c r="CA59" s="67">
        <f>+CA56+CA57+CA58</f>
        <v>493557</v>
      </c>
      <c r="CB59" s="67">
        <f>+CB56+CB57</f>
        <v>307180</v>
      </c>
      <c r="CC59" s="67"/>
      <c r="CD59" s="67">
        <f>+CD56+CD57+CD58</f>
        <v>2233647</v>
      </c>
      <c r="CE59" s="67">
        <f>+CE56+CE57+CE58</f>
        <v>200026</v>
      </c>
      <c r="CF59" s="67">
        <f>+CF56+CF57+CF58</f>
        <v>1676612</v>
      </c>
      <c r="CG59" s="60">
        <f>+CD59+CE59+CF59-'ER GA Cons Acum.'!C60</f>
        <v>0</v>
      </c>
      <c r="CH59" s="60">
        <f>+BW59+BY59+CA59-'ER GA Cons Acum.'!E60</f>
        <v>0</v>
      </c>
    </row>
    <row r="60" spans="2:86" s="56" customFormat="1" ht="16.5" hidden="1" customHeight="1">
      <c r="B60" s="77" t="s">
        <v>35</v>
      </c>
      <c r="C60" s="63">
        <v>145.26</v>
      </c>
      <c r="D60" s="63">
        <v>302.36</v>
      </c>
      <c r="E60" s="63">
        <v>90.97</v>
      </c>
      <c r="F60" s="63">
        <v>-44.45</v>
      </c>
      <c r="G60" s="55"/>
      <c r="H60" s="63">
        <v>32.159999999999997</v>
      </c>
      <c r="I60" s="63">
        <v>140.63999999999999</v>
      </c>
      <c r="J60" s="63">
        <v>63.76</v>
      </c>
      <c r="K60" s="63">
        <v>5.73</v>
      </c>
      <c r="L60" s="63" t="e">
        <f>+#REF!-J60-I60-H60</f>
        <v>#REF!</v>
      </c>
      <c r="N60" s="63">
        <v>32.159999999999997</v>
      </c>
      <c r="O60" s="63">
        <v>32.159999999999997</v>
      </c>
      <c r="P60" s="63">
        <v>32.159999999999997</v>
      </c>
      <c r="Q60" s="63">
        <v>32.159999999999997</v>
      </c>
      <c r="R60" s="63">
        <v>32.159999999999997</v>
      </c>
      <c r="S60" s="63">
        <v>32.159999999999997</v>
      </c>
      <c r="T60" s="63"/>
      <c r="U60" s="63"/>
      <c r="W60" s="63">
        <v>32.159999999999997</v>
      </c>
      <c r="X60" s="63">
        <v>32.159999999999997</v>
      </c>
      <c r="Y60" s="63">
        <v>32.159999999999997</v>
      </c>
      <c r="Z60" s="63">
        <v>32.159999999999997</v>
      </c>
      <c r="AA60" s="63">
        <v>32.159999999999997</v>
      </c>
      <c r="AB60" s="63">
        <v>32.159999999999997</v>
      </c>
      <c r="AC60" s="63">
        <v>32.159999999999997</v>
      </c>
      <c r="AD60" s="63">
        <v>32.159999999999997</v>
      </c>
      <c r="AE60" s="63"/>
      <c r="AF60" s="63">
        <v>32.159999999999997</v>
      </c>
      <c r="AG60" s="63">
        <v>32.159999999999997</v>
      </c>
      <c r="AH60" s="63">
        <v>32.159999999999997</v>
      </c>
      <c r="AI60" s="63">
        <v>32.159999999999997</v>
      </c>
      <c r="AJ60" s="63">
        <v>32.159999999999997</v>
      </c>
      <c r="AK60" s="63">
        <v>32.159999999999997</v>
      </c>
      <c r="AN60" s="63">
        <v>32.159999999999997</v>
      </c>
      <c r="AO60" s="63">
        <v>32.159999999999997</v>
      </c>
      <c r="AQ60" s="63">
        <v>32.159999999999997</v>
      </c>
      <c r="AR60" s="63">
        <v>32.159999999999997</v>
      </c>
      <c r="AS60" s="63">
        <v>32.159999999999997</v>
      </c>
      <c r="AT60" s="63">
        <v>32.159999999999997</v>
      </c>
      <c r="AU60" s="63">
        <v>32.159999999999997</v>
      </c>
      <c r="AV60" s="63">
        <v>32.159999999999997</v>
      </c>
      <c r="AX60" s="63">
        <v>32.159999999999997</v>
      </c>
      <c r="AY60" s="63">
        <v>32.159999999999997</v>
      </c>
      <c r="AZ60" s="63">
        <v>32.159999999999997</v>
      </c>
      <c r="BA60" s="63">
        <v>32.159999999999997</v>
      </c>
      <c r="BC60" s="63">
        <v>32.159999999999997</v>
      </c>
      <c r="BD60" s="63">
        <v>32.159999999999997</v>
      </c>
      <c r="BE60" s="63">
        <v>32.159999999999997</v>
      </c>
      <c r="BF60" s="63">
        <v>32.159999999999997</v>
      </c>
      <c r="BG60" s="63"/>
      <c r="BH60" s="63">
        <v>32.159999999999997</v>
      </c>
      <c r="BI60" s="63">
        <v>32.159999999999997</v>
      </c>
      <c r="BJ60" s="63">
        <v>32.159999999999997</v>
      </c>
      <c r="BK60" s="63">
        <v>32.159999999999997</v>
      </c>
      <c r="BL60" s="60"/>
      <c r="BM60" s="63">
        <v>32.159999999999997</v>
      </c>
      <c r="BN60" s="63">
        <v>32.159999999999997</v>
      </c>
      <c r="BO60" s="63">
        <v>32.159999999999997</v>
      </c>
      <c r="BP60" s="63">
        <v>32.159999999999997</v>
      </c>
      <c r="BQ60" s="63">
        <v>32.159999999999997</v>
      </c>
      <c r="BR60" s="63">
        <v>32.159999999999997</v>
      </c>
      <c r="BS60" s="63">
        <v>32.159999999999997</v>
      </c>
      <c r="BT60" s="63">
        <v>32.159999999999997</v>
      </c>
      <c r="BU60" s="63"/>
      <c r="BV60" s="63">
        <v>32.159999999999997</v>
      </c>
      <c r="BW60" s="63">
        <v>32.159999999999997</v>
      </c>
      <c r="BX60" s="63">
        <v>32.159999999999997</v>
      </c>
      <c r="BY60" s="63">
        <v>32.159999999999997</v>
      </c>
      <c r="BZ60" s="63"/>
      <c r="CA60" s="63"/>
      <c r="CB60" s="63"/>
      <c r="CC60" s="63"/>
      <c r="CD60" s="63">
        <v>32.159999999999997</v>
      </c>
      <c r="CE60" s="63">
        <v>32.159999999999997</v>
      </c>
      <c r="CF60" s="63">
        <v>32.159999999999997</v>
      </c>
      <c r="CG60" s="60">
        <f>+BM60+BO60+BQ60-'ER GA Cons Acum.'!C61</f>
        <v>96.019963848814157</v>
      </c>
      <c r="CH60" s="60">
        <f>+BH60+BI60-'ER GA Cons Acum.'!E58</f>
        <v>-5484743.6799999997</v>
      </c>
    </row>
    <row r="61" spans="2:86" s="99" customFormat="1" ht="16.5" customHeight="1">
      <c r="B61" s="79" t="s">
        <v>153</v>
      </c>
      <c r="C61" s="80">
        <f t="shared" ref="C61:U61" si="239">+C59/C10</f>
        <v>0.1278350470499722</v>
      </c>
      <c r="D61" s="80">
        <f t="shared" si="239"/>
        <v>0.22324543577931458</v>
      </c>
      <c r="E61" s="80">
        <f t="shared" si="239"/>
        <v>7.965341891509721E-2</v>
      </c>
      <c r="F61" s="80">
        <f t="shared" si="239"/>
        <v>-4.8955822877770769E-2</v>
      </c>
      <c r="G61" s="80" t="e">
        <f t="shared" si="239"/>
        <v>#DIV/0!</v>
      </c>
      <c r="H61" s="80">
        <f t="shared" si="239"/>
        <v>3.4758400218172725E-2</v>
      </c>
      <c r="I61" s="80">
        <f t="shared" si="239"/>
        <v>0.12438598097948995</v>
      </c>
      <c r="J61" s="80">
        <f t="shared" si="239"/>
        <v>5.8761215555640643E-2</v>
      </c>
      <c r="K61" s="80">
        <f t="shared" si="239"/>
        <v>2.0996537286456112E-3</v>
      </c>
      <c r="L61" s="80">
        <f t="shared" si="239"/>
        <v>3.3279705607799233E-3</v>
      </c>
      <c r="M61" s="80" t="e">
        <f t="shared" si="239"/>
        <v>#DIV/0!</v>
      </c>
      <c r="N61" s="80">
        <f t="shared" si="239"/>
        <v>5.6198600982758702E-2</v>
      </c>
      <c r="O61" s="80">
        <f t="shared" si="239"/>
        <v>5.331610030611298E-2</v>
      </c>
      <c r="P61" s="80">
        <f t="shared" si="239"/>
        <v>0.10632369744731479</v>
      </c>
      <c r="Q61" s="80">
        <f t="shared" si="239"/>
        <v>0.10894557286449681</v>
      </c>
      <c r="R61" s="80">
        <f t="shared" si="239"/>
        <v>8.6430008610344014E-2</v>
      </c>
      <c r="S61" s="80">
        <f t="shared" si="239"/>
        <v>9.646637884889156E-2</v>
      </c>
      <c r="T61" s="80">
        <f t="shared" si="239"/>
        <v>6.7511733472840507E-2</v>
      </c>
      <c r="U61" s="80">
        <f t="shared" si="239"/>
        <v>5.8964382001954911E-2</v>
      </c>
      <c r="W61" s="80">
        <f t="shared" ref="W61:AD61" si="240">+W59/W10</f>
        <v>4.3133342904818725E-2</v>
      </c>
      <c r="X61" s="80">
        <f t="shared" si="240"/>
        <v>4.3133342904818725E-2</v>
      </c>
      <c r="Y61" s="80">
        <f t="shared" si="240"/>
        <v>6.0431967054244543E-2</v>
      </c>
      <c r="Z61" s="80">
        <f t="shared" si="240"/>
        <v>6.0431406065355769E-2</v>
      </c>
      <c r="AA61" s="80">
        <f t="shared" si="240"/>
        <v>0.11106968398260519</v>
      </c>
      <c r="AB61" s="80">
        <f t="shared" si="240"/>
        <v>0.11107020317798075</v>
      </c>
      <c r="AC61" s="80">
        <f t="shared" si="240"/>
        <v>2.6417427826383344E-2</v>
      </c>
      <c r="AD61" s="80">
        <f t="shared" si="240"/>
        <v>2.6417970936717532E-2</v>
      </c>
      <c r="AE61" s="80"/>
      <c r="AF61" s="80">
        <f t="shared" ref="AF61:AK61" si="241">+AF59/AF10</f>
        <v>6.6775087855598436E-2</v>
      </c>
      <c r="AG61" s="80">
        <f t="shared" si="241"/>
        <v>6.6827148640609055E-2</v>
      </c>
      <c r="AH61" s="80">
        <f t="shared" si="241"/>
        <v>6.4347227482714098E-2</v>
      </c>
      <c r="AI61" s="80">
        <f t="shared" si="241"/>
        <v>6.4431019104718573E-2</v>
      </c>
      <c r="AJ61" s="80">
        <f t="shared" si="241"/>
        <v>0.11270278337724648</v>
      </c>
      <c r="AK61" s="80">
        <f t="shared" si="241"/>
        <v>0.11282151604849409</v>
      </c>
      <c r="AN61" s="80">
        <f>+AN59/AN10</f>
        <v>8.8114959119450706E-2</v>
      </c>
      <c r="AO61" s="80">
        <f>+AO59/AO10</f>
        <v>8.8308628985573123E-2</v>
      </c>
      <c r="AQ61" s="80">
        <f t="shared" ref="AQ61:AV61" si="242">+AQ59/AQ10</f>
        <v>6.0000816915306308E-2</v>
      </c>
      <c r="AR61" s="80">
        <f t="shared" si="242"/>
        <v>6.0104379547896797E-2</v>
      </c>
      <c r="AS61" s="80">
        <f t="shared" si="242"/>
        <v>5.6853062478403424E-2</v>
      </c>
      <c r="AT61" s="80">
        <f t="shared" si="242"/>
        <v>5.6059560793043917E-2</v>
      </c>
      <c r="AU61" s="80">
        <f t="shared" si="242"/>
        <v>9.8813681844379747E-2</v>
      </c>
      <c r="AV61" s="80">
        <f t="shared" si="242"/>
        <v>7.5315595497771518E-2</v>
      </c>
      <c r="AX61" s="80">
        <f>+AX59/AX10</f>
        <v>7.2944110015482127E-3</v>
      </c>
      <c r="AY61" s="80">
        <f>+AY59/AY10</f>
        <v>1.8481324402760468E-2</v>
      </c>
      <c r="AZ61" s="80">
        <f>+AZ59/AZ10</f>
        <v>2.2538632484473742E-2</v>
      </c>
      <c r="BA61" s="80">
        <f>+BA59/BA10</f>
        <v>-3.3825081122864048E-3</v>
      </c>
      <c r="BC61" s="80">
        <f>+BC59/BC10</f>
        <v>5.1054724145154558E-2</v>
      </c>
      <c r="BD61" s="80">
        <f>+BD59/BD10</f>
        <v>9.7455833969101666E-2</v>
      </c>
      <c r="BE61" s="80">
        <f>+BE59/BE10</f>
        <v>9.1039907275450957E-2</v>
      </c>
      <c r="BF61" s="80">
        <f>+BF59/BF10</f>
        <v>5.6011795945301673E-2</v>
      </c>
      <c r="BG61" s="80"/>
      <c r="BH61" s="80">
        <f>+BH59/BH10</f>
        <v>6.825899434012607E-2</v>
      </c>
      <c r="BI61" s="80">
        <f>+BI59/BI10</f>
        <v>6.970376337149202E-2</v>
      </c>
      <c r="BJ61" s="80">
        <f>+BJ59/BJ10</f>
        <v>6.4096542013865276E-2</v>
      </c>
      <c r="BK61" s="80">
        <f>+BK59/BK10</f>
        <v>6.7626873670250762E-2</v>
      </c>
      <c r="BL61" s="60"/>
      <c r="BM61" s="80">
        <f t="shared" ref="BM61:BT61" si="243">+BM59/BM10</f>
        <v>9.9244495511934663E-2</v>
      </c>
      <c r="BN61" s="80">
        <f t="shared" si="243"/>
        <v>0.15144588787824617</v>
      </c>
      <c r="BO61" s="80">
        <f t="shared" si="243"/>
        <v>7.1702702977522514E-2</v>
      </c>
      <c r="BP61" s="80">
        <f t="shared" si="243"/>
        <v>0.1036836113103636</v>
      </c>
      <c r="BQ61" s="80">
        <f t="shared" si="243"/>
        <v>7.5834494654482276E-2</v>
      </c>
      <c r="BR61" s="80">
        <f t="shared" si="243"/>
        <v>0.11949812783544859</v>
      </c>
      <c r="BS61" s="80">
        <f t="shared" si="243"/>
        <v>1.1428033753758378E-2</v>
      </c>
      <c r="BT61" s="80">
        <f t="shared" si="243"/>
        <v>1.6302478496352611E-2</v>
      </c>
      <c r="BU61" s="80"/>
      <c r="BV61" s="80">
        <f t="shared" ref="BV61:CB61" si="244">+BV59/BV10</f>
        <v>1.4343007567902013</v>
      </c>
      <c r="BW61" s="80">
        <f t="shared" si="244"/>
        <v>2.3949170825965802</v>
      </c>
      <c r="BX61" s="80">
        <f t="shared" si="244"/>
        <v>9.136933226366406E-2</v>
      </c>
      <c r="BY61" s="80">
        <f t="shared" si="244"/>
        <v>9.7953452456081086E-2</v>
      </c>
      <c r="BZ61" s="80">
        <f t="shared" si="244"/>
        <v>0.14910140332189703</v>
      </c>
      <c r="CA61" s="80">
        <f t="shared" si="244"/>
        <v>0.16754395017237891</v>
      </c>
      <c r="CB61" s="80">
        <f t="shared" si="244"/>
        <v>8.4782836098753048E-2</v>
      </c>
      <c r="CC61" s="80"/>
      <c r="CD61" s="80">
        <f>+CD59/CD10</f>
        <v>0.76939295498064331</v>
      </c>
      <c r="CE61" s="80">
        <f>+CE59/CE10</f>
        <v>7.439943285245311E-2</v>
      </c>
      <c r="CF61" s="80">
        <f>+CF59/CF10</f>
        <v>0.50152481477127475</v>
      </c>
      <c r="CG61" s="60"/>
      <c r="CH61" s="60"/>
    </row>
    <row r="62" spans="2:86" ht="6" customHeight="1">
      <c r="B62" s="100"/>
      <c r="C62" s="101"/>
      <c r="D62" s="102"/>
      <c r="E62" s="102"/>
      <c r="F62" s="102"/>
      <c r="G62" s="55"/>
      <c r="H62" s="102"/>
      <c r="I62" s="102"/>
      <c r="J62" s="102"/>
      <c r="K62" s="102"/>
      <c r="L62" s="102"/>
      <c r="N62" s="102"/>
      <c r="O62" s="102"/>
      <c r="P62" s="102"/>
      <c r="Q62" s="102"/>
      <c r="R62" s="102"/>
      <c r="S62" s="102"/>
      <c r="T62" s="102"/>
      <c r="U62" s="102"/>
      <c r="W62" s="102"/>
      <c r="X62" s="102"/>
      <c r="Y62" s="102"/>
      <c r="Z62" s="102"/>
      <c r="AA62" s="102"/>
      <c r="AB62" s="102"/>
      <c r="AC62" s="102"/>
      <c r="AD62" s="102"/>
      <c r="AE62" s="102"/>
      <c r="AF62" s="102"/>
      <c r="AG62" s="102"/>
      <c r="AH62" s="102"/>
      <c r="AI62" s="102"/>
      <c r="AJ62" s="102"/>
      <c r="AK62" s="102"/>
      <c r="AN62" s="102"/>
      <c r="AO62" s="102"/>
      <c r="AQ62" s="102"/>
      <c r="AR62" s="102"/>
      <c r="AS62" s="102"/>
      <c r="AT62" s="102"/>
      <c r="AU62" s="102"/>
      <c r="AV62" s="102"/>
      <c r="AX62" s="102"/>
      <c r="AY62" s="102"/>
      <c r="AZ62" s="102"/>
      <c r="BA62" s="102"/>
      <c r="BC62" s="102"/>
      <c r="BD62" s="102"/>
      <c r="BE62" s="102"/>
      <c r="BF62" s="102"/>
      <c r="BG62" s="102"/>
      <c r="BH62" s="102"/>
      <c r="BI62" s="102"/>
      <c r="BJ62" s="102"/>
      <c r="BK62" s="102"/>
      <c r="BL62" s="60"/>
      <c r="BM62" s="102"/>
      <c r="BN62" s="102"/>
      <c r="BO62" s="102"/>
      <c r="BP62" s="102"/>
      <c r="BQ62" s="102"/>
      <c r="BR62" s="102"/>
      <c r="BS62" s="102"/>
      <c r="BT62" s="102"/>
      <c r="BU62" s="102"/>
      <c r="BV62" s="102"/>
      <c r="BW62" s="102"/>
      <c r="BX62" s="102"/>
      <c r="BY62" s="102"/>
      <c r="BZ62" s="102"/>
      <c r="CA62" s="102"/>
      <c r="CB62" s="102"/>
      <c r="CC62" s="102"/>
      <c r="CD62" s="102"/>
      <c r="CE62" s="102"/>
      <c r="CF62" s="102"/>
      <c r="CG62" s="60"/>
      <c r="CH62" s="60"/>
    </row>
    <row r="63" spans="2:86" ht="16.5" customHeight="1">
      <c r="B63" s="56" t="s">
        <v>154</v>
      </c>
      <c r="C63" s="69"/>
      <c r="D63" s="103"/>
      <c r="E63" s="103"/>
      <c r="F63" s="103"/>
      <c r="G63" s="55"/>
      <c r="H63" s="103"/>
      <c r="I63" s="103"/>
      <c r="J63" s="103"/>
      <c r="K63" s="103"/>
      <c r="L63" s="103"/>
      <c r="N63" s="103"/>
      <c r="O63" s="103"/>
      <c r="P63" s="103"/>
      <c r="Q63" s="103"/>
      <c r="R63" s="103"/>
      <c r="S63" s="103"/>
      <c r="T63" s="103"/>
      <c r="U63" s="103"/>
      <c r="W63" s="103"/>
      <c r="X63" s="103"/>
      <c r="Y63" s="103"/>
      <c r="Z63" s="103"/>
      <c r="AA63" s="103"/>
      <c r="AB63" s="103"/>
      <c r="AC63" s="103"/>
      <c r="AD63" s="103"/>
      <c r="AE63" s="103"/>
      <c r="AF63" s="103"/>
      <c r="AG63" s="103"/>
      <c r="AH63" s="103"/>
      <c r="AI63" s="103"/>
      <c r="AJ63" s="103"/>
      <c r="AK63" s="103"/>
      <c r="AN63" s="103"/>
      <c r="AO63" s="103"/>
      <c r="AQ63" s="103"/>
      <c r="AR63" s="103"/>
      <c r="AS63" s="103"/>
      <c r="AT63" s="103"/>
      <c r="AU63" s="103"/>
      <c r="AV63" s="103"/>
      <c r="AX63" s="103"/>
      <c r="AY63" s="103"/>
      <c r="AZ63" s="103"/>
      <c r="BA63" s="103"/>
      <c r="BC63" s="103"/>
      <c r="BD63" s="103"/>
      <c r="BE63" s="103"/>
      <c r="BF63" s="103"/>
      <c r="BG63" s="103"/>
      <c r="BH63" s="103"/>
      <c r="BI63" s="103"/>
      <c r="BJ63" s="103"/>
      <c r="BK63" s="103"/>
      <c r="BL63" s="60"/>
      <c r="BM63" s="103"/>
      <c r="BN63" s="103"/>
      <c r="BO63" s="103"/>
      <c r="BP63" s="103"/>
      <c r="BQ63" s="103"/>
      <c r="BR63" s="103"/>
      <c r="BS63" s="103"/>
      <c r="BT63" s="103"/>
      <c r="BU63" s="103"/>
      <c r="BV63" s="103"/>
      <c r="BW63" s="103"/>
      <c r="BX63" s="103">
        <v>336662</v>
      </c>
      <c r="BY63" s="103"/>
      <c r="BZ63" s="103">
        <v>493558</v>
      </c>
      <c r="CA63" s="103"/>
      <c r="CB63" s="103"/>
      <c r="CC63" s="103"/>
      <c r="CD63" s="103"/>
      <c r="CE63" s="103"/>
      <c r="CF63" s="103"/>
      <c r="CG63" s="60"/>
      <c r="CH63" s="60"/>
    </row>
    <row r="64" spans="2:86" ht="16.5" customHeight="1">
      <c r="B64" s="92" t="s">
        <v>65</v>
      </c>
      <c r="C64" s="68">
        <v>134785</v>
      </c>
      <c r="D64" s="22">
        <v>153256</v>
      </c>
      <c r="E64" s="22">
        <f>72638-1</f>
        <v>72637</v>
      </c>
      <c r="F64" s="22">
        <v>48626</v>
      </c>
      <c r="G64" s="55"/>
      <c r="H64" s="22">
        <v>40116</v>
      </c>
      <c r="I64" s="22">
        <f>112642+1</f>
        <v>112643</v>
      </c>
      <c r="J64" s="22">
        <v>105978</v>
      </c>
      <c r="K64" s="22">
        <v>83418</v>
      </c>
      <c r="L64" s="22">
        <v>62752</v>
      </c>
      <c r="N64" s="22">
        <v>116044</v>
      </c>
      <c r="O64" s="22">
        <v>109607</v>
      </c>
      <c r="P64" s="22">
        <v>220642</v>
      </c>
      <c r="Q64" s="22">
        <f>222491</f>
        <v>222491</v>
      </c>
      <c r="R64" s="22">
        <v>153839</v>
      </c>
      <c r="S64" s="22">
        <v>170606</v>
      </c>
      <c r="T64" s="22">
        <v>52011</v>
      </c>
      <c r="U64" s="22">
        <v>39832</v>
      </c>
      <c r="W64" s="22">
        <v>24127</v>
      </c>
      <c r="X64" s="22">
        <v>24127</v>
      </c>
      <c r="Y64" s="22">
        <v>109632</v>
      </c>
      <c r="Z64" s="22">
        <v>109632</v>
      </c>
      <c r="AA64" s="22">
        <f>111719-1</f>
        <v>111718</v>
      </c>
      <c r="AB64" s="22">
        <f>111719-1</f>
        <v>111718</v>
      </c>
      <c r="AC64" s="22">
        <v>50447</v>
      </c>
      <c r="AD64" s="22">
        <v>50447</v>
      </c>
      <c r="AE64" s="22"/>
      <c r="AF64" s="22">
        <v>111597</v>
      </c>
      <c r="AG64" s="22">
        <v>111597</v>
      </c>
      <c r="AH64" s="22">
        <v>113642</v>
      </c>
      <c r="AI64" s="22">
        <v>113642</v>
      </c>
      <c r="AJ64" s="22">
        <v>144321</v>
      </c>
      <c r="AK64" s="22">
        <v>144321</v>
      </c>
      <c r="AN64" s="22">
        <f>153229+1+1</f>
        <v>153231</v>
      </c>
      <c r="AO64" s="22">
        <f>153229+1+1</f>
        <v>153231</v>
      </c>
      <c r="AQ64" s="22">
        <f>79049-1</f>
        <v>79048</v>
      </c>
      <c r="AR64" s="22">
        <f>79049</f>
        <v>79049</v>
      </c>
      <c r="AS64" s="22">
        <f>98904-1</f>
        <v>98903</v>
      </c>
      <c r="AT64" s="22">
        <f>98904-1-1</f>
        <v>98902</v>
      </c>
      <c r="AU64" s="22">
        <f>215165+1</f>
        <v>215166</v>
      </c>
      <c r="AV64" s="22">
        <v>173455</v>
      </c>
      <c r="AX64" s="22">
        <v>58564</v>
      </c>
      <c r="AY64" s="22">
        <f>52227+1</f>
        <v>52228</v>
      </c>
      <c r="AZ64" s="22">
        <f>70975-1</f>
        <v>70974</v>
      </c>
      <c r="BA64" s="22">
        <v>72192</v>
      </c>
      <c r="BC64" s="22">
        <v>116699</v>
      </c>
      <c r="BD64" s="22">
        <f>180927-1</f>
        <v>180926</v>
      </c>
      <c r="BE64" s="22">
        <f>163287+1</f>
        <v>163288</v>
      </c>
      <c r="BF64" s="22">
        <v>155321</v>
      </c>
      <c r="BG64" s="22"/>
      <c r="BH64" s="22">
        <v>153519</v>
      </c>
      <c r="BI64" s="22">
        <v>181686</v>
      </c>
      <c r="BJ64" s="22">
        <v>134154</v>
      </c>
      <c r="BK64" s="22">
        <f>89557+1</f>
        <v>89558</v>
      </c>
      <c r="BL64" s="60"/>
      <c r="BM64" s="22">
        <v>164192</v>
      </c>
      <c r="BN64" s="22">
        <v>164192</v>
      </c>
      <c r="BO64" s="22">
        <f>145813-1</f>
        <v>145812</v>
      </c>
      <c r="BP64" s="22">
        <f>145813</f>
        <v>145813</v>
      </c>
      <c r="BQ64" s="22">
        <f>177595+1</f>
        <v>177596</v>
      </c>
      <c r="BR64" s="22">
        <f>177595</f>
        <v>177595</v>
      </c>
      <c r="BS64" s="22">
        <v>56895</v>
      </c>
      <c r="BT64" s="22">
        <v>56895</v>
      </c>
      <c r="BU64" s="22"/>
      <c r="BV64" s="22">
        <v>2718674</v>
      </c>
      <c r="BW64" s="22">
        <v>2718674</v>
      </c>
      <c r="BX64" s="22">
        <f>147708-1</f>
        <v>147707</v>
      </c>
      <c r="BY64" s="22">
        <f>147708-1</f>
        <v>147707</v>
      </c>
      <c r="BZ64" s="22">
        <f>161937+1</f>
        <v>161938</v>
      </c>
      <c r="CA64" s="22">
        <f>161937</f>
        <v>161937</v>
      </c>
      <c r="CB64" s="22">
        <f>74062-1</f>
        <v>74061</v>
      </c>
      <c r="CC64" s="22"/>
      <c r="CD64" s="22">
        <v>1047849</v>
      </c>
      <c r="CE64" s="22">
        <f>161140+1</f>
        <v>161141</v>
      </c>
      <c r="CF64" s="22">
        <v>257544</v>
      </c>
      <c r="CG64" s="60">
        <f>+CD64+CE64+CF64-'ER GA Cons Acum.'!C64</f>
        <v>0</v>
      </c>
      <c r="CH64" s="60">
        <f>+BW64+BY64+CA64-'ER GA Cons Acum.'!E64</f>
        <v>0</v>
      </c>
    </row>
    <row r="65" spans="2:86" ht="17.25" customHeight="1">
      <c r="B65" s="104" t="s">
        <v>155</v>
      </c>
      <c r="C65" s="105">
        <f>+C59-C64</f>
        <v>158312</v>
      </c>
      <c r="D65" s="105">
        <f>+D59-D64</f>
        <v>414937.79061002983</v>
      </c>
      <c r="E65" s="105">
        <f>+E59-E64</f>
        <v>105368</v>
      </c>
      <c r="F65" s="105">
        <f>+F59-F64</f>
        <v>-157485</v>
      </c>
      <c r="G65" s="58"/>
      <c r="H65" s="105">
        <f>+H59-H64</f>
        <v>51650</v>
      </c>
      <c r="I65" s="105">
        <f t="shared" ref="I65:L65" si="245">+I59-I64</f>
        <v>241841</v>
      </c>
      <c r="J65" s="105">
        <f t="shared" si="245"/>
        <v>82786</v>
      </c>
      <c r="K65" s="105">
        <f t="shared" si="245"/>
        <v>-75277</v>
      </c>
      <c r="L65" s="105">
        <f t="shared" si="245"/>
        <v>-49447</v>
      </c>
      <c r="N65" s="105">
        <f t="shared" ref="N65:U65" si="246">+N59-N64</f>
        <v>111905</v>
      </c>
      <c r="O65" s="105">
        <f t="shared" si="246"/>
        <v>105930</v>
      </c>
      <c r="P65" s="105">
        <f t="shared" si="246"/>
        <v>140395</v>
      </c>
      <c r="Q65" s="105">
        <f t="shared" si="246"/>
        <v>146222</v>
      </c>
      <c r="R65" s="105">
        <f t="shared" si="246"/>
        <v>136759</v>
      </c>
      <c r="S65" s="105">
        <f t="shared" si="246"/>
        <v>157565</v>
      </c>
      <c r="T65" s="105">
        <f t="shared" si="246"/>
        <v>200407</v>
      </c>
      <c r="U65" s="105">
        <f t="shared" si="246"/>
        <v>179749</v>
      </c>
      <c r="W65" s="105">
        <f t="shared" ref="W65:AD65" si="247">+W59-W64</f>
        <v>120680</v>
      </c>
      <c r="X65" s="105">
        <f t="shared" si="247"/>
        <v>120680</v>
      </c>
      <c r="Y65" s="105">
        <f t="shared" si="247"/>
        <v>105816</v>
      </c>
      <c r="Z65" s="105">
        <f t="shared" si="247"/>
        <v>105814</v>
      </c>
      <c r="AA65" s="105">
        <f t="shared" si="247"/>
        <v>339896</v>
      </c>
      <c r="AB65" s="105">
        <f t="shared" si="247"/>
        <v>339898</v>
      </c>
      <c r="AC65" s="105">
        <f t="shared" si="247"/>
        <v>44265</v>
      </c>
      <c r="AD65" s="105">
        <f t="shared" si="247"/>
        <v>44267</v>
      </c>
      <c r="AE65" s="106"/>
      <c r="AF65" s="105">
        <f t="shared" ref="AF65:AK65" si="248">+AF59-AF64</f>
        <v>109465</v>
      </c>
      <c r="AG65" s="105">
        <f t="shared" si="248"/>
        <v>109464</v>
      </c>
      <c r="AH65" s="105">
        <f t="shared" si="248"/>
        <v>119109</v>
      </c>
      <c r="AI65" s="105">
        <f t="shared" si="248"/>
        <v>119109</v>
      </c>
      <c r="AJ65" s="105">
        <f t="shared" si="248"/>
        <v>265719</v>
      </c>
      <c r="AK65" s="105">
        <f t="shared" si="248"/>
        <v>265720</v>
      </c>
      <c r="AN65" s="105">
        <f t="shared" ref="AN65:AO65" si="249">+AN59-AN64</f>
        <v>177034</v>
      </c>
      <c r="AO65" s="105">
        <f t="shared" si="249"/>
        <v>177034</v>
      </c>
      <c r="AQ65" s="105">
        <f t="shared" ref="AQ65:AV65" si="250">+AQ59-AQ64</f>
        <v>144234</v>
      </c>
      <c r="AR65" s="105">
        <f t="shared" si="250"/>
        <v>144233</v>
      </c>
      <c r="AS65" s="105">
        <f t="shared" si="250"/>
        <v>120582</v>
      </c>
      <c r="AT65" s="105">
        <f t="shared" si="250"/>
        <v>120582</v>
      </c>
      <c r="AU65" s="105">
        <f t="shared" si="250"/>
        <v>301401</v>
      </c>
      <c r="AV65" s="105">
        <f t="shared" si="250"/>
        <v>123349</v>
      </c>
      <c r="AX65" s="105">
        <f t="shared" ref="AX65:BA65" si="251">+AX59-AX64</f>
        <v>-32189</v>
      </c>
      <c r="AY65" s="105">
        <f t="shared" si="251"/>
        <v>9607</v>
      </c>
      <c r="AZ65" s="105">
        <f t="shared" si="251"/>
        <v>6856</v>
      </c>
      <c r="BA65" s="105">
        <f t="shared" si="251"/>
        <v>-84287</v>
      </c>
      <c r="BC65" s="105">
        <f t="shared" ref="BC65:BF65" si="252">+BC59-BC64</f>
        <v>73889</v>
      </c>
      <c r="BD65" s="105">
        <f t="shared" si="252"/>
        <v>211492</v>
      </c>
      <c r="BE65" s="105">
        <f t="shared" si="252"/>
        <v>211379</v>
      </c>
      <c r="BF65" s="105">
        <f t="shared" si="252"/>
        <v>93039</v>
      </c>
      <c r="BG65" s="106"/>
      <c r="BH65" s="105">
        <f t="shared" ref="BH65:BJ65" si="253">+BH59-BH64</f>
        <v>161408</v>
      </c>
      <c r="BI65" s="105">
        <f t="shared" si="253"/>
        <v>229433</v>
      </c>
      <c r="BJ65" s="105">
        <f t="shared" si="253"/>
        <v>191976</v>
      </c>
      <c r="BK65" s="105">
        <f t="shared" ref="BK65:BM65" si="254">+BK59-BK64</f>
        <v>298607</v>
      </c>
      <c r="BL65" s="60"/>
      <c r="BM65" s="105">
        <f t="shared" si="254"/>
        <v>405958</v>
      </c>
      <c r="BN65" s="105">
        <f t="shared" ref="BN65" si="255">+BN59-BN64</f>
        <v>405958</v>
      </c>
      <c r="BO65" s="105">
        <f t="shared" ref="BO65:BQ65" si="256">+BO59-BO64</f>
        <v>312540</v>
      </c>
      <c r="BP65" s="105">
        <f t="shared" ref="BP65" si="257">+BP59-BP64</f>
        <v>312540</v>
      </c>
      <c r="BQ65" s="105">
        <f t="shared" si="256"/>
        <v>189772</v>
      </c>
      <c r="BR65" s="105">
        <f t="shared" ref="BR65" si="258">+BR59-BR64</f>
        <v>189772</v>
      </c>
      <c r="BS65" s="105">
        <f t="shared" ref="BS65:BT65" si="259">+BS59-BS64</f>
        <v>7233</v>
      </c>
      <c r="BT65" s="105">
        <f t="shared" si="259"/>
        <v>7233</v>
      </c>
      <c r="BU65" s="106"/>
      <c r="BV65" s="105">
        <f t="shared" ref="BV65:BZ65" si="260">+BV59-BV64</f>
        <v>3790725</v>
      </c>
      <c r="BW65" s="105">
        <f t="shared" ref="BW65" si="261">+BW59-BW64</f>
        <v>3790725</v>
      </c>
      <c r="BX65" s="105">
        <f t="shared" si="260"/>
        <v>188955</v>
      </c>
      <c r="BY65" s="105">
        <f t="shared" ref="BY65" si="262">+BY59-BY64</f>
        <v>188955</v>
      </c>
      <c r="BZ65" s="105">
        <f t="shared" si="260"/>
        <v>331620</v>
      </c>
      <c r="CA65" s="105">
        <f t="shared" ref="CA65" si="263">+CA59-CA64</f>
        <v>331620</v>
      </c>
      <c r="CB65" s="105">
        <f t="shared" ref="CB65" si="264">+CB59-CB64</f>
        <v>233119</v>
      </c>
      <c r="CC65" s="106"/>
      <c r="CD65" s="105">
        <f t="shared" ref="CD65:CE65" si="265">+CD59-CD64</f>
        <v>1185798</v>
      </c>
      <c r="CE65" s="105">
        <f t="shared" si="265"/>
        <v>38885</v>
      </c>
      <c r="CF65" s="105">
        <f t="shared" ref="CF65" si="266">+CF59-CF64</f>
        <v>1419068</v>
      </c>
      <c r="CG65" s="60">
        <f>+CD65+CE65+CF65-'ER GA Cons Acum.'!C65</f>
        <v>0</v>
      </c>
      <c r="CH65" s="60">
        <f>+BW65+BY65+CA65-'ER GA Cons Acum.'!E65</f>
        <v>0</v>
      </c>
    </row>
    <row r="66" spans="2:86" ht="17.25" hidden="1" customHeight="1">
      <c r="B66" s="107" t="s">
        <v>35</v>
      </c>
      <c r="C66" s="62">
        <v>78.400000000000006</v>
      </c>
      <c r="D66" s="62">
        <v>221.01</v>
      </c>
      <c r="E66" s="62">
        <v>53.6</v>
      </c>
      <c r="F66" s="62">
        <v>-41.9</v>
      </c>
      <c r="G66" s="58"/>
      <c r="H66" s="62">
        <v>17.36</v>
      </c>
      <c r="I66" s="62">
        <v>95.76</v>
      </c>
      <c r="J66" s="62">
        <v>27.22</v>
      </c>
      <c r="K66" s="62">
        <v>-22.77</v>
      </c>
      <c r="L66" s="62" t="e">
        <f>+#REF!-J66-I66-H66</f>
        <v>#REF!</v>
      </c>
      <c r="M66" s="60"/>
      <c r="N66" s="62">
        <v>17.36</v>
      </c>
      <c r="O66" s="62">
        <v>17.36</v>
      </c>
      <c r="P66" s="62">
        <v>17.36</v>
      </c>
      <c r="Q66" s="62">
        <v>17.36</v>
      </c>
      <c r="R66" s="62">
        <v>17.36</v>
      </c>
      <c r="S66" s="62">
        <v>17.36</v>
      </c>
      <c r="T66" s="62"/>
      <c r="U66" s="62"/>
      <c r="W66" s="62">
        <v>17.36</v>
      </c>
      <c r="X66" s="62">
        <v>17.36</v>
      </c>
      <c r="Y66" s="62">
        <v>17.36</v>
      </c>
      <c r="Z66" s="62">
        <v>17.36</v>
      </c>
      <c r="AA66" s="62">
        <v>17.36</v>
      </c>
      <c r="AB66" s="62">
        <v>17.36</v>
      </c>
      <c r="AC66" s="62">
        <v>17.36</v>
      </c>
      <c r="AD66" s="62">
        <v>17.36</v>
      </c>
      <c r="AE66" s="63"/>
      <c r="AF66" s="62">
        <v>17.36</v>
      </c>
      <c r="AG66" s="62">
        <v>17.36</v>
      </c>
      <c r="AH66" s="62">
        <v>17.36</v>
      </c>
      <c r="AI66" s="62">
        <v>17.36</v>
      </c>
      <c r="AJ66" s="62">
        <v>17.36</v>
      </c>
      <c r="AK66" s="62">
        <v>17.36</v>
      </c>
      <c r="AN66" s="62">
        <v>17.36</v>
      </c>
      <c r="AO66" s="62">
        <v>17.36</v>
      </c>
      <c r="AQ66" s="62">
        <v>17.36</v>
      </c>
      <c r="AR66" s="62">
        <v>17.36</v>
      </c>
      <c r="AS66" s="62">
        <v>17.36</v>
      </c>
      <c r="AT66" s="62">
        <v>17.36</v>
      </c>
      <c r="AU66" s="62">
        <v>17.36</v>
      </c>
      <c r="AV66" s="62">
        <v>17.36</v>
      </c>
      <c r="AX66" s="62">
        <v>17.36</v>
      </c>
      <c r="AY66" s="62">
        <v>17.36</v>
      </c>
      <c r="AZ66" s="62">
        <v>17.36</v>
      </c>
      <c r="BA66" s="62">
        <v>17.36</v>
      </c>
      <c r="BC66" s="62">
        <v>17.36</v>
      </c>
      <c r="BD66" s="62">
        <v>17.36</v>
      </c>
      <c r="BE66" s="62">
        <v>17.36</v>
      </c>
      <c r="BF66" s="62">
        <v>17.36</v>
      </c>
      <c r="BG66" s="63"/>
      <c r="BH66" s="62">
        <v>17.36</v>
      </c>
      <c r="BI66" s="62"/>
      <c r="BJ66" s="62"/>
      <c r="BK66" s="62"/>
      <c r="BM66" s="62"/>
      <c r="BN66" s="62"/>
      <c r="BO66" s="62"/>
      <c r="BP66" s="62"/>
      <c r="BQ66" s="62"/>
      <c r="BR66" s="62"/>
      <c r="BS66" s="62"/>
      <c r="BT66" s="62"/>
      <c r="BU66" s="63"/>
      <c r="BV66" s="62"/>
      <c r="BW66" s="62"/>
      <c r="BX66" s="62"/>
      <c r="BY66" s="62"/>
      <c r="BZ66" s="62"/>
      <c r="CA66" s="62"/>
      <c r="CB66" s="62"/>
      <c r="CC66" s="63"/>
      <c r="CD66" s="62"/>
      <c r="CE66" s="62"/>
      <c r="CF66" s="62"/>
    </row>
    <row r="67" spans="2:86" s="99" customFormat="1" ht="16.5" customHeight="1">
      <c r="B67" s="108" t="s">
        <v>156</v>
      </c>
      <c r="C67" s="90">
        <f>+C65/C$10</f>
        <v>6.9048205776842467E-2</v>
      </c>
      <c r="D67" s="90">
        <f>+D65/D$10</f>
        <v>0.1630305881846906</v>
      </c>
      <c r="E67" s="90">
        <f>+E65/E$10</f>
        <v>4.7149919632852803E-2</v>
      </c>
      <c r="F67" s="90">
        <f>+F65/F$10</f>
        <v>-7.0823797443534564E-2</v>
      </c>
      <c r="G67" s="91"/>
      <c r="H67" s="90">
        <f>+H65/H$10</f>
        <v>1.9563578790277678E-2</v>
      </c>
      <c r="I67" s="90">
        <f>+I65/I$10</f>
        <v>8.4860332274688921E-2</v>
      </c>
      <c r="J67" s="90">
        <f>+J65/J$10</f>
        <v>2.5770835492939681E-2</v>
      </c>
      <c r="K67" s="90">
        <f>+K65/K$10</f>
        <v>-1.9414768914292554E-2</v>
      </c>
      <c r="L67" s="90">
        <f>+L65/L$10</f>
        <v>-1.2368144330618929E-2</v>
      </c>
      <c r="N67" s="90">
        <f t="shared" ref="N67:U67" si="267">+N65/N$10</f>
        <v>2.7589085466378938E-2</v>
      </c>
      <c r="O67" s="90">
        <f t="shared" si="267"/>
        <v>2.6203271389258216E-2</v>
      </c>
      <c r="P67" s="90">
        <f t="shared" si="267"/>
        <v>4.1345666796244594E-2</v>
      </c>
      <c r="Q67" s="90">
        <f t="shared" si="267"/>
        <v>4.3204984785978395E-2</v>
      </c>
      <c r="R67" s="90">
        <f t="shared" si="267"/>
        <v>4.0675027176863006E-2</v>
      </c>
      <c r="S67" s="90">
        <f t="shared" si="267"/>
        <v>4.6316478248613062E-2</v>
      </c>
      <c r="T67" s="90">
        <f t="shared" si="267"/>
        <v>5.3600868282339398E-2</v>
      </c>
      <c r="U67" s="90">
        <f t="shared" si="267"/>
        <v>4.8268241334493388E-2</v>
      </c>
      <c r="W67" s="90">
        <f t="shared" ref="W67:AD67" si="268">+W65/W$10</f>
        <v>3.5946686429202485E-2</v>
      </c>
      <c r="X67" s="90">
        <f t="shared" si="268"/>
        <v>3.5946686429202485E-2</v>
      </c>
      <c r="Y67" s="90">
        <f t="shared" si="268"/>
        <v>2.9680800127232281E-2</v>
      </c>
      <c r="Z67" s="90">
        <f t="shared" si="268"/>
        <v>2.9680239138343507E-2</v>
      </c>
      <c r="AA67" s="90">
        <f t="shared" si="268"/>
        <v>8.3593824166105515E-2</v>
      </c>
      <c r="AB67" s="90">
        <f t="shared" si="268"/>
        <v>8.3594336604082442E-2</v>
      </c>
      <c r="AC67" s="90">
        <f t="shared" si="268"/>
        <v>1.234656054918974E-2</v>
      </c>
      <c r="AD67" s="90">
        <f t="shared" si="268"/>
        <v>1.2347111508918164E-2</v>
      </c>
      <c r="AE67" s="80"/>
      <c r="AF67" s="90">
        <f t="shared" ref="AF67:AK67" si="269">+AF65/AF$10</f>
        <v>3.30655426627511E-2</v>
      </c>
      <c r="AG67" s="90">
        <f t="shared" si="269"/>
        <v>3.3091169400281506E-2</v>
      </c>
      <c r="AH67" s="90">
        <f t="shared" si="269"/>
        <v>3.2929327557082867E-2</v>
      </c>
      <c r="AI67" s="90">
        <f t="shared" si="269"/>
        <v>3.2972207442906472E-2</v>
      </c>
      <c r="AJ67" s="90">
        <f t="shared" si="269"/>
        <v>7.303499877138464E-2</v>
      </c>
      <c r="AK67" s="90">
        <f t="shared" si="269"/>
        <v>7.3112038172782362E-2</v>
      </c>
      <c r="AN67" s="90">
        <f t="shared" ref="AN67:AO67" si="270">+AN65/AN$10</f>
        <v>4.7232809025336733E-2</v>
      </c>
      <c r="AO67" s="90">
        <f t="shared" si="270"/>
        <v>4.7336623087011802E-2</v>
      </c>
      <c r="AQ67" s="90">
        <f t="shared" ref="AQ67:AV67" si="271">+AQ65/AQ$10</f>
        <v>3.8758869174238361E-2</v>
      </c>
      <c r="AR67" s="90">
        <f t="shared" si="271"/>
        <v>3.8825498586235338E-2</v>
      </c>
      <c r="AS67" s="90">
        <f t="shared" si="271"/>
        <v>3.1234280154775234E-2</v>
      </c>
      <c r="AT67" s="90">
        <f t="shared" si="271"/>
        <v>3.0798481709586219E-2</v>
      </c>
      <c r="AU67" s="90">
        <f t="shared" si="271"/>
        <v>5.7654752474660398E-2</v>
      </c>
      <c r="AV67" s="90">
        <f t="shared" si="271"/>
        <v>3.1300465590270408E-2</v>
      </c>
      <c r="AX67" s="90">
        <f t="shared" ref="AX67:BA67" si="272">+AX65/AX$10</f>
        <v>-8.9023619233681676E-3</v>
      </c>
      <c r="AY67" s="90">
        <f t="shared" si="272"/>
        <v>2.8713525274896064E-3</v>
      </c>
      <c r="AZ67" s="90">
        <f t="shared" si="272"/>
        <v>1.985415190974585E-3</v>
      </c>
      <c r="BA67" s="90">
        <f t="shared" si="272"/>
        <v>-2.3571844668068144E-2</v>
      </c>
      <c r="BC67" s="90">
        <f t="shared" ref="BC67:BF67" si="273">+BC65/BC$10</f>
        <v>1.9793389470277905E-2</v>
      </c>
      <c r="BD67" s="90">
        <f t="shared" si="273"/>
        <v>5.2523404221501688E-2</v>
      </c>
      <c r="BE67" s="90">
        <f t="shared" si="273"/>
        <v>5.1362742275080399E-2</v>
      </c>
      <c r="BF67" s="90">
        <f t="shared" si="273"/>
        <v>2.0982772922189249E-2</v>
      </c>
      <c r="BG67" s="80"/>
      <c r="BH67" s="90">
        <f t="shared" ref="BH67:BJ67" si="274">+BH65/BH$10</f>
        <v>3.4984449597687935E-2</v>
      </c>
      <c r="BI67" s="90">
        <f t="shared" si="274"/>
        <v>3.8899548650418808E-2</v>
      </c>
      <c r="BJ67" s="90">
        <f t="shared" si="274"/>
        <v>3.7730346026596147E-2</v>
      </c>
      <c r="BK67" s="90">
        <f t="shared" ref="BK67:BM67" si="275">+BK65/BK$10</f>
        <v>5.2023901861457292E-2</v>
      </c>
      <c r="BM67" s="90">
        <f t="shared" si="275"/>
        <v>7.0664030358737126E-2</v>
      </c>
      <c r="BN67" s="90">
        <f t="shared" ref="BN67" si="276">+BN65/BN$10</f>
        <v>0.10783244716526713</v>
      </c>
      <c r="BO67" s="90">
        <f t="shared" ref="BO67:BQ67" si="277">+BO65/BO$10</f>
        <v>4.8892473008942658E-2</v>
      </c>
      <c r="BP67" s="90">
        <f t="shared" ref="BP67" si="278">+BP65/BP$10</f>
        <v>7.0699386453107194E-2</v>
      </c>
      <c r="BQ67" s="90">
        <f t="shared" si="277"/>
        <v>3.9173971928884416E-2</v>
      </c>
      <c r="BR67" s="90">
        <f t="shared" ref="BR67" si="279">+BR65/BR$10</f>
        <v>6.1729547606586194E-2</v>
      </c>
      <c r="BS67" s="90">
        <f t="shared" ref="BS67:BT67" si="280">+BS65/BS$10</f>
        <v>1.2889684403214563E-3</v>
      </c>
      <c r="BT67" s="90">
        <f t="shared" si="280"/>
        <v>1.8387572817508487E-3</v>
      </c>
      <c r="BU67" s="80"/>
      <c r="BV67" s="90">
        <f t="shared" ref="BV67:BZ67" si="281">+BV65/BV$10</f>
        <v>0.83525986596973634</v>
      </c>
      <c r="BW67" s="90">
        <f t="shared" ref="BW67" si="282">+BW65/BW$10</f>
        <v>1.3946713141913594</v>
      </c>
      <c r="BX67" s="90">
        <f t="shared" si="281"/>
        <v>5.1281974733948722E-2</v>
      </c>
      <c r="BY67" s="90">
        <f t="shared" ref="BY67" si="283">+BY65/BY$10</f>
        <v>5.4977379712705332E-2</v>
      </c>
      <c r="BZ67" s="90">
        <f t="shared" si="281"/>
        <v>0.10018074343766586</v>
      </c>
      <c r="CA67" s="90">
        <f t="shared" ref="CA67" si="284">+CA65/CA$10</f>
        <v>0.11257245820880728</v>
      </c>
      <c r="CB67" s="90">
        <f t="shared" ref="CB67" si="285">+CB65/CB$10</f>
        <v>6.4341721363712509E-2</v>
      </c>
      <c r="CC67" s="80"/>
      <c r="CD67" s="90">
        <f t="shared" ref="CD67:CE67" si="286">+CD65/CD$10</f>
        <v>0.40845515304349206</v>
      </c>
      <c r="CE67" s="90">
        <f t="shared" si="286"/>
        <v>1.4463229512501572E-2</v>
      </c>
      <c r="CF67" s="90">
        <f t="shared" ref="CF67" si="287">+CF65/CF$10</f>
        <v>0.42448569844892164</v>
      </c>
    </row>
    <row r="68" spans="2:86" ht="16.5" customHeight="1">
      <c r="B68" s="56"/>
      <c r="C68" s="71"/>
      <c r="D68" s="69"/>
      <c r="E68" s="69"/>
      <c r="F68" s="69"/>
      <c r="G68" s="109"/>
    </row>
    <row r="69" spans="2:86" ht="16.5" hidden="1" customHeight="1">
      <c r="C69" s="110" t="e">
        <f>+#REF!</f>
        <v>#REF!</v>
      </c>
      <c r="D69" s="111">
        <v>18436</v>
      </c>
      <c r="E69" s="111"/>
      <c r="F69" s="111"/>
      <c r="G69" s="110"/>
    </row>
    <row r="70" spans="2:86" ht="16.5" hidden="1" customHeight="1">
      <c r="B70" s="51" t="s">
        <v>157</v>
      </c>
      <c r="C70" s="110" t="e">
        <f>+C65-C69</f>
        <v>#REF!</v>
      </c>
      <c r="D70" s="111">
        <f>+D65-D69</f>
        <v>396501.79061002983</v>
      </c>
      <c r="E70" s="111"/>
      <c r="F70" s="111"/>
      <c r="G70" s="110"/>
    </row>
    <row r="71" spans="2:86" ht="16.5" hidden="1" customHeight="1">
      <c r="C71" s="110"/>
      <c r="D71" s="112"/>
      <c r="E71" s="112"/>
      <c r="F71" s="112"/>
      <c r="G71" s="110"/>
    </row>
    <row r="72" spans="2:86" ht="16.5" hidden="1" customHeight="1"/>
    <row r="73" spans="2:86" ht="16.5" hidden="1" customHeight="1"/>
    <row r="74" spans="2:86" ht="16.5" hidden="1" customHeight="1">
      <c r="B74" s="113" t="s">
        <v>158</v>
      </c>
      <c r="C74" s="98">
        <f>+C78+C82</f>
        <v>307948</v>
      </c>
    </row>
    <row r="75" spans="2:86" ht="16.5" hidden="1" customHeight="1">
      <c r="B75" s="51" t="s">
        <v>159</v>
      </c>
      <c r="C75" s="114">
        <v>129201</v>
      </c>
      <c r="D75" s="55" t="s">
        <v>160</v>
      </c>
    </row>
    <row r="76" spans="2:86" ht="16.5" hidden="1" customHeight="1">
      <c r="B76" s="51" t="s">
        <v>161</v>
      </c>
      <c r="C76" s="114">
        <v>102521</v>
      </c>
      <c r="D76" s="55" t="s">
        <v>160</v>
      </c>
    </row>
    <row r="77" spans="2:86" ht="16.5" hidden="1" customHeight="1">
      <c r="B77" s="51" t="s">
        <v>162</v>
      </c>
      <c r="C77" s="114">
        <v>43795</v>
      </c>
      <c r="D77" s="55" t="s">
        <v>160</v>
      </c>
    </row>
    <row r="78" spans="2:86" ht="16.5" hidden="1" customHeight="1">
      <c r="B78" s="51" t="s">
        <v>163</v>
      </c>
      <c r="C78" s="98">
        <f>SUM(C75:C77)</f>
        <v>275517</v>
      </c>
    </row>
    <row r="79" spans="2:86" ht="16.5" hidden="1" customHeight="1"/>
    <row r="80" spans="2:86" ht="16.5" hidden="1" customHeight="1">
      <c r="B80" s="51" t="s">
        <v>164</v>
      </c>
      <c r="C80" s="114">
        <v>19597</v>
      </c>
      <c r="D80" s="55" t="s">
        <v>165</v>
      </c>
    </row>
    <row r="81" spans="2:75" ht="16.5" hidden="1" customHeight="1">
      <c r="B81" s="51" t="s">
        <v>159</v>
      </c>
      <c r="C81" s="114">
        <v>12834</v>
      </c>
      <c r="D81" s="55" t="s">
        <v>165</v>
      </c>
    </row>
    <row r="82" spans="2:75" ht="16.5" hidden="1" customHeight="1">
      <c r="B82" s="51" t="s">
        <v>166</v>
      </c>
      <c r="C82" s="115">
        <f>+C80+C81</f>
        <v>32431</v>
      </c>
    </row>
    <row r="83" spans="2:75" ht="16.5" hidden="1" customHeight="1"/>
    <row r="84" spans="2:75" ht="16.5" hidden="1" customHeight="1"/>
    <row r="85" spans="2:75" ht="16.5" hidden="1" customHeight="1">
      <c r="B85" s="56" t="s">
        <v>167</v>
      </c>
      <c r="C85" s="116" t="s">
        <v>168</v>
      </c>
      <c r="D85" s="117"/>
      <c r="E85" s="117"/>
      <c r="F85" s="117"/>
      <c r="G85" s="117"/>
    </row>
    <row r="86" spans="2:75" ht="16.5" hidden="1" customHeight="1">
      <c r="B86" s="51" t="s">
        <v>169</v>
      </c>
      <c r="C86" s="114">
        <v>275456</v>
      </c>
      <c r="D86" s="118"/>
      <c r="E86" s="118"/>
      <c r="F86" s="118"/>
    </row>
    <row r="87" spans="2:75" ht="16.5" hidden="1" customHeight="1">
      <c r="B87" s="51" t="s">
        <v>170</v>
      </c>
      <c r="C87" s="114">
        <v>14612</v>
      </c>
    </row>
    <row r="88" spans="2:75" ht="16.5" hidden="1" customHeight="1">
      <c r="B88" s="51" t="s">
        <v>171</v>
      </c>
      <c r="C88" s="114">
        <f>+C87-C86</f>
        <v>-260844</v>
      </c>
    </row>
    <row r="89" spans="2:75" ht="16.5" hidden="1" customHeight="1">
      <c r="B89" s="51" t="s">
        <v>172</v>
      </c>
      <c r="C89" s="114">
        <f>32431-2168</f>
        <v>30263</v>
      </c>
    </row>
    <row r="90" spans="2:75" ht="16.5" hidden="1" customHeight="1">
      <c r="B90" s="51" t="s">
        <v>173</v>
      </c>
      <c r="C90" s="114">
        <f>27059-5379</f>
        <v>21680</v>
      </c>
    </row>
    <row r="91" spans="2:75" ht="16.5" hidden="1" customHeight="1">
      <c r="B91" s="56" t="s">
        <v>174</v>
      </c>
      <c r="C91" s="115">
        <f>+C88-C89-C90</f>
        <v>-312787</v>
      </c>
    </row>
    <row r="92" spans="2:75" ht="16.5" hidden="1" customHeight="1">
      <c r="C92" s="119">
        <f>+C91-C47</f>
        <v>-41289</v>
      </c>
    </row>
    <row r="93" spans="2:75" ht="16.5" hidden="1" customHeight="1"/>
    <row r="94" spans="2:75" ht="16.5" customHeight="1">
      <c r="C94" s="120"/>
      <c r="D94" s="121"/>
      <c r="E94" s="121"/>
      <c r="F94" s="121"/>
      <c r="G94" s="120"/>
      <c r="H94" s="120"/>
      <c r="I94" s="120"/>
      <c r="J94" s="121"/>
      <c r="K94" s="122"/>
      <c r="L94" s="122"/>
      <c r="M94" s="122"/>
      <c r="N94" s="120"/>
      <c r="O94" s="120"/>
      <c r="P94" s="122"/>
      <c r="Q94" s="122"/>
      <c r="R94" s="122"/>
      <c r="S94" s="122"/>
      <c r="T94" s="122"/>
      <c r="U94" s="122"/>
      <c r="V94" s="122"/>
      <c r="W94" s="122"/>
      <c r="X94" s="122"/>
      <c r="Y94" s="122"/>
      <c r="Z94" s="122"/>
      <c r="AA94" s="122"/>
      <c r="AB94" s="122"/>
      <c r="AC94" s="122"/>
      <c r="AD94" s="122"/>
      <c r="AE94" s="123"/>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W94" s="860" t="s">
        <v>606</v>
      </c>
    </row>
    <row r="95" spans="2:75" ht="16.5" customHeight="1">
      <c r="D95" s="118"/>
      <c r="E95" s="118"/>
      <c r="F95" s="118"/>
    </row>
    <row r="96" spans="2:75" ht="16.5" customHeight="1">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row>
    <row r="97" spans="4:46" ht="144" customHeight="1">
      <c r="O97" s="1207" t="s">
        <v>175</v>
      </c>
      <c r="P97" s="1207"/>
      <c r="Q97" s="1207"/>
      <c r="R97" s="1207"/>
      <c r="S97" s="1207"/>
      <c r="T97" s="1207"/>
      <c r="U97" s="1207"/>
      <c r="V97" s="125"/>
      <c r="W97" s="1207" t="s">
        <v>176</v>
      </c>
      <c r="X97" s="1207"/>
      <c r="Y97" s="1207"/>
      <c r="Z97" s="1207"/>
      <c r="AA97" s="1207"/>
      <c r="AB97" s="1207"/>
      <c r="AC97" s="1207"/>
      <c r="AD97" s="124"/>
      <c r="AF97" s="1204" t="s">
        <v>177</v>
      </c>
      <c r="AG97" s="1204"/>
      <c r="AH97" s="1204"/>
      <c r="AI97" s="1204"/>
      <c r="AJ97" s="1204"/>
      <c r="AK97" s="1204"/>
      <c r="AL97" s="1204"/>
      <c r="AM97" s="1204"/>
      <c r="AN97" s="1204"/>
      <c r="AO97" s="1204"/>
      <c r="AT97" s="51" t="s">
        <v>178</v>
      </c>
    </row>
    <row r="98" spans="4:46" ht="16.5" customHeight="1">
      <c r="D98" s="126"/>
      <c r="E98" s="126"/>
      <c r="F98" s="126"/>
    </row>
    <row r="99" spans="4:46" ht="84.75" customHeight="1">
      <c r="D99" s="126"/>
      <c r="E99" s="126"/>
      <c r="F99" s="126"/>
      <c r="AF99" s="1204" t="s">
        <v>179</v>
      </c>
      <c r="AG99" s="1204"/>
      <c r="AH99" s="1204"/>
      <c r="AI99" s="1204"/>
      <c r="AJ99" s="1204"/>
      <c r="AK99" s="1204"/>
      <c r="AL99" s="1204"/>
      <c r="AM99" s="1204"/>
      <c r="AN99" s="1204"/>
      <c r="AO99" s="1204"/>
      <c r="AP99" s="127"/>
      <c r="AQ99" s="127"/>
      <c r="AR99" s="127"/>
      <c r="AS99" s="127"/>
      <c r="AT99" s="127"/>
    </row>
    <row r="100" spans="4:46" ht="16.5" customHeight="1">
      <c r="W100" s="60"/>
      <c r="X100" s="60"/>
      <c r="Y100" s="60"/>
      <c r="Z100" s="60"/>
      <c r="AA100" s="60"/>
    </row>
    <row r="104" spans="4:46" ht="16.5" customHeight="1">
      <c r="AG104" s="122"/>
    </row>
    <row r="106" spans="4:46" ht="16.5" customHeight="1">
      <c r="AH106" s="128"/>
    </row>
  </sheetData>
  <mergeCells count="19">
    <mergeCell ref="CD6:CF6"/>
    <mergeCell ref="AF99:AO99"/>
    <mergeCell ref="W6:AC6"/>
    <mergeCell ref="AF6:AN6"/>
    <mergeCell ref="N6:U6"/>
    <mergeCell ref="BH6:BK6"/>
    <mergeCell ref="AQ6:AV6"/>
    <mergeCell ref="AX6:BA6"/>
    <mergeCell ref="BC6:BF6"/>
    <mergeCell ref="BV6:CB6"/>
    <mergeCell ref="O97:U97"/>
    <mergeCell ref="W97:AC97"/>
    <mergeCell ref="AF97:AO97"/>
    <mergeCell ref="BM6:BS6"/>
    <mergeCell ref="B1:I1"/>
    <mergeCell ref="B2:I2"/>
    <mergeCell ref="B3:I3"/>
    <mergeCell ref="C6:F6"/>
    <mergeCell ref="H6:K6"/>
  </mergeCells>
  <pageMargins left="0.7" right="0.7" top="0.75" bottom="0.75" header="0.3" footer="0.3"/>
  <pageSetup paperSize="9" orientation="portrait" verticalDpi="597" r:id="rId1"/>
  <customProperties>
    <customPr name="EpmWorksheetKeyString_GUID" r:id="rId2"/>
    <customPr name="FPMExcelClientCellBasedFunctionStatus" r:id="rId3"/>
    <customPr name="FPMExcelClientRefreshTime" r:id="rId4"/>
  </customProperties>
  <ignoredErrors>
    <ignoredError sqref="BM6 BV6" numberStoredAsText="1"/>
    <ignoredError sqref="BW59 BY59 CA59" formula="1"/>
  </ignoredErrors>
  <drawing r:id="rId5"/>
  <legacyDrawing r:id="rId6"/>
  <controls>
    <mc:AlternateContent xmlns:mc="http://schemas.openxmlformats.org/markup-compatibility/2006">
      <mc:Choice Requires="x14">
        <control shapeId="28673" r:id="rId7" name="FPMExcelClientSheetOptionstb1">
          <controlPr defaultSize="0" autoLine="0" autoPict="0" r:id="rId8">
            <anchor moveWithCells="1" sizeWithCells="1">
              <from>
                <xdr:col>0</xdr:col>
                <xdr:colOff>0</xdr:colOff>
                <xdr:row>0</xdr:row>
                <xdr:rowOff>0</xdr:rowOff>
              </from>
              <to>
                <xdr:col>1</xdr:col>
                <xdr:colOff>755650</xdr:colOff>
                <xdr:row>0</xdr:row>
                <xdr:rowOff>0</xdr:rowOff>
              </to>
            </anchor>
          </controlPr>
        </control>
      </mc:Choice>
      <mc:Fallback>
        <control shapeId="28673" r:id="rId7"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BE2C2-411B-4D4D-BE6B-21089790EA22}">
  <dimension ref="A1:BQ111"/>
  <sheetViews>
    <sheetView showGridLines="0" zoomScale="90" zoomScaleNormal="90" workbookViewId="0">
      <pane xSplit="2" ySplit="9" topLeftCell="BF10" activePane="bottomRight" state="frozen"/>
      <selection pane="topRight" activeCell="C1" sqref="C1"/>
      <selection pane="bottomLeft" activeCell="A10" sqref="A10"/>
      <selection pane="bottomRight" activeCell="BM10" sqref="BM10"/>
    </sheetView>
  </sheetViews>
  <sheetFormatPr baseColWidth="10" defaultColWidth="13" defaultRowHeight="12.5"/>
  <cols>
    <col min="1" max="1" width="13" style="2"/>
    <col min="2" max="2" width="43.26953125" style="2" customWidth="1"/>
    <col min="3" max="3" width="10.26953125" style="2" hidden="1" customWidth="1"/>
    <col min="4" max="4" width="1.54296875" style="2" hidden="1" customWidth="1"/>
    <col min="5" max="8" width="11.26953125" style="10" hidden="1" customWidth="1"/>
    <col min="9" max="9" width="2" style="2" hidden="1" customWidth="1"/>
    <col min="10" max="13" width="11.26953125" style="2" hidden="1" customWidth="1"/>
    <col min="14" max="14" width="15.54296875" style="2" hidden="1" customWidth="1"/>
    <col min="15" max="15" width="2" style="2" hidden="1" customWidth="1"/>
    <col min="16" max="18" width="0" style="2" hidden="1" customWidth="1"/>
    <col min="19" max="19" width="14.1796875" style="2" hidden="1" customWidth="1"/>
    <col min="20" max="21" width="0" style="2" hidden="1" customWidth="1"/>
    <col min="22" max="22" width="1.453125" style="2" hidden="1" customWidth="1"/>
    <col min="23" max="26" width="0" style="2" hidden="1" customWidth="1"/>
    <col min="27" max="27" width="4.54296875" style="129" hidden="1" customWidth="1"/>
    <col min="28" max="31" width="11.26953125" style="2" hidden="1" customWidth="1"/>
    <col min="32" max="32" width="5" style="2" hidden="1" customWidth="1"/>
    <col min="33" max="36" width="11.26953125" style="2" hidden="1" customWidth="1"/>
    <col min="37" max="37" width="5" style="2" hidden="1" customWidth="1"/>
    <col min="38" max="41" width="11.26953125" style="2" hidden="1" customWidth="1"/>
    <col min="42" max="42" width="5" style="2" hidden="1" customWidth="1"/>
    <col min="43" max="46" width="11.26953125" style="2" hidden="1" customWidth="1"/>
    <col min="47" max="47" width="5" style="2" hidden="1" customWidth="1"/>
    <col min="48" max="51" width="11.26953125" style="2" hidden="1" customWidth="1"/>
    <col min="52" max="52" width="5" style="2" hidden="1" customWidth="1"/>
    <col min="53" max="56" width="11.26953125" style="2" hidden="1" customWidth="1"/>
    <col min="57" max="57" width="1.36328125" style="2" hidden="1" customWidth="1"/>
    <col min="58" max="61" width="11.26953125" style="2" customWidth="1"/>
    <col min="62" max="62" width="1.36328125" style="2" customWidth="1"/>
    <col min="63" max="65" width="11.26953125" style="2" customWidth="1"/>
    <col min="66" max="66" width="10.7265625" style="2" customWidth="1"/>
    <col min="67" max="16384" width="13" style="2"/>
  </cols>
  <sheetData>
    <row r="1" spans="2:67" ht="13">
      <c r="B1" s="1193" t="s">
        <v>0</v>
      </c>
      <c r="C1" s="1193"/>
      <c r="D1" s="1193"/>
      <c r="E1" s="1193"/>
      <c r="F1" s="1193"/>
      <c r="G1" s="1193"/>
      <c r="H1" s="1193"/>
      <c r="I1" s="1193"/>
      <c r="J1" s="1193"/>
      <c r="K1" s="1193"/>
    </row>
    <row r="2" spans="2:67" ht="13">
      <c r="B2" s="1193" t="s">
        <v>180</v>
      </c>
      <c r="C2" s="1193"/>
      <c r="D2" s="1193"/>
      <c r="E2" s="1193"/>
      <c r="F2" s="1193"/>
      <c r="G2" s="1193"/>
      <c r="H2" s="1193"/>
      <c r="I2" s="1193"/>
      <c r="J2" s="1193"/>
      <c r="K2" s="1193"/>
    </row>
    <row r="3" spans="2:67" ht="12.75" customHeight="1">
      <c r="B3" s="1194" t="s">
        <v>2</v>
      </c>
      <c r="C3" s="1194"/>
      <c r="D3" s="1194"/>
      <c r="E3" s="1194"/>
      <c r="F3" s="1194"/>
      <c r="G3" s="1194"/>
      <c r="H3" s="1194"/>
      <c r="I3" s="1194"/>
      <c r="J3" s="1194"/>
      <c r="K3" s="1194"/>
    </row>
    <row r="4" spans="2:67" ht="12.75" customHeight="1">
      <c r="B4" s="3"/>
      <c r="C4" s="3"/>
      <c r="D4" s="3"/>
      <c r="E4" s="3"/>
      <c r="F4" s="3"/>
      <c r="G4" s="3"/>
      <c r="H4" s="3"/>
      <c r="I4" s="3"/>
      <c r="J4" s="3"/>
      <c r="K4" s="3"/>
    </row>
    <row r="5" spans="2:67" ht="13" thickBot="1"/>
    <row r="6" spans="2:67" ht="21" customHeight="1" thickTop="1" thickBot="1">
      <c r="C6" s="130">
        <v>2013</v>
      </c>
      <c r="D6" s="6"/>
      <c r="E6" s="1208" t="s">
        <v>3</v>
      </c>
      <c r="F6" s="1209"/>
      <c r="G6" s="1209"/>
      <c r="H6" s="1210"/>
      <c r="J6" s="1208" t="s">
        <v>4</v>
      </c>
      <c r="K6" s="1209"/>
      <c r="L6" s="1209"/>
      <c r="M6" s="1209"/>
      <c r="N6" s="1210"/>
      <c r="P6" s="1214" t="s">
        <v>5</v>
      </c>
      <c r="Q6" s="1215"/>
      <c r="R6" s="1215"/>
      <c r="S6" s="1215"/>
      <c r="T6" s="1215"/>
      <c r="U6" s="1216"/>
      <c r="W6" s="1211" t="s">
        <v>6</v>
      </c>
      <c r="X6" s="1212"/>
      <c r="Y6" s="1212"/>
      <c r="Z6" s="1213"/>
      <c r="AB6" s="1211" t="s">
        <v>7</v>
      </c>
      <c r="AC6" s="1212"/>
      <c r="AD6" s="1212"/>
      <c r="AE6" s="1213"/>
      <c r="AG6" s="1211" t="s">
        <v>8</v>
      </c>
      <c r="AH6" s="1212"/>
      <c r="AI6" s="1212"/>
      <c r="AJ6" s="1213"/>
      <c r="AL6" s="1211" t="s">
        <v>71</v>
      </c>
      <c r="AM6" s="1212"/>
      <c r="AN6" s="1212"/>
      <c r="AO6" s="1213"/>
      <c r="AQ6" s="1211" t="s">
        <v>9</v>
      </c>
      <c r="AR6" s="1212"/>
      <c r="AS6" s="1212"/>
      <c r="AT6" s="1213"/>
      <c r="AV6" s="1200" t="s">
        <v>181</v>
      </c>
      <c r="AW6" s="1199"/>
      <c r="AX6" s="1199"/>
      <c r="AY6" s="5"/>
      <c r="AZ6" s="6"/>
      <c r="BA6" s="1199" t="s">
        <v>438</v>
      </c>
      <c r="BB6" s="1199"/>
      <c r="BC6" s="1199"/>
      <c r="BD6" s="1199"/>
      <c r="BE6" s="6"/>
      <c r="BF6" s="1200" t="s">
        <v>480</v>
      </c>
      <c r="BG6" s="1199"/>
      <c r="BH6" s="1199"/>
      <c r="BI6" s="1199"/>
      <c r="BJ6" s="6"/>
      <c r="BK6" s="1200" t="s">
        <v>504</v>
      </c>
      <c r="BL6" s="1199"/>
      <c r="BM6" s="1199"/>
    </row>
    <row r="7" spans="2:67" ht="4.5" customHeight="1" thickTop="1" thickBot="1">
      <c r="E7" s="55"/>
      <c r="F7" s="55"/>
      <c r="G7" s="55"/>
      <c r="H7" s="55"/>
      <c r="J7" s="55"/>
      <c r="K7" s="55"/>
    </row>
    <row r="8" spans="2:67" ht="30" customHeight="1" thickTop="1" thickBot="1">
      <c r="C8" s="131">
        <v>41609</v>
      </c>
      <c r="D8" s="8"/>
      <c r="E8" s="132">
        <v>41699</v>
      </c>
      <c r="F8" s="7">
        <v>41791</v>
      </c>
      <c r="G8" s="7">
        <v>41883</v>
      </c>
      <c r="H8" s="7">
        <v>41974</v>
      </c>
      <c r="J8" s="7">
        <v>42064</v>
      </c>
      <c r="K8" s="7">
        <v>42156</v>
      </c>
      <c r="L8" s="7">
        <v>42248</v>
      </c>
      <c r="M8" s="7">
        <v>42339</v>
      </c>
      <c r="N8" s="131" t="s">
        <v>182</v>
      </c>
      <c r="P8" s="7">
        <v>42430</v>
      </c>
      <c r="Q8" s="7">
        <v>42522</v>
      </c>
      <c r="R8" s="7">
        <v>42614</v>
      </c>
      <c r="S8" s="7" t="s">
        <v>183</v>
      </c>
      <c r="T8" s="131">
        <v>42705</v>
      </c>
      <c r="U8" s="131" t="s">
        <v>184</v>
      </c>
      <c r="W8" s="7">
        <v>42795</v>
      </c>
      <c r="X8" s="7">
        <v>42887</v>
      </c>
      <c r="Y8" s="131">
        <v>42979</v>
      </c>
      <c r="Z8" s="131">
        <v>43070</v>
      </c>
      <c r="AB8" s="7">
        <v>43160</v>
      </c>
      <c r="AC8" s="7">
        <v>43252</v>
      </c>
      <c r="AD8" s="131">
        <v>43344</v>
      </c>
      <c r="AE8" s="131">
        <v>43435</v>
      </c>
      <c r="AG8" s="7">
        <v>43525</v>
      </c>
      <c r="AH8" s="7">
        <v>43617</v>
      </c>
      <c r="AI8" s="131">
        <v>43709</v>
      </c>
      <c r="AJ8" s="131">
        <v>43800</v>
      </c>
      <c r="AL8" s="7">
        <v>43891</v>
      </c>
      <c r="AM8" s="7">
        <v>43983</v>
      </c>
      <c r="AN8" s="131">
        <v>44075</v>
      </c>
      <c r="AO8" s="131">
        <v>44166</v>
      </c>
      <c r="AQ8" s="7">
        <v>44256</v>
      </c>
      <c r="AR8" s="7">
        <v>44348</v>
      </c>
      <c r="AS8" s="7">
        <v>44440</v>
      </c>
      <c r="AT8" s="131">
        <v>44531</v>
      </c>
      <c r="AV8" s="7">
        <v>44621</v>
      </c>
      <c r="AW8" s="7">
        <v>44713</v>
      </c>
      <c r="AX8" s="7">
        <v>44805</v>
      </c>
      <c r="AY8" s="7">
        <v>44896</v>
      </c>
      <c r="AZ8" s="8"/>
      <c r="BA8" s="7">
        <v>44986</v>
      </c>
      <c r="BB8" s="7">
        <v>45078</v>
      </c>
      <c r="BC8" s="7">
        <v>45170</v>
      </c>
      <c r="BD8" s="131">
        <v>45261</v>
      </c>
      <c r="BE8" s="8"/>
      <c r="BF8" s="7">
        <v>45352</v>
      </c>
      <c r="BG8" s="7">
        <v>45444</v>
      </c>
      <c r="BH8" s="7">
        <v>45536</v>
      </c>
      <c r="BI8" s="7">
        <v>45627</v>
      </c>
      <c r="BJ8" s="8"/>
      <c r="BK8" s="7">
        <v>45717</v>
      </c>
      <c r="BL8" s="7">
        <v>45809</v>
      </c>
      <c r="BM8" s="7">
        <v>45901</v>
      </c>
    </row>
    <row r="9" spans="2:67" ht="3.75" customHeight="1" thickTop="1">
      <c r="J9" s="10"/>
      <c r="K9" s="10"/>
    </row>
    <row r="10" spans="2:67" ht="16.5" customHeight="1">
      <c r="B10" s="11" t="s">
        <v>15</v>
      </c>
      <c r="C10" s="20">
        <v>20409</v>
      </c>
      <c r="D10" s="11"/>
      <c r="E10" s="20">
        <v>44378</v>
      </c>
      <c r="F10" s="20">
        <v>34879</v>
      </c>
      <c r="G10" s="20">
        <v>368419</v>
      </c>
      <c r="H10" s="20">
        <v>165978</v>
      </c>
      <c r="J10" s="20">
        <v>212683</v>
      </c>
      <c r="K10" s="20">
        <v>25622</v>
      </c>
      <c r="L10" s="20">
        <v>399215</v>
      </c>
      <c r="M10" s="20">
        <v>311454</v>
      </c>
      <c r="N10" s="20">
        <v>311454</v>
      </c>
      <c r="P10" s="20">
        <v>145061</v>
      </c>
      <c r="Q10" s="20">
        <v>36458</v>
      </c>
      <c r="R10" s="20">
        <v>165562</v>
      </c>
      <c r="S10" s="20">
        <v>165562</v>
      </c>
      <c r="T10" s="20">
        <v>179358</v>
      </c>
      <c r="U10" s="20">
        <v>180011</v>
      </c>
      <c r="W10" s="20">
        <v>4218</v>
      </c>
      <c r="X10" s="20">
        <v>71637</v>
      </c>
      <c r="Y10" s="129">
        <v>106150</v>
      </c>
      <c r="Z10" s="129">
        <f>312774-13692</f>
        <v>299082</v>
      </c>
      <c r="AB10" s="20">
        <v>79466</v>
      </c>
      <c r="AC10" s="20">
        <v>13861</v>
      </c>
      <c r="AD10" s="129">
        <v>2489</v>
      </c>
      <c r="AE10" s="129">
        <v>4850</v>
      </c>
      <c r="AF10" s="32"/>
      <c r="AG10" s="20">
        <v>7530</v>
      </c>
      <c r="AH10" s="22">
        <v>1810</v>
      </c>
      <c r="AI10" s="22">
        <v>1972</v>
      </c>
      <c r="AJ10" s="22">
        <v>1729</v>
      </c>
      <c r="AK10" s="32"/>
      <c r="AL10" s="20">
        <v>115068</v>
      </c>
      <c r="AM10" s="22">
        <v>116093</v>
      </c>
      <c r="AN10" s="22">
        <v>116372</v>
      </c>
      <c r="AO10" s="22">
        <v>24148</v>
      </c>
      <c r="AP10" s="32"/>
      <c r="AQ10" s="20">
        <v>1752</v>
      </c>
      <c r="AR10" s="22">
        <v>2090</v>
      </c>
      <c r="AS10" s="22">
        <v>4235</v>
      </c>
      <c r="AT10" s="22">
        <v>16237</v>
      </c>
      <c r="AU10" s="32"/>
      <c r="AV10" s="20">
        <v>8046</v>
      </c>
      <c r="AW10" s="22">
        <v>200830</v>
      </c>
      <c r="AX10" s="22">
        <v>86344</v>
      </c>
      <c r="AY10" s="22">
        <v>72319</v>
      </c>
      <c r="AZ10" s="22"/>
      <c r="BA10" s="20">
        <v>14248</v>
      </c>
      <c r="BB10" s="20">
        <v>233052</v>
      </c>
      <c r="BC10" s="20">
        <v>427632</v>
      </c>
      <c r="BD10" s="20">
        <v>410866</v>
      </c>
      <c r="BE10" s="20"/>
      <c r="BF10" s="20">
        <v>427057</v>
      </c>
      <c r="BG10" s="20">
        <v>6241</v>
      </c>
      <c r="BH10" s="20">
        <v>4133</v>
      </c>
      <c r="BI10" s="20">
        <v>17735</v>
      </c>
      <c r="BJ10" s="20"/>
      <c r="BK10" s="20">
        <v>1242</v>
      </c>
      <c r="BL10" s="20">
        <v>3859</v>
      </c>
      <c r="BM10" s="20">
        <v>18654</v>
      </c>
      <c r="BN10" s="133">
        <f>+BM10-'ESF GA separado'!C8</f>
        <v>0</v>
      </c>
      <c r="BO10" s="133">
        <f>+BI10-'ESF GA separado'!D8</f>
        <v>0</v>
      </c>
    </row>
    <row r="11" spans="2:67" ht="16.5" hidden="1" customHeight="1">
      <c r="B11" s="11" t="s">
        <v>16</v>
      </c>
      <c r="C11" s="22">
        <v>2681</v>
      </c>
      <c r="D11" s="11"/>
      <c r="E11" s="20">
        <v>4375</v>
      </c>
      <c r="F11" s="22">
        <v>0</v>
      </c>
      <c r="G11" s="22">
        <v>0</v>
      </c>
      <c r="H11" s="22">
        <v>0</v>
      </c>
      <c r="J11" s="20">
        <v>2696</v>
      </c>
      <c r="K11" s="20">
        <v>1184</v>
      </c>
      <c r="L11" s="20">
        <v>17393</v>
      </c>
      <c r="M11" s="20">
        <v>15940</v>
      </c>
      <c r="N11" s="20">
        <v>15940</v>
      </c>
      <c r="P11" s="22">
        <v>0</v>
      </c>
      <c r="Q11" s="22">
        <v>0</v>
      </c>
      <c r="R11" s="22">
        <v>0</v>
      </c>
      <c r="S11" s="22">
        <v>0</v>
      </c>
      <c r="T11" s="22">
        <v>0</v>
      </c>
      <c r="U11" s="22">
        <v>0</v>
      </c>
      <c r="W11" s="22">
        <v>0</v>
      </c>
      <c r="X11" s="22">
        <v>0</v>
      </c>
      <c r="Y11" s="129">
        <v>0</v>
      </c>
      <c r="Z11" s="129">
        <v>0</v>
      </c>
      <c r="AB11" s="22">
        <v>0</v>
      </c>
      <c r="AC11" s="22">
        <v>0</v>
      </c>
      <c r="AD11" s="129">
        <v>3822</v>
      </c>
      <c r="AE11" s="129">
        <v>2932</v>
      </c>
      <c r="AF11" s="32"/>
      <c r="AG11" s="22">
        <v>0</v>
      </c>
      <c r="AH11" s="22">
        <v>0</v>
      </c>
      <c r="AI11" s="22">
        <v>0</v>
      </c>
      <c r="AJ11" s="22">
        <v>0</v>
      </c>
      <c r="AK11" s="32"/>
      <c r="AL11" s="22">
        <v>0</v>
      </c>
      <c r="AM11" s="22">
        <v>837</v>
      </c>
      <c r="AN11" s="22">
        <v>0</v>
      </c>
      <c r="AO11" s="22">
        <v>0</v>
      </c>
      <c r="AP11" s="32"/>
      <c r="AQ11" s="22">
        <v>83</v>
      </c>
      <c r="AR11" s="22">
        <v>439</v>
      </c>
      <c r="AS11" s="22">
        <v>1796</v>
      </c>
      <c r="AT11" s="22">
        <v>3000</v>
      </c>
      <c r="AU11" s="32"/>
      <c r="AV11" s="22">
        <v>3852</v>
      </c>
      <c r="AW11" s="22">
        <v>1937</v>
      </c>
      <c r="AX11" s="22">
        <v>2304</v>
      </c>
      <c r="AY11" s="22">
        <v>3521</v>
      </c>
      <c r="AZ11" s="22"/>
      <c r="BA11" s="22">
        <v>2514</v>
      </c>
      <c r="BB11" s="22">
        <v>2172</v>
      </c>
      <c r="BC11" s="22">
        <v>2241</v>
      </c>
      <c r="BD11" s="22">
        <v>9936</v>
      </c>
      <c r="BE11" s="22"/>
      <c r="BF11" s="22">
        <v>13825</v>
      </c>
      <c r="BG11" s="22">
        <v>6</v>
      </c>
      <c r="BH11" s="22">
        <v>0</v>
      </c>
      <c r="BI11" s="22">
        <v>0</v>
      </c>
      <c r="BJ11" s="22"/>
      <c r="BK11" s="22">
        <v>0</v>
      </c>
      <c r="BL11" s="22">
        <v>0</v>
      </c>
      <c r="BM11" s="22">
        <v>0</v>
      </c>
      <c r="BN11" s="133">
        <f>+BM11-'ESF GA separado'!C9</f>
        <v>0</v>
      </c>
      <c r="BO11" s="133">
        <f>+BI11-'ESF GA separado'!D9</f>
        <v>0</v>
      </c>
    </row>
    <row r="12" spans="2:67" ht="16.5" hidden="1" customHeight="1">
      <c r="B12" s="11" t="s">
        <v>185</v>
      </c>
      <c r="C12" s="22">
        <v>55478</v>
      </c>
      <c r="D12" s="11"/>
      <c r="E12" s="22">
        <v>60316</v>
      </c>
      <c r="F12" s="22">
        <v>0</v>
      </c>
      <c r="G12" s="22">
        <v>30065</v>
      </c>
      <c r="H12" s="22">
        <v>15165</v>
      </c>
      <c r="J12" s="22">
        <v>0</v>
      </c>
      <c r="K12" s="22">
        <v>0</v>
      </c>
      <c r="L12" s="22">
        <v>15000</v>
      </c>
      <c r="M12" s="22">
        <v>0</v>
      </c>
      <c r="N12" s="22" t="s">
        <v>186</v>
      </c>
      <c r="P12" s="22">
        <v>0</v>
      </c>
      <c r="Q12" s="22">
        <v>2129</v>
      </c>
      <c r="R12" s="22">
        <v>0</v>
      </c>
      <c r="S12" s="22">
        <v>0</v>
      </c>
      <c r="T12" s="22">
        <v>0</v>
      </c>
      <c r="U12" s="22">
        <v>0</v>
      </c>
      <c r="W12" s="22">
        <v>0</v>
      </c>
      <c r="X12" s="22">
        <v>0</v>
      </c>
      <c r="Y12" s="129">
        <v>162476</v>
      </c>
      <c r="Z12" s="129">
        <v>13692</v>
      </c>
      <c r="AB12" s="22">
        <v>10206</v>
      </c>
      <c r="AC12" s="22">
        <v>0</v>
      </c>
      <c r="AD12" s="129">
        <v>0</v>
      </c>
      <c r="AE12" s="129">
        <v>0</v>
      </c>
      <c r="AF12" s="32"/>
      <c r="AG12" s="22"/>
      <c r="AH12" s="22">
        <v>0</v>
      </c>
      <c r="AI12" s="22">
        <v>0</v>
      </c>
      <c r="AJ12" s="22">
        <v>0</v>
      </c>
      <c r="AK12" s="32"/>
      <c r="AL12" s="22"/>
      <c r="AM12" s="22">
        <v>0</v>
      </c>
      <c r="AN12" s="22">
        <v>0</v>
      </c>
      <c r="AO12" s="22">
        <v>0</v>
      </c>
      <c r="AP12" s="32"/>
      <c r="AQ12" s="22"/>
      <c r="AR12" s="22"/>
      <c r="AS12" s="22"/>
      <c r="AT12" s="22">
        <v>0</v>
      </c>
      <c r="AU12" s="32"/>
      <c r="AV12" s="22">
        <v>16547</v>
      </c>
      <c r="AW12" s="22">
        <v>192218</v>
      </c>
      <c r="AX12" s="22">
        <v>179820</v>
      </c>
      <c r="AY12" s="22">
        <v>180828</v>
      </c>
      <c r="AZ12" s="22"/>
      <c r="BA12" s="22">
        <v>5231</v>
      </c>
      <c r="BB12" s="22">
        <v>5138</v>
      </c>
      <c r="BC12" s="22">
        <v>45751</v>
      </c>
      <c r="BD12" s="22">
        <v>43954</v>
      </c>
      <c r="BE12" s="22"/>
      <c r="BF12" s="22">
        <v>0</v>
      </c>
      <c r="BG12" s="22">
        <v>0</v>
      </c>
      <c r="BH12" s="22">
        <v>0</v>
      </c>
      <c r="BI12" s="22">
        <v>0</v>
      </c>
      <c r="BJ12" s="22"/>
      <c r="BK12" s="22">
        <v>0</v>
      </c>
      <c r="BL12" s="22">
        <v>0</v>
      </c>
      <c r="BM12" s="22">
        <v>0</v>
      </c>
      <c r="BN12" s="133">
        <f>+BM12-'ESF GA separado'!C10</f>
        <v>0</v>
      </c>
      <c r="BO12" s="133">
        <f>+BI12-'ESF GA separado'!D10</f>
        <v>0</v>
      </c>
    </row>
    <row r="13" spans="2:67" ht="25">
      <c r="B13" s="11" t="s">
        <v>18</v>
      </c>
      <c r="C13" s="20">
        <v>208189</v>
      </c>
      <c r="D13" s="11"/>
      <c r="E13" s="20">
        <v>458659</v>
      </c>
      <c r="F13" s="20">
        <v>379799</v>
      </c>
      <c r="G13" s="20">
        <f>277940+1</f>
        <v>277941</v>
      </c>
      <c r="H13" s="20">
        <v>210989</v>
      </c>
      <c r="J13" s="20">
        <v>447252</v>
      </c>
      <c r="K13" s="20">
        <v>362123</v>
      </c>
      <c r="L13" s="20">
        <v>319542</v>
      </c>
      <c r="M13" s="20">
        <v>231844</v>
      </c>
      <c r="N13" s="20">
        <v>231844</v>
      </c>
      <c r="P13" s="20">
        <v>435227</v>
      </c>
      <c r="Q13" s="20">
        <v>318151</v>
      </c>
      <c r="R13" s="20">
        <v>261026</v>
      </c>
      <c r="S13" s="20">
        <v>260997</v>
      </c>
      <c r="T13" s="20">
        <v>266766</v>
      </c>
      <c r="U13" s="20">
        <v>271659</v>
      </c>
      <c r="W13" s="20">
        <v>547860</v>
      </c>
      <c r="X13" s="20">
        <v>384576</v>
      </c>
      <c r="Y13" s="129">
        <v>387617</v>
      </c>
      <c r="Z13" s="129">
        <v>198433</v>
      </c>
      <c r="AB13" s="20">
        <v>567510</v>
      </c>
      <c r="AC13" s="20">
        <v>467637</v>
      </c>
      <c r="AD13" s="129">
        <v>234105</v>
      </c>
      <c r="AE13" s="129">
        <v>172699</v>
      </c>
      <c r="AF13" s="32"/>
      <c r="AG13" s="20">
        <v>498101</v>
      </c>
      <c r="AH13" s="22">
        <v>365488</v>
      </c>
      <c r="AI13" s="22">
        <v>283086</v>
      </c>
      <c r="AJ13" s="22">
        <v>254041</v>
      </c>
      <c r="AK13" s="32"/>
      <c r="AL13" s="20">
        <v>675079</v>
      </c>
      <c r="AM13" s="22">
        <v>593858</v>
      </c>
      <c r="AN13" s="22">
        <v>515850</v>
      </c>
      <c r="AO13" s="22">
        <v>330216</v>
      </c>
      <c r="AP13" s="32"/>
      <c r="AQ13" s="20">
        <v>555556</v>
      </c>
      <c r="AR13" s="22">
        <v>341546</v>
      </c>
      <c r="AS13" s="22">
        <v>307281</v>
      </c>
      <c r="AT13" s="22">
        <v>200051</v>
      </c>
      <c r="AU13" s="32"/>
      <c r="AV13" s="20">
        <v>981584</v>
      </c>
      <c r="AW13" s="22">
        <v>458191</v>
      </c>
      <c r="AX13" s="22">
        <v>345732</v>
      </c>
      <c r="AY13" s="22">
        <v>262194</v>
      </c>
      <c r="AZ13" s="22"/>
      <c r="BA13" s="20">
        <v>584330</v>
      </c>
      <c r="BB13" s="20">
        <v>583775</v>
      </c>
      <c r="BC13" s="20">
        <v>436179</v>
      </c>
      <c r="BD13" s="20">
        <v>407870</v>
      </c>
      <c r="BE13" s="20"/>
      <c r="BF13" s="20">
        <v>710347</v>
      </c>
      <c r="BG13" s="20">
        <v>738543</v>
      </c>
      <c r="BH13" s="20">
        <v>492265</v>
      </c>
      <c r="BI13" s="20">
        <v>342536</v>
      </c>
      <c r="BJ13" s="20"/>
      <c r="BK13" s="20">
        <v>1117005</v>
      </c>
      <c r="BL13" s="20">
        <v>826347</v>
      </c>
      <c r="BM13" s="20">
        <v>663552</v>
      </c>
      <c r="BN13" s="133">
        <f>+BM13-'ESF GA separado'!C11</f>
        <v>0</v>
      </c>
      <c r="BO13" s="133">
        <f>+BI13-'ESF GA separado'!D11</f>
        <v>0</v>
      </c>
    </row>
    <row r="14" spans="2:67" ht="16.5" customHeight="1">
      <c r="B14" s="11" t="s">
        <v>19</v>
      </c>
      <c r="C14" s="20">
        <v>52011</v>
      </c>
      <c r="D14" s="11"/>
      <c r="E14" s="20">
        <v>27415</v>
      </c>
      <c r="F14" s="20">
        <v>29057</v>
      </c>
      <c r="G14" s="20">
        <v>30903</v>
      </c>
      <c r="H14" s="20">
        <v>17729</v>
      </c>
      <c r="J14" s="20">
        <v>37032</v>
      </c>
      <c r="K14" s="20">
        <v>43090</v>
      </c>
      <c r="L14" s="20">
        <v>46116</v>
      </c>
      <c r="M14" s="20">
        <v>9448</v>
      </c>
      <c r="N14" s="20">
        <v>9448</v>
      </c>
      <c r="P14" s="20">
        <v>5844</v>
      </c>
      <c r="Q14" s="20">
        <v>92560</v>
      </c>
      <c r="R14" s="20">
        <v>102371</v>
      </c>
      <c r="S14" s="20">
        <v>96864</v>
      </c>
      <c r="T14" s="20">
        <v>81488</v>
      </c>
      <c r="U14" s="20">
        <v>81818</v>
      </c>
      <c r="W14" s="20">
        <v>130304</v>
      </c>
      <c r="X14" s="20">
        <v>128656</v>
      </c>
      <c r="Y14" s="129">
        <v>119616</v>
      </c>
      <c r="Z14" s="129">
        <v>164685</v>
      </c>
      <c r="AB14" s="20">
        <v>164877</v>
      </c>
      <c r="AC14" s="20">
        <v>165035</v>
      </c>
      <c r="AD14" s="129">
        <v>165170</v>
      </c>
      <c r="AE14" s="134">
        <v>172868</v>
      </c>
      <c r="AF14" s="32"/>
      <c r="AG14" s="20">
        <v>167740</v>
      </c>
      <c r="AH14" s="22">
        <v>167976</v>
      </c>
      <c r="AI14" s="22">
        <v>168092</v>
      </c>
      <c r="AJ14" s="22">
        <v>169602</v>
      </c>
      <c r="AK14" s="32"/>
      <c r="AL14" s="20">
        <v>169877</v>
      </c>
      <c r="AM14" s="22">
        <v>228152</v>
      </c>
      <c r="AN14" s="22">
        <v>254583</v>
      </c>
      <c r="AO14" s="22">
        <v>248887</v>
      </c>
      <c r="AP14" s="32"/>
      <c r="AQ14" s="20">
        <v>249758</v>
      </c>
      <c r="AR14" s="22">
        <v>194384</v>
      </c>
      <c r="AS14" s="22">
        <v>191889</v>
      </c>
      <c r="AT14" s="22">
        <v>200354</v>
      </c>
      <c r="AU14" s="32"/>
      <c r="AV14" s="20">
        <v>263573</v>
      </c>
      <c r="AW14" s="22">
        <v>257774</v>
      </c>
      <c r="AX14" s="22">
        <v>249493</v>
      </c>
      <c r="AY14" s="22">
        <v>268832</v>
      </c>
      <c r="AZ14" s="22"/>
      <c r="BA14" s="20">
        <v>259796</v>
      </c>
      <c r="BB14" s="20">
        <v>329378</v>
      </c>
      <c r="BC14" s="20">
        <v>327745</v>
      </c>
      <c r="BD14" s="20">
        <v>293414</v>
      </c>
      <c r="BE14" s="20"/>
      <c r="BF14" s="20">
        <v>292785</v>
      </c>
      <c r="BG14" s="20">
        <v>389757</v>
      </c>
      <c r="BH14" s="20">
        <v>393190</v>
      </c>
      <c r="BI14" s="20">
        <v>338725</v>
      </c>
      <c r="BJ14" s="20"/>
      <c r="BK14" s="20">
        <v>943995</v>
      </c>
      <c r="BL14" s="20">
        <v>946722</v>
      </c>
      <c r="BM14" s="20">
        <v>949814</v>
      </c>
      <c r="BN14" s="133">
        <f>+BM14-'ESF GA separado'!C12</f>
        <v>0</v>
      </c>
      <c r="BO14" s="133">
        <f>+BI14-'ESF GA separado'!D12</f>
        <v>0</v>
      </c>
    </row>
    <row r="15" spans="2:67" ht="16.5" hidden="1" customHeight="1">
      <c r="B15" s="11" t="s">
        <v>20</v>
      </c>
      <c r="C15" s="22">
        <v>0</v>
      </c>
      <c r="D15" s="11"/>
      <c r="E15" s="22">
        <v>0</v>
      </c>
      <c r="F15" s="22">
        <v>0</v>
      </c>
      <c r="G15" s="22">
        <v>0</v>
      </c>
      <c r="H15" s="22">
        <v>0</v>
      </c>
      <c r="J15" s="22">
        <v>0</v>
      </c>
      <c r="K15" s="22">
        <v>0</v>
      </c>
      <c r="L15" s="22">
        <v>0</v>
      </c>
      <c r="M15" s="22">
        <v>0</v>
      </c>
      <c r="N15" s="22">
        <v>0</v>
      </c>
      <c r="P15" s="22">
        <v>0</v>
      </c>
      <c r="Q15" s="22">
        <v>0</v>
      </c>
      <c r="R15" s="22">
        <v>0</v>
      </c>
      <c r="S15" s="22">
        <v>0</v>
      </c>
      <c r="T15" s="22">
        <v>0</v>
      </c>
      <c r="U15" s="22">
        <v>0</v>
      </c>
      <c r="W15" s="22">
        <v>0</v>
      </c>
      <c r="X15" s="135">
        <v>0</v>
      </c>
      <c r="Y15" s="129">
        <v>0</v>
      </c>
      <c r="Z15" s="129">
        <v>0</v>
      </c>
      <c r="AB15" s="22">
        <v>0</v>
      </c>
      <c r="AC15" s="135">
        <v>0</v>
      </c>
      <c r="AD15" s="129">
        <v>0</v>
      </c>
      <c r="AE15" s="129">
        <v>0</v>
      </c>
      <c r="AF15" s="32"/>
      <c r="AG15" s="22"/>
      <c r="AH15" s="22">
        <v>0</v>
      </c>
      <c r="AI15" s="22"/>
      <c r="AJ15" s="22"/>
      <c r="AK15" s="32"/>
      <c r="AL15" s="22"/>
      <c r="AM15" s="22"/>
      <c r="AN15" s="22"/>
      <c r="AO15" s="22"/>
      <c r="AP15" s="32"/>
      <c r="AQ15" s="22"/>
      <c r="AR15" s="22"/>
      <c r="AS15" s="22"/>
      <c r="AT15" s="22"/>
      <c r="AU15" s="32"/>
      <c r="AV15" s="22"/>
      <c r="AW15" s="22"/>
      <c r="AX15" s="22"/>
      <c r="AY15" s="22">
        <v>0</v>
      </c>
      <c r="AZ15" s="22"/>
      <c r="BA15" s="22">
        <v>0</v>
      </c>
      <c r="BB15" s="22">
        <v>0</v>
      </c>
      <c r="BC15" s="22">
        <v>0</v>
      </c>
      <c r="BD15" s="22">
        <v>0</v>
      </c>
      <c r="BE15" s="22"/>
      <c r="BF15" s="22">
        <v>0</v>
      </c>
      <c r="BG15" s="22">
        <v>0</v>
      </c>
      <c r="BH15" s="22">
        <v>0</v>
      </c>
      <c r="BI15" s="22">
        <v>0</v>
      </c>
      <c r="BJ15" s="22"/>
      <c r="BK15" s="22">
        <v>0</v>
      </c>
      <c r="BL15" s="22">
        <v>0</v>
      </c>
      <c r="BM15" s="22">
        <v>0</v>
      </c>
      <c r="BN15" s="133">
        <f>+BM15-'ESF GA separado'!C13</f>
        <v>0</v>
      </c>
      <c r="BO15" s="133">
        <f>+BI15-'ESF GA separado'!D13</f>
        <v>0</v>
      </c>
    </row>
    <row r="16" spans="2:67" ht="25">
      <c r="B16" s="11" t="s">
        <v>21</v>
      </c>
      <c r="C16" s="20">
        <v>1623</v>
      </c>
      <c r="D16" s="11"/>
      <c r="E16" s="20">
        <v>22345</v>
      </c>
      <c r="F16" s="20">
        <v>2933</v>
      </c>
      <c r="G16" s="20">
        <v>2785</v>
      </c>
      <c r="H16" s="20">
        <v>2644</v>
      </c>
      <c r="J16" s="20">
        <v>61586</v>
      </c>
      <c r="K16" s="20">
        <v>1750</v>
      </c>
      <c r="L16" s="20">
        <v>2833</v>
      </c>
      <c r="M16" s="20">
        <v>1050</v>
      </c>
      <c r="N16" s="20">
        <v>1050</v>
      </c>
      <c r="P16" s="20">
        <v>2211</v>
      </c>
      <c r="Q16" s="20">
        <v>8367</v>
      </c>
      <c r="R16" s="20">
        <v>6699</v>
      </c>
      <c r="S16" s="20">
        <v>6728</v>
      </c>
      <c r="T16" s="20">
        <v>6660</v>
      </c>
      <c r="U16" s="20">
        <v>6667</v>
      </c>
      <c r="W16" s="20">
        <v>6384</v>
      </c>
      <c r="X16" s="20">
        <v>5696</v>
      </c>
      <c r="Y16" s="134">
        <v>6719</v>
      </c>
      <c r="Z16" s="134">
        <v>3660</v>
      </c>
      <c r="AA16" s="134"/>
      <c r="AB16" s="20">
        <v>3349</v>
      </c>
      <c r="AC16" s="20">
        <v>2369</v>
      </c>
      <c r="AD16" s="134">
        <v>3887</v>
      </c>
      <c r="AE16" s="134">
        <v>1656</v>
      </c>
      <c r="AF16" s="32"/>
      <c r="AG16" s="20">
        <v>2449</v>
      </c>
      <c r="AH16" s="22">
        <v>2538</v>
      </c>
      <c r="AI16" s="22">
        <v>2783</v>
      </c>
      <c r="AJ16" s="22">
        <v>1189</v>
      </c>
      <c r="AK16" s="32"/>
      <c r="AL16" s="20">
        <v>1972</v>
      </c>
      <c r="AM16" s="22">
        <v>2392</v>
      </c>
      <c r="AN16" s="22">
        <v>3150</v>
      </c>
      <c r="AO16" s="22">
        <v>5026</v>
      </c>
      <c r="AP16" s="32"/>
      <c r="AQ16" s="20">
        <v>6465</v>
      </c>
      <c r="AR16" s="22">
        <v>9110</v>
      </c>
      <c r="AS16" s="22">
        <v>8517</v>
      </c>
      <c r="AT16" s="22">
        <v>5631</v>
      </c>
      <c r="AU16" s="32"/>
      <c r="AV16" s="20">
        <v>4472</v>
      </c>
      <c r="AW16" s="22">
        <v>16182</v>
      </c>
      <c r="AX16" s="22">
        <v>20700</v>
      </c>
      <c r="AY16" s="22">
        <v>32209</v>
      </c>
      <c r="AZ16" s="22"/>
      <c r="BA16" s="20">
        <v>24466</v>
      </c>
      <c r="BB16" s="20">
        <v>19970</v>
      </c>
      <c r="BC16" s="20">
        <v>14865</v>
      </c>
      <c r="BD16" s="20">
        <v>24178</v>
      </c>
      <c r="BE16" s="20"/>
      <c r="BF16" s="20">
        <v>17346</v>
      </c>
      <c r="BG16" s="20">
        <v>23561</v>
      </c>
      <c r="BH16" s="20">
        <v>16045</v>
      </c>
      <c r="BI16" s="20">
        <v>15695</v>
      </c>
      <c r="BJ16" s="20"/>
      <c r="BK16" s="20">
        <v>12429</v>
      </c>
      <c r="BL16" s="20">
        <v>15947</v>
      </c>
      <c r="BM16" s="20">
        <v>12744</v>
      </c>
      <c r="BN16" s="1139">
        <f>+BM16-'ESF GA separado'!C14</f>
        <v>0</v>
      </c>
      <c r="BO16" s="1139">
        <f>+BI16-'ESF GA separado'!D14</f>
        <v>0</v>
      </c>
    </row>
    <row r="17" spans="2:67" ht="17.25" customHeight="1">
      <c r="B17" s="11" t="s">
        <v>22</v>
      </c>
      <c r="C17" s="22">
        <v>7</v>
      </c>
      <c r="D17" s="11"/>
      <c r="E17" s="20">
        <v>27</v>
      </c>
      <c r="F17" s="20">
        <v>27</v>
      </c>
      <c r="G17" s="20">
        <v>27</v>
      </c>
      <c r="H17" s="22">
        <v>0</v>
      </c>
      <c r="J17" s="20">
        <v>21</v>
      </c>
      <c r="K17" s="20">
        <v>21</v>
      </c>
      <c r="L17" s="20">
        <v>21</v>
      </c>
      <c r="M17" s="20">
        <v>94740</v>
      </c>
      <c r="N17" s="22">
        <v>0</v>
      </c>
      <c r="P17" s="20">
        <v>94740</v>
      </c>
      <c r="Q17" s="20">
        <v>94740</v>
      </c>
      <c r="R17" s="20">
        <v>94740</v>
      </c>
      <c r="S17" s="135">
        <v>0</v>
      </c>
      <c r="T17" s="22">
        <v>0</v>
      </c>
      <c r="U17" s="22">
        <v>140</v>
      </c>
      <c r="W17" s="22">
        <v>0</v>
      </c>
      <c r="X17" s="22">
        <v>0</v>
      </c>
      <c r="Y17" s="129">
        <v>0</v>
      </c>
      <c r="Z17" s="129">
        <v>0</v>
      </c>
      <c r="AB17" s="22">
        <v>0</v>
      </c>
      <c r="AC17" s="22">
        <v>0</v>
      </c>
      <c r="AD17" s="129">
        <v>0</v>
      </c>
      <c r="AE17" s="129">
        <v>0</v>
      </c>
      <c r="AF17" s="32"/>
      <c r="AG17" s="22">
        <v>0</v>
      </c>
      <c r="AH17" s="22">
        <v>0</v>
      </c>
      <c r="AI17" s="22">
        <v>0</v>
      </c>
      <c r="AJ17" s="22">
        <v>24478</v>
      </c>
      <c r="AK17" s="32"/>
      <c r="AL17" s="22">
        <v>0</v>
      </c>
      <c r="AM17" s="22">
        <v>835</v>
      </c>
      <c r="AN17" s="22">
        <v>0</v>
      </c>
      <c r="AO17" s="22">
        <v>0</v>
      </c>
      <c r="AP17" s="32"/>
      <c r="AQ17" s="22">
        <v>1148</v>
      </c>
      <c r="AR17" s="22">
        <v>0</v>
      </c>
      <c r="AS17" s="22"/>
      <c r="AT17" s="22">
        <v>0</v>
      </c>
      <c r="AU17" s="32"/>
      <c r="AV17" s="22">
        <v>0</v>
      </c>
      <c r="AW17" s="22">
        <v>0</v>
      </c>
      <c r="AX17" s="22">
        <v>64617</v>
      </c>
      <c r="AY17" s="22">
        <v>64617</v>
      </c>
      <c r="AZ17" s="22"/>
      <c r="BA17" s="22">
        <v>64617</v>
      </c>
      <c r="BB17" s="22">
        <v>2372131</v>
      </c>
      <c r="BC17" s="22">
        <v>2240472</v>
      </c>
      <c r="BD17" s="22">
        <v>2035970</v>
      </c>
      <c r="BE17" s="22"/>
      <c r="BF17" s="22">
        <v>0</v>
      </c>
      <c r="BG17" s="22">
        <v>0</v>
      </c>
      <c r="BH17" s="22">
        <v>0</v>
      </c>
      <c r="BI17" s="22">
        <v>0</v>
      </c>
      <c r="BJ17" s="22"/>
      <c r="BK17" s="22">
        <v>6971797</v>
      </c>
      <c r="BL17" s="22">
        <v>6971797</v>
      </c>
      <c r="BM17" s="22">
        <v>905</v>
      </c>
      <c r="BN17" s="133">
        <f>+BM17-'ESF GA separado'!C15</f>
        <v>0</v>
      </c>
      <c r="BO17" s="133">
        <f>+BI17-'ESF GA separado'!D15</f>
        <v>0</v>
      </c>
    </row>
    <row r="18" spans="2:67">
      <c r="B18" s="11"/>
      <c r="C18" s="20"/>
      <c r="D18" s="11"/>
      <c r="E18" s="20"/>
      <c r="F18" s="20"/>
      <c r="G18" s="20"/>
      <c r="H18" s="20"/>
      <c r="J18" s="20"/>
      <c r="K18" s="20"/>
      <c r="L18" s="20"/>
      <c r="M18" s="20"/>
      <c r="N18" s="20"/>
      <c r="P18" s="20"/>
      <c r="Q18" s="20"/>
      <c r="R18" s="20"/>
      <c r="S18" s="20"/>
      <c r="T18" s="20"/>
      <c r="U18" s="20"/>
      <c r="W18" s="20"/>
      <c r="X18" s="20"/>
      <c r="AB18" s="20"/>
      <c r="AC18" s="20"/>
      <c r="AF18" s="32"/>
      <c r="AG18" s="20"/>
      <c r="AH18" s="20"/>
      <c r="AK18" s="32"/>
      <c r="AL18" s="20"/>
      <c r="AM18" s="20"/>
      <c r="AP18" s="32"/>
      <c r="AQ18" s="20"/>
      <c r="AR18" s="20"/>
      <c r="AS18" s="20"/>
      <c r="AT18" s="20"/>
      <c r="AU18" s="32"/>
      <c r="AV18" s="20"/>
      <c r="AW18" s="20"/>
      <c r="AX18" s="20"/>
      <c r="AY18" s="20"/>
      <c r="AZ18" s="20"/>
      <c r="BA18" s="20"/>
      <c r="BB18" s="20"/>
      <c r="BC18" s="20"/>
      <c r="BD18" s="20"/>
      <c r="BE18" s="20"/>
      <c r="BF18" s="20"/>
      <c r="BG18" s="20"/>
      <c r="BH18" s="20"/>
      <c r="BI18" s="20"/>
      <c r="BJ18" s="20"/>
      <c r="BK18" s="20"/>
      <c r="BL18" s="20"/>
      <c r="BM18" s="20"/>
      <c r="BN18" s="133"/>
      <c r="BO18" s="133"/>
    </row>
    <row r="19" spans="2:67" ht="16.5" customHeight="1">
      <c r="B19" s="17" t="s">
        <v>23</v>
      </c>
      <c r="C19" s="18">
        <f>+SUM(C10:C17)</f>
        <v>340398</v>
      </c>
      <c r="D19" s="17"/>
      <c r="E19" s="18">
        <f>+SUM(E10:E17)</f>
        <v>617515</v>
      </c>
      <c r="F19" s="18">
        <f>+SUM(F10:F17)</f>
        <v>446695</v>
      </c>
      <c r="G19" s="18">
        <f>+SUM(G10:G17)</f>
        <v>710140</v>
      </c>
      <c r="H19" s="18">
        <f>+SUM(H10:H17)</f>
        <v>412505</v>
      </c>
      <c r="I19" s="137"/>
      <c r="J19" s="18">
        <f>+SUM(J10:J17)</f>
        <v>761270</v>
      </c>
      <c r="K19" s="18">
        <f>+SUM(K10:K17)</f>
        <v>433790</v>
      </c>
      <c r="L19" s="18">
        <f>+SUM(L10:L17)</f>
        <v>800120</v>
      </c>
      <c r="M19" s="18">
        <f>+SUM(M10:M17)</f>
        <v>664476</v>
      </c>
      <c r="N19" s="18">
        <f>+SUM(N10:N17)</f>
        <v>569736</v>
      </c>
      <c r="P19" s="18">
        <f t="shared" ref="P19:U19" si="0">+SUM(P10:P17)</f>
        <v>683083</v>
      </c>
      <c r="Q19" s="18">
        <f t="shared" si="0"/>
        <v>552405</v>
      </c>
      <c r="R19" s="18">
        <f t="shared" si="0"/>
        <v>630398</v>
      </c>
      <c r="S19" s="18">
        <f t="shared" si="0"/>
        <v>530151</v>
      </c>
      <c r="T19" s="18">
        <f t="shared" si="0"/>
        <v>534272</v>
      </c>
      <c r="U19" s="18">
        <f t="shared" si="0"/>
        <v>540295</v>
      </c>
      <c r="W19" s="18">
        <f>+SUM(W10:W17)</f>
        <v>688766</v>
      </c>
      <c r="X19" s="18">
        <f>+SUM(X10:X17)</f>
        <v>590565</v>
      </c>
      <c r="Y19" s="18">
        <f>+SUM(Y10:Y17)</f>
        <v>782578</v>
      </c>
      <c r="Z19" s="18">
        <f>+SUM(Z10:Z17)</f>
        <v>679552</v>
      </c>
      <c r="AB19" s="18">
        <f>+SUM(AB10:AB17)</f>
        <v>825408</v>
      </c>
      <c r="AC19" s="18">
        <f>+SUM(AC10:AC17)</f>
        <v>648902</v>
      </c>
      <c r="AD19" s="18">
        <f>+SUM(AD10:AD17)</f>
        <v>409473</v>
      </c>
      <c r="AE19" s="18">
        <f>+SUM(AE10:AE17)</f>
        <v>355005</v>
      </c>
      <c r="AF19" s="32"/>
      <c r="AG19" s="18">
        <f>+SUM(AG10:AG17)</f>
        <v>675820</v>
      </c>
      <c r="AH19" s="18">
        <f>+SUM(AH10:AH17)</f>
        <v>537812</v>
      </c>
      <c r="AI19" s="18">
        <f>+SUM(AI10:AI17)</f>
        <v>455933</v>
      </c>
      <c r="AJ19" s="18">
        <f>+SUM(AJ10:AJ17)</f>
        <v>451039</v>
      </c>
      <c r="AK19" s="32"/>
      <c r="AL19" s="18">
        <f>+SUM(AL10:AL17)</f>
        <v>961996</v>
      </c>
      <c r="AM19" s="18">
        <f>+SUM(AM10:AM17)</f>
        <v>942167</v>
      </c>
      <c r="AN19" s="18">
        <f>+SUM(AN10:AN17)</f>
        <v>889955</v>
      </c>
      <c r="AO19" s="18">
        <f>+SUM(AO10:AO17)</f>
        <v>608277</v>
      </c>
      <c r="AP19" s="32"/>
      <c r="AQ19" s="18">
        <f>+SUM(AQ10:AQ17)</f>
        <v>814762</v>
      </c>
      <c r="AR19" s="18">
        <f>+SUM(AR10:AR17)</f>
        <v>547569</v>
      </c>
      <c r="AS19" s="18">
        <f>+SUM(AS10:AS17)</f>
        <v>513718</v>
      </c>
      <c r="AT19" s="18">
        <f>+SUM(AT10:AT17)</f>
        <v>425273</v>
      </c>
      <c r="AU19" s="32"/>
      <c r="AV19" s="18">
        <f>+SUM(AV10:AV17)</f>
        <v>1278074</v>
      </c>
      <c r="AW19" s="18">
        <f>+SUM(AW10:AW17)</f>
        <v>1127132</v>
      </c>
      <c r="AX19" s="18">
        <f>+SUM(AX10:AX17)</f>
        <v>949010</v>
      </c>
      <c r="AY19" s="18">
        <f>+SUM(AY10:AY17)</f>
        <v>884520</v>
      </c>
      <c r="AZ19" s="18"/>
      <c r="BA19" s="18">
        <f t="shared" ref="BA19:BD19" si="1">+SUM(BA10:BA17)</f>
        <v>955202</v>
      </c>
      <c r="BB19" s="18">
        <f t="shared" si="1"/>
        <v>3545616</v>
      </c>
      <c r="BC19" s="18">
        <f t="shared" si="1"/>
        <v>3494885</v>
      </c>
      <c r="BD19" s="18">
        <f t="shared" si="1"/>
        <v>3226188</v>
      </c>
      <c r="BE19" s="18"/>
      <c r="BF19" s="18">
        <f t="shared" ref="BF19:BI19" si="2">+SUM(BF10:BF17)</f>
        <v>1461360</v>
      </c>
      <c r="BG19" s="18">
        <f t="shared" si="2"/>
        <v>1158108</v>
      </c>
      <c r="BH19" s="18">
        <f t="shared" si="2"/>
        <v>905633</v>
      </c>
      <c r="BI19" s="18">
        <f t="shared" si="2"/>
        <v>714691</v>
      </c>
      <c r="BJ19" s="18"/>
      <c r="BK19" s="18">
        <f t="shared" ref="BK19" si="3">+SUM(BK10:BK17)</f>
        <v>9046468</v>
      </c>
      <c r="BL19" s="18">
        <f>+SUM(BL10:BL17)</f>
        <v>8764672</v>
      </c>
      <c r="BM19" s="18">
        <f>+SUM(BM10:BM17)</f>
        <v>1645669</v>
      </c>
      <c r="BN19" s="133">
        <f>+BM19-'ESF GA separado'!C17</f>
        <v>0</v>
      </c>
      <c r="BO19" s="133">
        <f>+BI19-'ESF GA separado'!D17</f>
        <v>0</v>
      </c>
    </row>
    <row r="20" spans="2:67" ht="4.5" customHeight="1">
      <c r="C20" s="20"/>
      <c r="E20" s="20"/>
      <c r="F20" s="20"/>
      <c r="G20" s="20"/>
      <c r="H20" s="20"/>
      <c r="J20" s="20"/>
      <c r="K20" s="20"/>
      <c r="L20" s="20"/>
      <c r="M20" s="20"/>
      <c r="N20" s="20"/>
      <c r="P20" s="20"/>
      <c r="Q20" s="20"/>
      <c r="R20" s="20"/>
      <c r="S20" s="20"/>
      <c r="T20" s="20"/>
      <c r="U20" s="20"/>
      <c r="W20" s="20"/>
      <c r="AB20" s="20"/>
      <c r="AG20" s="20"/>
      <c r="AL20" s="20"/>
      <c r="AQ20" s="20"/>
      <c r="AU20" s="32"/>
      <c r="BA20" s="20"/>
      <c r="BB20" s="20"/>
      <c r="BC20" s="20"/>
      <c r="BD20" s="20"/>
      <c r="BE20" s="20"/>
      <c r="BF20" s="20"/>
      <c r="BG20" s="20"/>
      <c r="BH20" s="20"/>
      <c r="BI20" s="20"/>
      <c r="BJ20" s="20"/>
      <c r="BK20" s="20"/>
      <c r="BL20" s="20"/>
      <c r="BM20" s="20"/>
      <c r="BN20" s="133"/>
      <c r="BO20" s="133"/>
    </row>
    <row r="21" spans="2:67" ht="15.75" customHeight="1">
      <c r="B21" s="21" t="s">
        <v>24</v>
      </c>
      <c r="C21" s="20">
        <f>11939487-1</f>
        <v>11939486</v>
      </c>
      <c r="D21" s="21"/>
      <c r="E21" s="20">
        <v>12002319</v>
      </c>
      <c r="F21" s="20">
        <v>12127161</v>
      </c>
      <c r="G21" s="20">
        <v>12245131</v>
      </c>
      <c r="H21" s="20">
        <v>12613801</v>
      </c>
      <c r="J21" s="20">
        <v>11850219</v>
      </c>
      <c r="K21" s="20">
        <v>13063539</v>
      </c>
      <c r="L21" s="20">
        <v>13355749</v>
      </c>
      <c r="M21" s="20">
        <f>13604214</f>
        <v>13604214</v>
      </c>
      <c r="N21" s="20">
        <v>13628417</v>
      </c>
      <c r="P21" s="20">
        <v>13638225</v>
      </c>
      <c r="Q21" s="20">
        <v>13649185</v>
      </c>
      <c r="R21" s="20">
        <v>13489078</v>
      </c>
      <c r="S21" s="20">
        <v>13486342</v>
      </c>
      <c r="T21" s="20">
        <v>14515263</v>
      </c>
      <c r="U21" s="20">
        <v>14377651</v>
      </c>
      <c r="W21" s="20">
        <v>14669083</v>
      </c>
      <c r="X21" s="20">
        <v>14978206</v>
      </c>
      <c r="Y21" s="20">
        <v>14737345</v>
      </c>
      <c r="Z21" s="20">
        <v>14687131</v>
      </c>
      <c r="AB21" s="20">
        <v>14606363</v>
      </c>
      <c r="AC21" s="20">
        <v>14901185</v>
      </c>
      <c r="AD21" s="20">
        <v>15017073</v>
      </c>
      <c r="AE21" s="20">
        <v>15219881</v>
      </c>
      <c r="AF21" s="32"/>
      <c r="AG21" s="20">
        <v>14896138</v>
      </c>
      <c r="AH21" s="20">
        <v>14911228</v>
      </c>
      <c r="AI21" s="20">
        <v>15599154</v>
      </c>
      <c r="AJ21" s="20">
        <v>15341472</v>
      </c>
      <c r="AK21" s="32"/>
      <c r="AL21" s="20">
        <v>15556214</v>
      </c>
      <c r="AM21" s="20">
        <v>15203786</v>
      </c>
      <c r="AN21" s="20">
        <v>15491826</v>
      </c>
      <c r="AO21" s="20">
        <v>14934627</v>
      </c>
      <c r="AP21" s="32"/>
      <c r="AQ21" s="20">
        <v>15148144</v>
      </c>
      <c r="AR21" s="20">
        <v>15358219</v>
      </c>
      <c r="AS21" s="20">
        <v>15483775</v>
      </c>
      <c r="AT21" s="20">
        <v>16160782</v>
      </c>
      <c r="AU21" s="32"/>
      <c r="AV21" s="20">
        <v>16015551</v>
      </c>
      <c r="AW21" s="20">
        <v>16494041</v>
      </c>
      <c r="AX21" s="20">
        <v>17119306</v>
      </c>
      <c r="AY21" s="20">
        <v>17937344</v>
      </c>
      <c r="AZ21" s="20"/>
      <c r="BA21" s="20">
        <v>18325744</v>
      </c>
      <c r="BB21" s="208">
        <v>15279491</v>
      </c>
      <c r="BC21" s="208">
        <v>14890167</v>
      </c>
      <c r="BD21" s="20">
        <v>14288963</v>
      </c>
      <c r="BE21" s="20"/>
      <c r="BF21" s="208">
        <v>18070107</v>
      </c>
      <c r="BG21" s="208">
        <v>19090210</v>
      </c>
      <c r="BH21" s="208">
        <v>19206514</v>
      </c>
      <c r="BI21" s="20">
        <v>19434328</v>
      </c>
      <c r="BJ21" s="20"/>
      <c r="BK21" s="20">
        <v>12725227</v>
      </c>
      <c r="BL21" s="20">
        <v>12619901</v>
      </c>
      <c r="BM21" s="20">
        <v>11734836</v>
      </c>
      <c r="BN21" s="133">
        <f>+BM21-'ESF GA separado'!C19</f>
        <v>0</v>
      </c>
      <c r="BO21" s="133">
        <f>+BI21-'ESF GA separado'!D19</f>
        <v>0</v>
      </c>
    </row>
    <row r="22" spans="2:67" ht="25">
      <c r="B22" s="11" t="s">
        <v>18</v>
      </c>
      <c r="C22" s="20">
        <v>5113</v>
      </c>
      <c r="D22" s="11"/>
      <c r="E22" s="20">
        <v>5146</v>
      </c>
      <c r="F22" s="20">
        <f>5475+1</f>
        <v>5476</v>
      </c>
      <c r="G22" s="20">
        <v>5635</v>
      </c>
      <c r="H22" s="20">
        <v>6134</v>
      </c>
      <c r="J22" s="20">
        <v>2673</v>
      </c>
      <c r="K22" s="20">
        <v>5856</v>
      </c>
      <c r="L22" s="20">
        <v>5261</v>
      </c>
      <c r="M22" s="20">
        <v>3382</v>
      </c>
      <c r="N22" s="20">
        <v>3382</v>
      </c>
      <c r="P22" s="20">
        <v>3660</v>
      </c>
      <c r="Q22" s="20">
        <v>3998</v>
      </c>
      <c r="R22" s="20">
        <v>4041</v>
      </c>
      <c r="S22" s="20">
        <v>4041</v>
      </c>
      <c r="T22" s="20">
        <v>4166</v>
      </c>
      <c r="U22" s="20">
        <v>4166</v>
      </c>
      <c r="W22" s="20">
        <v>35178</v>
      </c>
      <c r="X22" s="20">
        <v>22999</v>
      </c>
      <c r="Y22" s="20">
        <v>13550</v>
      </c>
      <c r="Z22" s="20">
        <v>11965</v>
      </c>
      <c r="AB22" s="20">
        <v>11882</v>
      </c>
      <c r="AC22" s="20">
        <v>7891</v>
      </c>
      <c r="AD22" s="20">
        <v>103711</v>
      </c>
      <c r="AE22" s="20">
        <v>107903</v>
      </c>
      <c r="AF22" s="32"/>
      <c r="AG22" s="20">
        <v>102038</v>
      </c>
      <c r="AH22" s="20">
        <v>98277</v>
      </c>
      <c r="AI22" s="20">
        <v>94671</v>
      </c>
      <c r="AJ22" s="20">
        <v>96511</v>
      </c>
      <c r="AK22" s="32"/>
      <c r="AL22" s="20">
        <v>101955</v>
      </c>
      <c r="AM22" s="20">
        <v>102388</v>
      </c>
      <c r="AN22" s="20">
        <v>34925</v>
      </c>
      <c r="AO22" s="20">
        <v>32062</v>
      </c>
      <c r="AP22" s="32"/>
      <c r="AQ22" s="20">
        <v>34106</v>
      </c>
      <c r="AR22" s="20">
        <v>157071</v>
      </c>
      <c r="AS22" s="20">
        <v>162956</v>
      </c>
      <c r="AT22" s="20">
        <v>151249</v>
      </c>
      <c r="AU22" s="32"/>
      <c r="AV22" s="20">
        <v>166808</v>
      </c>
      <c r="AW22" s="20">
        <v>158689</v>
      </c>
      <c r="AX22" s="20">
        <v>159606</v>
      </c>
      <c r="AY22" s="20">
        <v>112594</v>
      </c>
      <c r="AZ22" s="20"/>
      <c r="BA22" s="20">
        <v>116412</v>
      </c>
      <c r="BB22" s="208">
        <v>114698</v>
      </c>
      <c r="BC22" s="208">
        <v>121876</v>
      </c>
      <c r="BD22" s="20">
        <v>127049</v>
      </c>
      <c r="BE22" s="20"/>
      <c r="BF22" s="20">
        <v>120994</v>
      </c>
      <c r="BG22" s="20">
        <v>143410</v>
      </c>
      <c r="BH22" s="20">
        <v>157059</v>
      </c>
      <c r="BI22" s="20">
        <v>115260</v>
      </c>
      <c r="BJ22" s="20"/>
      <c r="BK22" s="20">
        <v>134223</v>
      </c>
      <c r="BL22" s="20">
        <v>112640</v>
      </c>
      <c r="BM22" s="20">
        <v>86375</v>
      </c>
      <c r="BN22" s="133">
        <f>+BM22-'ESF GA separado'!C20</f>
        <v>0</v>
      </c>
      <c r="BO22" s="133">
        <f>+BI22-'ESF GA separado'!D20</f>
        <v>0</v>
      </c>
    </row>
    <row r="23" spans="2:67" ht="15.75" hidden="1" customHeight="1">
      <c r="B23" s="21" t="s">
        <v>19</v>
      </c>
      <c r="C23" s="22">
        <v>0</v>
      </c>
      <c r="D23" s="21"/>
      <c r="E23" s="22">
        <v>0</v>
      </c>
      <c r="F23" s="22">
        <v>0</v>
      </c>
      <c r="G23" s="22">
        <v>0</v>
      </c>
      <c r="H23" s="22">
        <v>29508</v>
      </c>
      <c r="J23" s="22">
        <v>0</v>
      </c>
      <c r="K23" s="22">
        <v>0</v>
      </c>
      <c r="L23" s="22">
        <v>0</v>
      </c>
      <c r="M23" s="22">
        <v>24146</v>
      </c>
      <c r="N23" s="22">
        <v>24146</v>
      </c>
      <c r="P23" s="22">
        <v>26594</v>
      </c>
      <c r="Q23" s="22">
        <v>26594</v>
      </c>
      <c r="R23" s="22">
        <v>20659</v>
      </c>
      <c r="S23" s="22">
        <v>20659</v>
      </c>
      <c r="T23" s="22">
        <v>42583</v>
      </c>
      <c r="U23" s="22">
        <v>42583</v>
      </c>
      <c r="W23" s="22">
        <v>44913</v>
      </c>
      <c r="X23" s="20">
        <v>46887</v>
      </c>
      <c r="Y23" s="20">
        <v>46720</v>
      </c>
      <c r="Z23" s="20">
        <v>47275</v>
      </c>
      <c r="AB23" s="22">
        <v>47952</v>
      </c>
      <c r="AC23" s="20">
        <v>49145</v>
      </c>
      <c r="AD23" s="20">
        <v>50734</v>
      </c>
      <c r="AE23" s="20">
        <v>36747</v>
      </c>
      <c r="AF23" s="32"/>
      <c r="AG23" s="22">
        <v>36959</v>
      </c>
      <c r="AH23" s="20">
        <v>37030</v>
      </c>
      <c r="AI23" s="20">
        <v>36065</v>
      </c>
      <c r="AJ23" s="20">
        <v>37204</v>
      </c>
      <c r="AK23" s="32"/>
      <c r="AL23" s="22">
        <v>37366</v>
      </c>
      <c r="AM23" s="20">
        <v>0</v>
      </c>
      <c r="AN23" s="20">
        <v>0</v>
      </c>
      <c r="AO23" s="20">
        <v>0</v>
      </c>
      <c r="AP23" s="32"/>
      <c r="AQ23" s="22">
        <v>0</v>
      </c>
      <c r="AR23" s="20">
        <v>0</v>
      </c>
      <c r="AS23" s="20">
        <v>0</v>
      </c>
      <c r="AT23" s="20">
        <v>0</v>
      </c>
      <c r="AU23" s="32"/>
      <c r="AV23" s="22">
        <v>0</v>
      </c>
      <c r="AW23" s="20">
        <v>0</v>
      </c>
      <c r="AX23" s="20">
        <v>0</v>
      </c>
      <c r="AY23" s="20">
        <v>0</v>
      </c>
      <c r="AZ23" s="20"/>
      <c r="BA23" s="22">
        <v>0</v>
      </c>
      <c r="BB23" s="22">
        <v>0</v>
      </c>
      <c r="BC23" s="22">
        <v>0</v>
      </c>
      <c r="BD23" s="22">
        <v>0</v>
      </c>
      <c r="BE23" s="22"/>
      <c r="BF23" s="22">
        <v>0</v>
      </c>
      <c r="BG23" s="22">
        <v>0</v>
      </c>
      <c r="BH23" s="22">
        <v>0</v>
      </c>
      <c r="BI23" s="22">
        <v>0</v>
      </c>
      <c r="BJ23" s="22"/>
      <c r="BK23" s="22">
        <v>0</v>
      </c>
      <c r="BL23" s="22">
        <v>0</v>
      </c>
      <c r="BM23" s="22">
        <v>0</v>
      </c>
      <c r="BN23" s="133">
        <f>+BM23-'ESF GA separado'!C21</f>
        <v>0</v>
      </c>
      <c r="BO23" s="133">
        <f>+BI23-'ESF GA separado'!D21</f>
        <v>0</v>
      </c>
    </row>
    <row r="24" spans="2:67" ht="15.75" customHeight="1">
      <c r="B24" s="21" t="s">
        <v>25</v>
      </c>
      <c r="C24" s="22"/>
      <c r="D24" s="21"/>
      <c r="E24" s="22"/>
      <c r="F24" s="22"/>
      <c r="G24" s="22"/>
      <c r="H24" s="22"/>
      <c r="J24" s="22"/>
      <c r="K24" s="22"/>
      <c r="L24" s="22"/>
      <c r="M24" s="22"/>
      <c r="N24" s="22"/>
      <c r="P24" s="22"/>
      <c r="Q24" s="22"/>
      <c r="R24" s="22"/>
      <c r="S24" s="22"/>
      <c r="T24" s="22"/>
      <c r="U24" s="22"/>
      <c r="W24" s="22"/>
      <c r="X24" s="20"/>
      <c r="Y24" s="20"/>
      <c r="Z24" s="20"/>
      <c r="AB24" s="22"/>
      <c r="AC24" s="20"/>
      <c r="AD24" s="20"/>
      <c r="AE24" s="20"/>
      <c r="AF24" s="32"/>
      <c r="AG24" s="22">
        <v>12421</v>
      </c>
      <c r="AH24" s="20">
        <v>13017</v>
      </c>
      <c r="AI24" s="20">
        <v>13296</v>
      </c>
      <c r="AJ24" s="20">
        <v>12817</v>
      </c>
      <c r="AK24" s="32"/>
      <c r="AL24" s="22">
        <v>11209</v>
      </c>
      <c r="AM24" s="20">
        <v>10661</v>
      </c>
      <c r="AN24" s="20">
        <v>10461</v>
      </c>
      <c r="AO24" s="20">
        <v>8777</v>
      </c>
      <c r="AP24" s="32"/>
      <c r="AQ24" s="22">
        <v>8350</v>
      </c>
      <c r="AR24" s="20">
        <v>7824</v>
      </c>
      <c r="AS24" s="20">
        <v>7253</v>
      </c>
      <c r="AT24" s="20">
        <v>6723</v>
      </c>
      <c r="AU24" s="32"/>
      <c r="AV24" s="22">
        <v>8046</v>
      </c>
      <c r="AW24" s="20">
        <v>8025</v>
      </c>
      <c r="AX24" s="20">
        <v>7676</v>
      </c>
      <c r="AY24" s="20">
        <v>7021</v>
      </c>
      <c r="AZ24" s="20"/>
      <c r="BA24" s="22">
        <v>6542</v>
      </c>
      <c r="BB24" s="22">
        <v>5791</v>
      </c>
      <c r="BC24" s="22">
        <v>5402</v>
      </c>
      <c r="BD24" s="22">
        <v>4970</v>
      </c>
      <c r="BE24" s="22"/>
      <c r="BF24" s="22">
        <v>4934</v>
      </c>
      <c r="BG24" s="22">
        <v>4279</v>
      </c>
      <c r="BH24" s="22">
        <v>4607</v>
      </c>
      <c r="BI24" s="22">
        <v>4158</v>
      </c>
      <c r="BJ24" s="22"/>
      <c r="BK24" s="22">
        <v>3725</v>
      </c>
      <c r="BL24" s="22">
        <v>3625</v>
      </c>
      <c r="BM24" s="22">
        <v>2953</v>
      </c>
      <c r="BN24" s="133">
        <f>+BM24-'ESF GA separado'!C22</f>
        <v>0</v>
      </c>
      <c r="BO24" s="133">
        <f>+BI24-'ESF GA separado'!D22</f>
        <v>0</v>
      </c>
    </row>
    <row r="25" spans="2:67" ht="15.75" hidden="1" customHeight="1">
      <c r="B25" s="21" t="s">
        <v>26</v>
      </c>
      <c r="C25" s="20">
        <v>5116</v>
      </c>
      <c r="D25" s="21"/>
      <c r="E25" s="20">
        <v>7515</v>
      </c>
      <c r="F25" s="20">
        <v>10609</v>
      </c>
      <c r="G25" s="20">
        <v>10728</v>
      </c>
      <c r="H25" s="20">
        <v>8788</v>
      </c>
      <c r="J25" s="20">
        <v>8295</v>
      </c>
      <c r="K25" s="20">
        <v>7849</v>
      </c>
      <c r="L25" s="20">
        <v>7403</v>
      </c>
      <c r="M25" s="20">
        <v>8489</v>
      </c>
      <c r="N25" s="20">
        <v>8489</v>
      </c>
      <c r="P25" s="20">
        <v>7842</v>
      </c>
      <c r="Q25" s="20">
        <v>7196</v>
      </c>
      <c r="R25" s="20">
        <v>6565</v>
      </c>
      <c r="S25" s="20">
        <v>6565</v>
      </c>
      <c r="T25" s="20">
        <v>5917</v>
      </c>
      <c r="U25" s="20">
        <v>5974</v>
      </c>
      <c r="W25" s="20">
        <v>5404</v>
      </c>
      <c r="X25" s="20">
        <v>5014</v>
      </c>
      <c r="Y25" s="20">
        <v>4991</v>
      </c>
      <c r="Z25" s="20">
        <v>3329</v>
      </c>
      <c r="AB25" s="20">
        <v>2680</v>
      </c>
      <c r="AC25" s="20">
        <v>2032</v>
      </c>
      <c r="AD25" s="20">
        <v>1388</v>
      </c>
      <c r="AE25" s="20">
        <v>119633</v>
      </c>
      <c r="AF25" s="32"/>
      <c r="AG25" s="20">
        <v>116349</v>
      </c>
      <c r="AH25" s="20">
        <v>113113</v>
      </c>
      <c r="AI25" s="20">
        <v>109880</v>
      </c>
      <c r="AJ25" s="20">
        <v>107005</v>
      </c>
      <c r="AK25" s="32"/>
      <c r="AL25" s="20">
        <v>104008</v>
      </c>
      <c r="AM25" s="20">
        <v>100344</v>
      </c>
      <c r="AN25" s="20">
        <v>95330</v>
      </c>
      <c r="AO25" s="20">
        <v>91296</v>
      </c>
      <c r="AP25" s="32"/>
      <c r="AQ25" s="20">
        <v>87459</v>
      </c>
      <c r="AR25" s="20">
        <v>83658</v>
      </c>
      <c r="AS25" s="20">
        <v>79839</v>
      </c>
      <c r="AT25" s="20">
        <v>76021</v>
      </c>
      <c r="AU25" s="32"/>
      <c r="AV25" s="20">
        <v>72219</v>
      </c>
      <c r="AW25" s="20">
        <v>68418</v>
      </c>
      <c r="AX25" s="20">
        <v>0</v>
      </c>
      <c r="AY25" s="20">
        <v>0</v>
      </c>
      <c r="AZ25" s="20"/>
      <c r="BA25" s="216">
        <v>0</v>
      </c>
      <c r="BB25" s="208">
        <v>0</v>
      </c>
      <c r="BC25" s="208">
        <v>0</v>
      </c>
      <c r="BD25" s="208">
        <v>0</v>
      </c>
      <c r="BE25" s="208">
        <v>0</v>
      </c>
      <c r="BF25" s="208">
        <v>0</v>
      </c>
      <c r="BG25" s="208">
        <v>0</v>
      </c>
      <c r="BH25" s="208">
        <v>0</v>
      </c>
      <c r="BI25" s="208">
        <v>0</v>
      </c>
      <c r="BJ25" s="987"/>
      <c r="BK25" s="216">
        <v>0</v>
      </c>
      <c r="BL25" s="216">
        <v>0</v>
      </c>
      <c r="BM25" s="216">
        <v>0</v>
      </c>
      <c r="BN25" s="133">
        <f>+BM25-'ESF GA separado'!C23</f>
        <v>0</v>
      </c>
      <c r="BO25" s="133">
        <f>+BI25-'ESF GA separado'!D23</f>
        <v>0</v>
      </c>
    </row>
    <row r="26" spans="2:67" ht="15.75" customHeight="1">
      <c r="B26" s="21" t="s">
        <v>27</v>
      </c>
      <c r="C26" s="20">
        <v>12065</v>
      </c>
      <c r="D26" s="21"/>
      <c r="E26" s="20">
        <v>13531</v>
      </c>
      <c r="F26" s="20">
        <v>75787</v>
      </c>
      <c r="G26" s="20">
        <v>102042</v>
      </c>
      <c r="H26" s="20">
        <v>19238</v>
      </c>
      <c r="J26" s="20">
        <v>80565</v>
      </c>
      <c r="K26" s="20">
        <v>212732</v>
      </c>
      <c r="L26" s="20">
        <v>95596</v>
      </c>
      <c r="M26" s="20">
        <v>82850</v>
      </c>
      <c r="N26" s="20">
        <v>82850</v>
      </c>
      <c r="P26" s="20">
        <v>83148</v>
      </c>
      <c r="Q26" s="20">
        <v>83621</v>
      </c>
      <c r="R26" s="20">
        <v>86502</v>
      </c>
      <c r="S26" s="20">
        <v>86502</v>
      </c>
      <c r="T26" s="20">
        <v>25551</v>
      </c>
      <c r="U26" s="20">
        <v>25901</v>
      </c>
      <c r="W26" s="20">
        <v>27243</v>
      </c>
      <c r="X26" s="20">
        <v>26267</v>
      </c>
      <c r="Y26" s="20">
        <v>10572</v>
      </c>
      <c r="Z26" s="20">
        <v>10723</v>
      </c>
      <c r="AB26" s="20">
        <v>10516</v>
      </c>
      <c r="AC26" s="20">
        <v>2446</v>
      </c>
      <c r="AD26" s="20">
        <v>2224</v>
      </c>
      <c r="AE26" s="20">
        <v>2022</v>
      </c>
      <c r="AF26" s="32"/>
      <c r="AG26" s="20">
        <v>1849</v>
      </c>
      <c r="AH26" s="20">
        <v>1615</v>
      </c>
      <c r="AI26" s="20">
        <v>1449</v>
      </c>
      <c r="AJ26" s="20">
        <v>1452</v>
      </c>
      <c r="AK26" s="32"/>
      <c r="AL26" s="20">
        <v>1222</v>
      </c>
      <c r="AM26" s="20">
        <v>1074</v>
      </c>
      <c r="AN26" s="20">
        <v>954</v>
      </c>
      <c r="AO26" s="20">
        <v>856</v>
      </c>
      <c r="AP26" s="32"/>
      <c r="AQ26" s="20">
        <v>823</v>
      </c>
      <c r="AR26" s="20">
        <v>789</v>
      </c>
      <c r="AS26" s="20">
        <v>1003</v>
      </c>
      <c r="AT26" s="20">
        <v>1806</v>
      </c>
      <c r="AU26" s="32"/>
      <c r="AV26" s="20">
        <v>1725</v>
      </c>
      <c r="AW26" s="20">
        <v>1647</v>
      </c>
      <c r="AX26" s="20">
        <v>1569</v>
      </c>
      <c r="AY26" s="20">
        <v>1491</v>
      </c>
      <c r="AZ26" s="20"/>
      <c r="BA26" s="20">
        <v>1413</v>
      </c>
      <c r="BB26" s="208">
        <v>1574</v>
      </c>
      <c r="BC26" s="208">
        <v>2120</v>
      </c>
      <c r="BD26" s="20">
        <v>2546</v>
      </c>
      <c r="BE26" s="20"/>
      <c r="BF26" s="20">
        <v>2399</v>
      </c>
      <c r="BG26" s="20">
        <v>2264</v>
      </c>
      <c r="BH26" s="20">
        <v>2406</v>
      </c>
      <c r="BI26" s="20">
        <v>2245</v>
      </c>
      <c r="BJ26" s="20"/>
      <c r="BK26" s="20">
        <v>2085</v>
      </c>
      <c r="BL26" s="20">
        <v>1924</v>
      </c>
      <c r="BM26" s="20">
        <v>1709</v>
      </c>
      <c r="BN26" s="133">
        <f>+BM26-'ESF GA separado'!C24</f>
        <v>0</v>
      </c>
      <c r="BO26" s="133">
        <f>+BI26-'ESF GA separado'!D24</f>
        <v>0</v>
      </c>
    </row>
    <row r="27" spans="2:67" ht="15.75" customHeight="1">
      <c r="B27" s="21" t="s">
        <v>29</v>
      </c>
      <c r="C27" s="20">
        <v>2040643</v>
      </c>
      <c r="D27" s="21"/>
      <c r="E27" s="20">
        <v>2208481</v>
      </c>
      <c r="F27" s="20">
        <v>2208796</v>
      </c>
      <c r="G27" s="20">
        <v>2250911</v>
      </c>
      <c r="H27" s="20">
        <v>2122462</v>
      </c>
      <c r="J27" s="20">
        <v>2249142</v>
      </c>
      <c r="K27" s="20">
        <v>2247758</v>
      </c>
      <c r="L27" s="20">
        <v>2202024</v>
      </c>
      <c r="M27" s="20">
        <v>1781868</v>
      </c>
      <c r="N27" s="20">
        <v>2010817</v>
      </c>
      <c r="P27" s="20">
        <v>1767538</v>
      </c>
      <c r="Q27" s="20">
        <v>1682706</v>
      </c>
      <c r="R27" s="20">
        <v>1682704</v>
      </c>
      <c r="S27" s="20">
        <v>1917370</v>
      </c>
      <c r="T27" s="20">
        <v>1867447</v>
      </c>
      <c r="U27" s="20">
        <f>1867447+219454</f>
        <v>2086901</v>
      </c>
      <c r="W27" s="20">
        <v>1818947</v>
      </c>
      <c r="X27" s="20">
        <v>1799146</v>
      </c>
      <c r="Y27" s="20">
        <v>1908505</v>
      </c>
      <c r="Z27" s="20">
        <v>2083575</v>
      </c>
      <c r="AB27" s="20">
        <v>2093232</v>
      </c>
      <c r="AC27" s="20">
        <v>2100841</v>
      </c>
      <c r="AD27" s="20">
        <v>2116300</v>
      </c>
      <c r="AE27" s="20">
        <v>2105213</v>
      </c>
      <c r="AF27" s="32"/>
      <c r="AG27" s="20">
        <v>2119416</v>
      </c>
      <c r="AH27" s="20">
        <v>2128858</v>
      </c>
      <c r="AI27" s="20">
        <v>2136943</v>
      </c>
      <c r="AJ27" s="20">
        <v>2108346</v>
      </c>
      <c r="AK27" s="32"/>
      <c r="AL27" s="20">
        <v>2119829</v>
      </c>
      <c r="AM27" s="20">
        <v>2118279</v>
      </c>
      <c r="AN27" s="20">
        <v>2121714</v>
      </c>
      <c r="AO27" s="20">
        <v>2108885</v>
      </c>
      <c r="AP27" s="32"/>
      <c r="AQ27" s="20">
        <v>2126889</v>
      </c>
      <c r="AR27" s="20">
        <v>2142983</v>
      </c>
      <c r="AS27" s="20">
        <v>2141411</v>
      </c>
      <c r="AT27" s="20">
        <v>2123104</v>
      </c>
      <c r="AU27" s="32"/>
      <c r="AV27" s="20">
        <v>2067558</v>
      </c>
      <c r="AW27" s="20">
        <v>2079014</v>
      </c>
      <c r="AX27" s="20">
        <v>2082525</v>
      </c>
      <c r="AY27" s="20">
        <v>2020317</v>
      </c>
      <c r="AZ27" s="20"/>
      <c r="BA27" s="20">
        <v>2060158</v>
      </c>
      <c r="BB27" s="208">
        <v>2008786</v>
      </c>
      <c r="BC27" s="208">
        <v>1989775</v>
      </c>
      <c r="BD27" s="20">
        <v>1958064</v>
      </c>
      <c r="BE27" s="20"/>
      <c r="BF27" s="20">
        <v>1855172</v>
      </c>
      <c r="BG27" s="20">
        <v>1754509</v>
      </c>
      <c r="BH27" s="20">
        <v>1763515</v>
      </c>
      <c r="BI27" s="20">
        <v>1742975</v>
      </c>
      <c r="BJ27" s="20"/>
      <c r="BK27" s="20">
        <v>1145999</v>
      </c>
      <c r="BL27" s="22">
        <v>1148951</v>
      </c>
      <c r="BM27" s="22">
        <v>1156960</v>
      </c>
      <c r="BN27" s="133">
        <f>+BM27-'ESF GA separado'!C25</f>
        <v>0</v>
      </c>
      <c r="BO27" s="133">
        <f>+BI27-'ESF GA separado'!D25</f>
        <v>0</v>
      </c>
    </row>
    <row r="28" spans="2:67" ht="15.75" hidden="1" customHeight="1">
      <c r="B28" s="21" t="s">
        <v>30</v>
      </c>
      <c r="C28" s="22">
        <v>0</v>
      </c>
      <c r="D28" s="21"/>
      <c r="E28" s="22">
        <v>0</v>
      </c>
      <c r="F28" s="22">
        <v>0</v>
      </c>
      <c r="G28" s="22">
        <v>0</v>
      </c>
      <c r="H28" s="22">
        <v>0</v>
      </c>
      <c r="J28" s="22">
        <v>0</v>
      </c>
      <c r="K28" s="22">
        <v>0</v>
      </c>
      <c r="L28" s="22">
        <v>0</v>
      </c>
      <c r="M28" s="22">
        <v>0</v>
      </c>
      <c r="N28" s="22">
        <v>0</v>
      </c>
      <c r="P28" s="22">
        <v>774</v>
      </c>
      <c r="Q28" s="22">
        <v>0</v>
      </c>
      <c r="R28" s="22">
        <v>0</v>
      </c>
      <c r="S28" s="22">
        <v>0</v>
      </c>
      <c r="T28" s="22">
        <v>0</v>
      </c>
      <c r="U28" s="22">
        <v>0</v>
      </c>
      <c r="W28" s="22">
        <v>0</v>
      </c>
      <c r="X28" s="22">
        <v>0</v>
      </c>
      <c r="Y28" s="22">
        <v>0</v>
      </c>
      <c r="Z28" s="22">
        <v>0</v>
      </c>
      <c r="AB28" s="22">
        <v>0</v>
      </c>
      <c r="AC28" s="22">
        <v>0</v>
      </c>
      <c r="AD28" s="22">
        <v>0</v>
      </c>
      <c r="AE28" s="22">
        <v>0</v>
      </c>
      <c r="AF28" s="32"/>
      <c r="AG28" s="22">
        <v>0</v>
      </c>
      <c r="AH28" s="22">
        <v>0</v>
      </c>
      <c r="AI28" s="22">
        <v>0</v>
      </c>
      <c r="AJ28" s="22">
        <v>0</v>
      </c>
      <c r="AK28" s="32"/>
      <c r="AL28" s="22">
        <v>0</v>
      </c>
      <c r="AM28" s="22">
        <v>0</v>
      </c>
      <c r="AN28" s="22">
        <v>0</v>
      </c>
      <c r="AO28" s="22">
        <v>0</v>
      </c>
      <c r="AP28" s="32"/>
      <c r="AQ28" s="22">
        <v>0</v>
      </c>
      <c r="AR28" s="22">
        <v>0</v>
      </c>
      <c r="AS28" s="22"/>
      <c r="AT28" s="22">
        <v>0</v>
      </c>
      <c r="AU28" s="32"/>
      <c r="AV28" s="22"/>
      <c r="AW28" s="22">
        <v>0</v>
      </c>
      <c r="AX28" s="22">
        <v>0</v>
      </c>
      <c r="AY28" s="22">
        <v>0</v>
      </c>
      <c r="AZ28" s="22"/>
      <c r="BA28" s="22">
        <v>0</v>
      </c>
      <c r="BB28" s="22">
        <v>0</v>
      </c>
      <c r="BC28" s="22">
        <v>0</v>
      </c>
      <c r="BD28" s="22">
        <v>0</v>
      </c>
      <c r="BE28" s="22"/>
      <c r="BF28" s="22"/>
      <c r="BG28" s="22"/>
      <c r="BH28" s="22"/>
      <c r="BI28" s="22"/>
      <c r="BJ28" s="22"/>
      <c r="BK28" s="22"/>
      <c r="BL28" s="22">
        <v>0</v>
      </c>
      <c r="BM28" s="22">
        <v>0</v>
      </c>
      <c r="BN28" s="133">
        <f>+BM28-'ESF GA separado'!C26</f>
        <v>0</v>
      </c>
      <c r="BO28" s="133">
        <f>+BI28-'ESF GA separado'!D26</f>
        <v>0</v>
      </c>
    </row>
    <row r="29" spans="2:67" ht="15.75" hidden="1" customHeight="1">
      <c r="B29" s="21" t="s">
        <v>20</v>
      </c>
      <c r="C29" s="22">
        <v>0</v>
      </c>
      <c r="D29" s="21"/>
      <c r="E29" s="22">
        <v>0</v>
      </c>
      <c r="F29" s="22">
        <v>0</v>
      </c>
      <c r="G29" s="22">
        <v>0</v>
      </c>
      <c r="H29" s="22">
        <v>0</v>
      </c>
      <c r="J29" s="22">
        <v>0</v>
      </c>
      <c r="K29" s="22">
        <v>0</v>
      </c>
      <c r="L29" s="22">
        <v>0</v>
      </c>
      <c r="M29" s="22">
        <v>0</v>
      </c>
      <c r="N29" s="22">
        <v>0</v>
      </c>
      <c r="P29" s="22">
        <v>0</v>
      </c>
      <c r="Q29" s="22">
        <v>0</v>
      </c>
      <c r="R29" s="22">
        <v>0</v>
      </c>
      <c r="S29" s="22">
        <v>0</v>
      </c>
      <c r="T29" s="22">
        <v>0</v>
      </c>
      <c r="U29" s="22">
        <v>0</v>
      </c>
      <c r="W29" s="22">
        <v>0</v>
      </c>
      <c r="X29" s="22">
        <v>0</v>
      </c>
      <c r="Y29" s="22">
        <v>0</v>
      </c>
      <c r="Z29" s="22">
        <v>0</v>
      </c>
      <c r="AB29" s="22">
        <v>0</v>
      </c>
      <c r="AC29" s="22">
        <v>0</v>
      </c>
      <c r="AD29" s="22">
        <v>0</v>
      </c>
      <c r="AE29" s="22">
        <v>0</v>
      </c>
      <c r="AF29" s="32"/>
      <c r="AG29" s="22">
        <v>0</v>
      </c>
      <c r="AH29" s="22">
        <v>0</v>
      </c>
      <c r="AI29" s="22">
        <v>0</v>
      </c>
      <c r="AJ29" s="22">
        <v>0</v>
      </c>
      <c r="AK29" s="32"/>
      <c r="AL29" s="22">
        <v>0</v>
      </c>
      <c r="AM29" s="22">
        <v>0</v>
      </c>
      <c r="AN29" s="22">
        <v>0</v>
      </c>
      <c r="AO29" s="22">
        <v>0</v>
      </c>
      <c r="AP29" s="32"/>
      <c r="AQ29" s="22">
        <v>0</v>
      </c>
      <c r="AR29" s="22">
        <v>0</v>
      </c>
      <c r="AS29" s="22"/>
      <c r="AT29" s="22">
        <v>0</v>
      </c>
      <c r="AU29" s="32"/>
      <c r="AV29" s="22">
        <v>0</v>
      </c>
      <c r="AW29" s="22">
        <v>0</v>
      </c>
      <c r="AX29" s="22">
        <v>0</v>
      </c>
      <c r="AY29" s="22">
        <v>0</v>
      </c>
      <c r="AZ29" s="22"/>
      <c r="BA29" s="22">
        <v>0</v>
      </c>
      <c r="BB29" s="22">
        <v>0</v>
      </c>
      <c r="BC29" s="22">
        <v>0</v>
      </c>
      <c r="BD29" s="22">
        <v>0</v>
      </c>
      <c r="BE29" s="22"/>
      <c r="BF29" s="22">
        <v>0</v>
      </c>
      <c r="BG29" s="22">
        <v>0</v>
      </c>
      <c r="BH29" s="22">
        <v>0</v>
      </c>
      <c r="BI29" s="22">
        <v>0</v>
      </c>
      <c r="BJ29" s="22"/>
      <c r="BK29" s="22">
        <v>0</v>
      </c>
      <c r="BL29" s="22">
        <v>0</v>
      </c>
      <c r="BM29" s="22">
        <v>0</v>
      </c>
      <c r="BN29" s="133">
        <f>+BM29-'ESF GA separado'!C27</f>
        <v>0</v>
      </c>
      <c r="BO29" s="133">
        <f>+BI29-'ESF GA separado'!D27</f>
        <v>0</v>
      </c>
    </row>
    <row r="30" spans="2:67" ht="15.75" customHeight="1">
      <c r="B30" s="21" t="s">
        <v>31</v>
      </c>
      <c r="C30" s="22">
        <v>0</v>
      </c>
      <c r="D30" s="21"/>
      <c r="E30" s="22">
        <v>0</v>
      </c>
      <c r="F30" s="22">
        <v>0</v>
      </c>
      <c r="G30" s="22">
        <v>0</v>
      </c>
      <c r="H30" s="22">
        <v>0</v>
      </c>
      <c r="J30" s="22">
        <v>0</v>
      </c>
      <c r="K30" s="22">
        <v>0</v>
      </c>
      <c r="L30" s="22">
        <v>0</v>
      </c>
      <c r="M30" s="22">
        <v>0</v>
      </c>
      <c r="N30" s="22">
        <v>0</v>
      </c>
      <c r="P30" s="22">
        <v>0</v>
      </c>
      <c r="Q30" s="22">
        <v>0</v>
      </c>
      <c r="R30" s="22">
        <v>0</v>
      </c>
      <c r="S30" s="22">
        <v>0</v>
      </c>
      <c r="T30" s="22">
        <v>0</v>
      </c>
      <c r="U30" s="22">
        <v>0</v>
      </c>
      <c r="W30" s="22">
        <v>0</v>
      </c>
      <c r="X30" s="22">
        <v>0</v>
      </c>
      <c r="Y30" s="22">
        <v>0</v>
      </c>
      <c r="Z30" s="22">
        <v>0</v>
      </c>
      <c r="AB30" s="22">
        <v>0</v>
      </c>
      <c r="AC30" s="22">
        <v>0</v>
      </c>
      <c r="AD30" s="22">
        <v>573</v>
      </c>
      <c r="AE30" s="22">
        <v>0</v>
      </c>
      <c r="AF30" s="32"/>
      <c r="AG30" s="22">
        <v>0</v>
      </c>
      <c r="AH30" s="22">
        <v>0</v>
      </c>
      <c r="AI30" s="22">
        <v>0</v>
      </c>
      <c r="AJ30" s="22">
        <v>0</v>
      </c>
      <c r="AK30" s="32"/>
      <c r="AL30" s="22">
        <v>0</v>
      </c>
      <c r="AM30" s="22">
        <v>0</v>
      </c>
      <c r="AN30" s="22">
        <v>0</v>
      </c>
      <c r="AO30" s="22">
        <v>0</v>
      </c>
      <c r="AP30" s="32"/>
      <c r="AQ30" s="22">
        <v>0</v>
      </c>
      <c r="AR30" s="22">
        <v>0</v>
      </c>
      <c r="AS30" s="22"/>
      <c r="AT30" s="22">
        <v>0</v>
      </c>
      <c r="AU30" s="32"/>
      <c r="AV30" s="22">
        <v>0</v>
      </c>
      <c r="AW30" s="22">
        <v>0</v>
      </c>
      <c r="AX30" s="22">
        <v>0</v>
      </c>
      <c r="AY30" s="22">
        <v>0</v>
      </c>
      <c r="AZ30" s="22"/>
      <c r="BA30" s="22">
        <v>53</v>
      </c>
      <c r="BB30" s="22">
        <v>52</v>
      </c>
      <c r="BC30" s="22">
        <v>6</v>
      </c>
      <c r="BD30" s="22">
        <v>0</v>
      </c>
      <c r="BE30" s="22"/>
      <c r="BF30" s="22">
        <v>0</v>
      </c>
      <c r="BG30" s="22">
        <v>0</v>
      </c>
      <c r="BH30" s="22">
        <v>0</v>
      </c>
      <c r="BI30" s="22">
        <v>0</v>
      </c>
      <c r="BJ30" s="22"/>
      <c r="BK30" s="22">
        <v>0</v>
      </c>
      <c r="BL30" s="22">
        <v>948</v>
      </c>
      <c r="BM30" s="22">
        <v>2041</v>
      </c>
      <c r="BN30" s="133">
        <f>+BM30-'ESF GA separado'!C29</f>
        <v>0</v>
      </c>
      <c r="BO30" s="133">
        <f>+BI30-'ESF GA separado'!D29</f>
        <v>0</v>
      </c>
    </row>
    <row r="31" spans="2:67" ht="25">
      <c r="B31" s="11" t="s">
        <v>21</v>
      </c>
      <c r="C31" s="22">
        <v>0</v>
      </c>
      <c r="D31" s="21"/>
      <c r="E31" s="22">
        <v>0</v>
      </c>
      <c r="F31" s="22">
        <v>0</v>
      </c>
      <c r="G31" s="22">
        <v>0</v>
      </c>
      <c r="H31" s="22">
        <v>0</v>
      </c>
      <c r="J31" s="22">
        <v>0</v>
      </c>
      <c r="K31" s="22">
        <v>0</v>
      </c>
      <c r="L31" s="22">
        <v>0</v>
      </c>
      <c r="M31" s="22">
        <v>0</v>
      </c>
      <c r="N31" s="22">
        <v>0</v>
      </c>
      <c r="P31" s="22">
        <v>0</v>
      </c>
      <c r="Q31" s="22">
        <v>0</v>
      </c>
      <c r="R31" s="22">
        <v>0</v>
      </c>
      <c r="S31" s="22">
        <v>0</v>
      </c>
      <c r="T31" s="22">
        <v>0</v>
      </c>
      <c r="U31" s="22">
        <v>0</v>
      </c>
      <c r="W31" s="22">
        <v>0</v>
      </c>
      <c r="X31" s="22">
        <v>0</v>
      </c>
      <c r="Y31" s="22">
        <v>0</v>
      </c>
      <c r="Z31" s="22">
        <v>0</v>
      </c>
      <c r="AA31" s="134"/>
      <c r="AB31" s="22">
        <v>0</v>
      </c>
      <c r="AC31" s="22">
        <v>0</v>
      </c>
      <c r="AD31" s="22">
        <v>0</v>
      </c>
      <c r="AE31" s="22">
        <v>0</v>
      </c>
      <c r="AF31" s="32"/>
      <c r="AG31" s="22">
        <v>0</v>
      </c>
      <c r="AH31" s="22">
        <v>97</v>
      </c>
      <c r="AI31" s="22">
        <v>7025</v>
      </c>
      <c r="AJ31" s="22">
        <v>4666</v>
      </c>
      <c r="AK31" s="32"/>
      <c r="AL31" s="22">
        <v>4837</v>
      </c>
      <c r="AM31" s="22">
        <v>5000</v>
      </c>
      <c r="AN31" s="22">
        <v>5164</v>
      </c>
      <c r="AO31" s="22">
        <v>6694</v>
      </c>
      <c r="AP31" s="32"/>
      <c r="AQ31" s="22">
        <v>6837</v>
      </c>
      <c r="AR31" s="22">
        <v>6981</v>
      </c>
      <c r="AS31" s="22">
        <v>7052</v>
      </c>
      <c r="AT31" s="22">
        <v>7134</v>
      </c>
      <c r="AU31" s="32"/>
      <c r="AV31" s="22">
        <v>7205</v>
      </c>
      <c r="AW31" s="22">
        <v>9320</v>
      </c>
      <c r="AX31" s="22">
        <v>11477</v>
      </c>
      <c r="AY31" s="22">
        <v>1548</v>
      </c>
      <c r="AZ31" s="22"/>
      <c r="BA31" s="22">
        <v>1705</v>
      </c>
      <c r="BB31" s="22">
        <v>5207</v>
      </c>
      <c r="BC31" s="22">
        <v>5426</v>
      </c>
      <c r="BD31" s="22">
        <v>2353</v>
      </c>
      <c r="BE31" s="22"/>
      <c r="BF31" s="22">
        <v>2488</v>
      </c>
      <c r="BG31" s="22">
        <v>2588</v>
      </c>
      <c r="BH31" s="22">
        <v>2689</v>
      </c>
      <c r="BI31" s="22">
        <v>1015</v>
      </c>
      <c r="BJ31" s="22"/>
      <c r="BK31" s="22">
        <v>1122</v>
      </c>
      <c r="BL31" s="22">
        <v>1230</v>
      </c>
      <c r="BM31" s="22">
        <v>3815</v>
      </c>
      <c r="BN31" s="1139">
        <f>+BM31-'ESF GA separado'!C30</f>
        <v>0</v>
      </c>
      <c r="BO31" s="1139">
        <f>+BI31-'ESF GA separado'!D30</f>
        <v>0</v>
      </c>
    </row>
    <row r="32" spans="2:67" ht="7.5" customHeight="1">
      <c r="B32" s="21"/>
      <c r="C32" s="22"/>
      <c r="D32" s="21"/>
      <c r="E32" s="22"/>
      <c r="F32" s="22"/>
      <c r="G32" s="22"/>
      <c r="H32" s="22"/>
      <c r="J32" s="22"/>
      <c r="K32" s="22"/>
      <c r="L32" s="22"/>
      <c r="M32" s="22"/>
      <c r="N32" s="22"/>
      <c r="P32" s="22"/>
      <c r="Q32" s="22"/>
      <c r="R32" s="22"/>
      <c r="S32" s="22"/>
      <c r="T32" s="22"/>
      <c r="U32" s="22"/>
      <c r="W32" s="22"/>
      <c r="AB32" s="22"/>
      <c r="AF32" s="32"/>
      <c r="AG32" s="22"/>
      <c r="AK32" s="32"/>
      <c r="AL32" s="22"/>
      <c r="AP32" s="32"/>
      <c r="AQ32" s="22"/>
      <c r="AU32" s="32"/>
      <c r="BA32" s="22"/>
      <c r="BD32" s="22"/>
      <c r="BE32" s="22"/>
      <c r="BF32" s="22"/>
      <c r="BG32" s="22"/>
      <c r="BH32" s="22"/>
      <c r="BI32" s="22"/>
      <c r="BJ32" s="22"/>
      <c r="BK32" s="22"/>
      <c r="BL32" s="22"/>
      <c r="BM32" s="22"/>
      <c r="BN32" s="133"/>
      <c r="BO32" s="133"/>
    </row>
    <row r="33" spans="1:67" ht="13">
      <c r="B33" s="17" t="s">
        <v>33</v>
      </c>
      <c r="C33" s="18">
        <f>SUM(C21:C31)</f>
        <v>14002423</v>
      </c>
      <c r="D33" s="17"/>
      <c r="E33" s="18">
        <f>SUM(E21:E31)</f>
        <v>14236992</v>
      </c>
      <c r="F33" s="18">
        <f>SUM(F21:F31)</f>
        <v>14427829</v>
      </c>
      <c r="G33" s="18">
        <f>SUM(G21:G31)</f>
        <v>14614447</v>
      </c>
      <c r="H33" s="18">
        <f>SUM(H21:H31)</f>
        <v>14799931</v>
      </c>
      <c r="I33" s="137"/>
      <c r="J33" s="18">
        <f>SUM(J21:J31)</f>
        <v>14190894</v>
      </c>
      <c r="K33" s="18">
        <f>SUM(K21:K31)</f>
        <v>15537734</v>
      </c>
      <c r="L33" s="18">
        <f>SUM(L21:L31)</f>
        <v>15666033</v>
      </c>
      <c r="M33" s="18">
        <f>SUM(M21:M31)</f>
        <v>15504949</v>
      </c>
      <c r="N33" s="18">
        <f>SUM(N21:N31)</f>
        <v>15758101</v>
      </c>
      <c r="O33" s="2" t="s">
        <v>187</v>
      </c>
      <c r="P33" s="18">
        <f t="shared" ref="P33:U33" si="4">SUM(P21:P31)</f>
        <v>15527781</v>
      </c>
      <c r="Q33" s="18">
        <f t="shared" si="4"/>
        <v>15453300</v>
      </c>
      <c r="R33" s="18">
        <f t="shared" si="4"/>
        <v>15289549</v>
      </c>
      <c r="S33" s="18">
        <f t="shared" si="4"/>
        <v>15521479</v>
      </c>
      <c r="T33" s="18">
        <f t="shared" si="4"/>
        <v>16460927</v>
      </c>
      <c r="U33" s="18">
        <f t="shared" si="4"/>
        <v>16543176</v>
      </c>
      <c r="W33" s="18">
        <f>SUM(W21:W31)</f>
        <v>16600768</v>
      </c>
      <c r="X33" s="18">
        <f>SUM(X21:X31)</f>
        <v>16878519</v>
      </c>
      <c r="Y33" s="18">
        <f>SUM(Y21:Y31)</f>
        <v>16721683</v>
      </c>
      <c r="Z33" s="18">
        <f>SUM(Z21:Z31)</f>
        <v>16843998</v>
      </c>
      <c r="AB33" s="18">
        <f>SUM(AB21:AB31)</f>
        <v>16772625</v>
      </c>
      <c r="AC33" s="18">
        <f>SUM(AC21:AC31)</f>
        <v>17063540</v>
      </c>
      <c r="AD33" s="18">
        <f>SUM(AD21:AD31)</f>
        <v>17292003</v>
      </c>
      <c r="AE33" s="18">
        <f>SUM(AE21:AE31)</f>
        <v>17591399</v>
      </c>
      <c r="AF33" s="32"/>
      <c r="AG33" s="18">
        <f>SUM(AG21:AG31)</f>
        <v>17285170</v>
      </c>
      <c r="AH33" s="18">
        <f>SUM(AH21:AH31)</f>
        <v>17303235</v>
      </c>
      <c r="AI33" s="18">
        <f>SUM(AI21:AI31)</f>
        <v>17998483</v>
      </c>
      <c r="AJ33" s="18">
        <f>SUM(AJ21:AJ31)</f>
        <v>17709473</v>
      </c>
      <c r="AK33" s="32"/>
      <c r="AL33" s="18">
        <f>SUM(AL21:AL31)</f>
        <v>17936640</v>
      </c>
      <c r="AM33" s="18">
        <f>SUM(AM21:AM31)</f>
        <v>17541532</v>
      </c>
      <c r="AN33" s="18">
        <f>SUM(AN21:AN31)</f>
        <v>17760374</v>
      </c>
      <c r="AO33" s="18">
        <f>SUM(AO21:AO31)</f>
        <v>17183197</v>
      </c>
      <c r="AP33" s="32"/>
      <c r="AQ33" s="18">
        <f>SUM(AQ21:AQ31)</f>
        <v>17412608</v>
      </c>
      <c r="AR33" s="18">
        <f>SUM(AR21:AR31)</f>
        <v>17757525</v>
      </c>
      <c r="AS33" s="18">
        <f>SUM(AS21:AS31)</f>
        <v>17883289</v>
      </c>
      <c r="AT33" s="18">
        <f>SUM(AT21:AT31)</f>
        <v>18526819</v>
      </c>
      <c r="AU33" s="32"/>
      <c r="AV33" s="18">
        <f>SUM(AV21:AV31)</f>
        <v>18339112</v>
      </c>
      <c r="AW33" s="18">
        <f>SUM(AW21:AW31)</f>
        <v>18819154</v>
      </c>
      <c r="AX33" s="18">
        <f>SUM(AX21:AX31)</f>
        <v>19382159</v>
      </c>
      <c r="AY33" s="18">
        <f>SUM(AY21:AY31)</f>
        <v>20080315</v>
      </c>
      <c r="AZ33" s="18"/>
      <c r="BA33" s="18">
        <f>SUM(BA21:BA31)</f>
        <v>20512027</v>
      </c>
      <c r="BB33" s="18">
        <f>SUM(BB21:BB31)</f>
        <v>17415599</v>
      </c>
      <c r="BC33" s="18">
        <f>SUM(BC21:BC31)</f>
        <v>17014772</v>
      </c>
      <c r="BD33" s="18">
        <f>SUM(BD21:BD31)</f>
        <v>16383945</v>
      </c>
      <c r="BE33" s="18"/>
      <c r="BF33" s="18">
        <f>SUM(BF21:BF31)</f>
        <v>20056094</v>
      </c>
      <c r="BG33" s="18">
        <f>SUM(BG21:BG31)</f>
        <v>20997260</v>
      </c>
      <c r="BH33" s="18">
        <f>SUM(BH21:BH31)</f>
        <v>21136790</v>
      </c>
      <c r="BI33" s="18">
        <f>SUM(BI21:BI31)</f>
        <v>21299981</v>
      </c>
      <c r="BJ33" s="18"/>
      <c r="BK33" s="18">
        <f>SUM(BK21:BK31)</f>
        <v>14012381</v>
      </c>
      <c r="BL33" s="18">
        <f>SUM(BL21:BL31)</f>
        <v>13889219</v>
      </c>
      <c r="BM33" s="18">
        <f>SUM(BM21:BM31)</f>
        <v>12988689</v>
      </c>
      <c r="BN33" s="133">
        <f>+BM33-'ESF GA separado'!C32</f>
        <v>0</v>
      </c>
      <c r="BO33" s="133">
        <f>+BI33-'ESF GA separado'!D32</f>
        <v>0</v>
      </c>
    </row>
    <row r="34" spans="1:67" ht="10.5" customHeight="1">
      <c r="B34" s="21"/>
      <c r="C34" s="20"/>
      <c r="D34" s="21"/>
      <c r="E34" s="20"/>
      <c r="F34" s="20"/>
      <c r="G34" s="20"/>
      <c r="H34" s="20"/>
      <c r="J34" s="20"/>
      <c r="K34" s="20"/>
      <c r="L34" s="20"/>
      <c r="M34" s="20"/>
      <c r="N34" s="20"/>
      <c r="P34" s="20"/>
      <c r="Q34" s="20"/>
      <c r="R34" s="20"/>
      <c r="S34" s="20"/>
      <c r="T34" s="20"/>
      <c r="U34" s="20"/>
      <c r="W34" s="20"/>
      <c r="AB34" s="20"/>
      <c r="AF34" s="32"/>
      <c r="AG34" s="20"/>
      <c r="AK34" s="32"/>
      <c r="AL34" s="20"/>
      <c r="AP34" s="32"/>
      <c r="AQ34" s="20"/>
      <c r="AU34" s="32"/>
      <c r="BA34" s="20"/>
      <c r="BB34" s="20"/>
      <c r="BC34" s="20"/>
      <c r="BD34" s="20"/>
      <c r="BE34" s="20"/>
      <c r="BF34" s="20"/>
      <c r="BG34" s="20"/>
      <c r="BH34" s="20"/>
      <c r="BI34" s="20"/>
      <c r="BJ34" s="20"/>
      <c r="BK34" s="20"/>
      <c r="BL34" s="20"/>
      <c r="BM34" s="20"/>
      <c r="BN34" s="133"/>
      <c r="BO34" s="133"/>
    </row>
    <row r="35" spans="1:67" ht="20.25" customHeight="1">
      <c r="B35" s="138" t="s">
        <v>34</v>
      </c>
      <c r="C35" s="139">
        <f>+C19+C33</f>
        <v>14342821</v>
      </c>
      <c r="D35" s="17"/>
      <c r="E35" s="139">
        <f>+E19+E33</f>
        <v>14854507</v>
      </c>
      <c r="F35" s="139">
        <f>+F19+F33</f>
        <v>14874524</v>
      </c>
      <c r="G35" s="139">
        <f>+G19+G33</f>
        <v>15324587</v>
      </c>
      <c r="H35" s="139">
        <f>+H19+H33</f>
        <v>15212436</v>
      </c>
      <c r="J35" s="139">
        <f>+J19+J33</f>
        <v>14952164</v>
      </c>
      <c r="K35" s="139">
        <f>+K19+K33</f>
        <v>15971524</v>
      </c>
      <c r="L35" s="139">
        <f>+L19+L33</f>
        <v>16466153</v>
      </c>
      <c r="M35" s="139">
        <f>+M19+M33</f>
        <v>16169425</v>
      </c>
      <c r="N35" s="139">
        <f>+N19+N33</f>
        <v>16327837</v>
      </c>
      <c r="P35" s="139">
        <f t="shared" ref="P35:U35" si="5">+P19+P33</f>
        <v>16210864</v>
      </c>
      <c r="Q35" s="139">
        <f t="shared" si="5"/>
        <v>16005705</v>
      </c>
      <c r="R35" s="139">
        <f t="shared" si="5"/>
        <v>15919947</v>
      </c>
      <c r="S35" s="139">
        <f t="shared" si="5"/>
        <v>16051630</v>
      </c>
      <c r="T35" s="139">
        <f t="shared" si="5"/>
        <v>16995199</v>
      </c>
      <c r="U35" s="139">
        <f t="shared" si="5"/>
        <v>17083471</v>
      </c>
      <c r="W35" s="139">
        <f>+W19+W33</f>
        <v>17289534</v>
      </c>
      <c r="X35" s="139">
        <f>+X19+X33</f>
        <v>17469084</v>
      </c>
      <c r="Y35" s="139">
        <f>+Y19+Y33</f>
        <v>17504261</v>
      </c>
      <c r="Z35" s="139">
        <f>+Z19+Z33</f>
        <v>17523550</v>
      </c>
      <c r="AB35" s="139">
        <f>+AB19+AB33</f>
        <v>17598033</v>
      </c>
      <c r="AC35" s="139">
        <f>+AC19+AC33</f>
        <v>17712442</v>
      </c>
      <c r="AD35" s="139">
        <f>+AD19+AD33</f>
        <v>17701476</v>
      </c>
      <c r="AE35" s="139">
        <f>+AE19+AE33</f>
        <v>17946404</v>
      </c>
      <c r="AF35" s="32"/>
      <c r="AG35" s="139">
        <f>+AG19+AG33</f>
        <v>17960990</v>
      </c>
      <c r="AH35" s="139">
        <f>+AH19+AH33</f>
        <v>17841047</v>
      </c>
      <c r="AI35" s="139">
        <f>+AI19+AI33</f>
        <v>18454416</v>
      </c>
      <c r="AJ35" s="139">
        <f>+AJ19+AJ33</f>
        <v>18160512</v>
      </c>
      <c r="AK35" s="32"/>
      <c r="AL35" s="139">
        <f>+AL19+AL33</f>
        <v>18898636</v>
      </c>
      <c r="AM35" s="139">
        <f>+AM19+AM33</f>
        <v>18483699</v>
      </c>
      <c r="AN35" s="139">
        <f>+AN19+AN33</f>
        <v>18650329</v>
      </c>
      <c r="AO35" s="139">
        <f>+AO19+AO33</f>
        <v>17791474</v>
      </c>
      <c r="AP35" s="32"/>
      <c r="AQ35" s="139">
        <f>+AQ19+AQ33</f>
        <v>18227370</v>
      </c>
      <c r="AR35" s="139">
        <f>+AR19+AR33</f>
        <v>18305094</v>
      </c>
      <c r="AS35" s="139">
        <f>+AS19+AS33</f>
        <v>18397007</v>
      </c>
      <c r="AT35" s="139">
        <f>+AT19+AT33</f>
        <v>18952092</v>
      </c>
      <c r="AU35" s="32"/>
      <c r="AV35" s="139">
        <f>+AV19+AV33</f>
        <v>19617186</v>
      </c>
      <c r="AW35" s="139">
        <f>+AW19+AW33</f>
        <v>19946286</v>
      </c>
      <c r="AX35" s="139">
        <f>+AX19+AX33</f>
        <v>20331169</v>
      </c>
      <c r="AY35" s="139">
        <f>+AY19+AY33</f>
        <v>20964835</v>
      </c>
      <c r="AZ35" s="18"/>
      <c r="BA35" s="139">
        <f>+BA19+BA33</f>
        <v>21467229</v>
      </c>
      <c r="BB35" s="139">
        <f>+BB19+BB33</f>
        <v>20961215</v>
      </c>
      <c r="BC35" s="139">
        <f>+BC19+BC33</f>
        <v>20509657</v>
      </c>
      <c r="BD35" s="139">
        <f>+BD19+BD33</f>
        <v>19610133</v>
      </c>
      <c r="BE35" s="18"/>
      <c r="BF35" s="139">
        <f>+BF19+BF33</f>
        <v>21517454</v>
      </c>
      <c r="BG35" s="139">
        <f>+BG19+BG33</f>
        <v>22155368</v>
      </c>
      <c r="BH35" s="139">
        <f>+BH19+BH33</f>
        <v>22042423</v>
      </c>
      <c r="BI35" s="139">
        <f>+BI19+BI33</f>
        <v>22014672</v>
      </c>
      <c r="BJ35" s="18"/>
      <c r="BK35" s="139">
        <f>+BK19+BK33</f>
        <v>23058849</v>
      </c>
      <c r="BL35" s="139">
        <f>+BL19+BL33</f>
        <v>22653891</v>
      </c>
      <c r="BM35" s="139">
        <f>+BM19+BM33</f>
        <v>14634358</v>
      </c>
      <c r="BN35" s="133">
        <f>+BM35-'ESF GA separado'!C34</f>
        <v>0</v>
      </c>
      <c r="BO35" s="133">
        <f>+BI35-'ESF GA separado'!D34</f>
        <v>0</v>
      </c>
    </row>
    <row r="36" spans="1:67" ht="20.25" customHeight="1">
      <c r="B36" s="140" t="s">
        <v>35</v>
      </c>
      <c r="C36" s="141">
        <v>7443.7397175671958</v>
      </c>
      <c r="D36" s="142"/>
      <c r="E36" s="141">
        <v>7558.3146764903431</v>
      </c>
      <c r="F36" s="141">
        <v>7906.9759035504121</v>
      </c>
      <c r="G36" s="141">
        <v>7554.714367408108</v>
      </c>
      <c r="H36" s="141">
        <v>6358.4912600419648</v>
      </c>
      <c r="J36" s="141">
        <v>5804.2988296034619</v>
      </c>
      <c r="K36" s="141">
        <v>6178.2763596133236</v>
      </c>
      <c r="L36" s="141">
        <v>5274.3335874488293</v>
      </c>
      <c r="M36" s="141">
        <v>5134.0146119823339</v>
      </c>
      <c r="N36" s="141">
        <v>5184.3125986277064</v>
      </c>
      <c r="P36" s="141">
        <v>5363.6620510529883</v>
      </c>
      <c r="Q36" s="141">
        <v>5488.6425595391183</v>
      </c>
      <c r="R36" s="141">
        <v>5527.8553447108461</v>
      </c>
      <c r="S36" s="141">
        <v>5574</v>
      </c>
      <c r="T36" s="141">
        <f>+T35/3000.71</f>
        <v>5663.7259181993595</v>
      </c>
      <c r="U36" s="141">
        <v>5693.1429561670402</v>
      </c>
      <c r="W36" s="141">
        <v>6002.8101824847936</v>
      </c>
      <c r="X36" s="141">
        <v>5750</v>
      </c>
      <c r="Y36" s="141">
        <v>5960</v>
      </c>
      <c r="Z36" s="141">
        <f>+Z35/2984</f>
        <v>5872.5033512064347</v>
      </c>
      <c r="AB36" s="141">
        <f>+AB35/2780.47</f>
        <v>6329.1576603955455</v>
      </c>
      <c r="AC36" s="141">
        <f>+AC35/2930.8</f>
        <v>6043.5519312133201</v>
      </c>
      <c r="AD36" s="141">
        <f>+AD35/2972.18</f>
        <v>5955.7213896870317</v>
      </c>
      <c r="AE36" s="141">
        <f>+AE35/3249.75</f>
        <v>5522.3952611739369</v>
      </c>
      <c r="AF36" s="32"/>
      <c r="AG36" s="141">
        <f>+AG35/3174.79</f>
        <v>5657.3789132509555</v>
      </c>
      <c r="AH36" s="141">
        <f>+AH35/3205.67</f>
        <v>5565.4658776480419</v>
      </c>
      <c r="AI36" s="141">
        <f>+AI35/3462.01</f>
        <v>5330.5495940219698</v>
      </c>
      <c r="AJ36" s="141">
        <f>+AJ35/3277.14</f>
        <v>5541.5734451381386</v>
      </c>
      <c r="AK36" s="32"/>
      <c r="AL36" s="141">
        <f>+AL35/4064.81</f>
        <v>4649.328258885409</v>
      </c>
      <c r="AM36" s="141">
        <f>+AM35/3758.91</f>
        <v>4917.3028883373108</v>
      </c>
      <c r="AN36" s="141">
        <f>+AN35/3878.94</f>
        <v>4808.0993776650321</v>
      </c>
      <c r="AO36" s="141">
        <f>+AO35/3432.5</f>
        <v>5183.2407865986888</v>
      </c>
      <c r="AP36" s="32"/>
      <c r="AQ36" s="141">
        <f>+AQ35/3736.91</f>
        <v>4877.6582791664769</v>
      </c>
      <c r="AR36" s="141">
        <f>+AR35/3756.67</f>
        <v>4872.6915060412548</v>
      </c>
      <c r="AS36" s="141">
        <f>+AS35/3834.68</f>
        <v>4797.5338229004765</v>
      </c>
      <c r="AT36" s="141">
        <f>+AT35/3981.16</f>
        <v>4760.4446945111476</v>
      </c>
      <c r="AU36" s="32"/>
      <c r="AV36" s="141">
        <f>+AV35/3748.15</f>
        <v>5233.8316236009759</v>
      </c>
      <c r="AW36" s="141">
        <f>+AW35/4127.47</f>
        <v>4832.5695886341991</v>
      </c>
      <c r="AX36" s="141">
        <f>+AX35/4532.07</f>
        <v>4486.0668524537359</v>
      </c>
      <c r="AY36" s="141">
        <f>+AY35/4810.2</f>
        <v>4358.4123321275629</v>
      </c>
      <c r="AZ36" s="30"/>
      <c r="BA36" s="141">
        <f>+BA35/4627.27</f>
        <v>4639.2860152962758</v>
      </c>
      <c r="BB36" s="141">
        <f>+BB35/4191.28</f>
        <v>5001.1488137275492</v>
      </c>
      <c r="BC36" s="141">
        <f>+BC35/4053.76</f>
        <v>5059.4157029523203</v>
      </c>
      <c r="BD36" s="141">
        <f>+BD35/3822.05</f>
        <v>5130.7892361429076</v>
      </c>
      <c r="BE36" s="30"/>
      <c r="BF36" s="141">
        <f>+BF35/3842.3</f>
        <v>5600.1493896884676</v>
      </c>
      <c r="BG36" s="141">
        <f>+BG35/4148.04</f>
        <v>5341.1654660996519</v>
      </c>
      <c r="BH36" s="141">
        <f>+BH35/4164.21</f>
        <v>5293.3024511251833</v>
      </c>
      <c r="BI36" s="141">
        <f>+BI35/4409.15</f>
        <v>4992.9514759080548</v>
      </c>
      <c r="BJ36" s="30"/>
      <c r="BK36" s="141">
        <f>+BK35/4192.57</f>
        <v>5499.9317840847025</v>
      </c>
      <c r="BL36" s="141">
        <f>+BL35/BL85</f>
        <v>5566.5179240577245</v>
      </c>
      <c r="BM36" s="141">
        <f>+BM35/BM85</f>
        <v>3751.1587192954125</v>
      </c>
      <c r="BN36" s="133">
        <f>+BM36-'ESF GA separado'!C35</f>
        <v>0</v>
      </c>
      <c r="BO36" s="133">
        <f>+BI36-'ESF GA separado'!D35</f>
        <v>0</v>
      </c>
    </row>
    <row r="37" spans="1:67" ht="3.75" customHeight="1">
      <c r="C37" s="10"/>
      <c r="J37" s="10"/>
      <c r="K37" s="10"/>
      <c r="L37" s="10"/>
      <c r="M37" s="10"/>
      <c r="N37" s="10"/>
      <c r="P37" s="10"/>
      <c r="Q37" s="10"/>
      <c r="R37" s="10"/>
      <c r="S37" s="10"/>
      <c r="T37" s="10"/>
      <c r="U37" s="10"/>
      <c r="W37" s="10"/>
      <c r="AB37" s="10"/>
      <c r="AF37" s="32"/>
      <c r="AG37" s="10"/>
      <c r="AK37" s="32"/>
      <c r="AL37" s="10"/>
      <c r="AP37" s="32"/>
      <c r="AQ37" s="10"/>
      <c r="AU37" s="32"/>
      <c r="BA37" s="10"/>
      <c r="BB37" s="10"/>
      <c r="BC37" s="10"/>
      <c r="BD37" s="10"/>
      <c r="BE37" s="10"/>
      <c r="BF37" s="10"/>
      <c r="BG37" s="10"/>
      <c r="BH37" s="10"/>
      <c r="BI37" s="10"/>
      <c r="BJ37" s="10"/>
      <c r="BK37" s="10"/>
      <c r="BL37" s="10"/>
      <c r="BM37" s="10"/>
      <c r="BN37" s="133"/>
      <c r="BO37" s="133"/>
    </row>
    <row r="38" spans="1:67" ht="16.5" customHeight="1">
      <c r="B38" s="11" t="s">
        <v>36</v>
      </c>
      <c r="C38" s="22">
        <v>403345</v>
      </c>
      <c r="D38" s="11"/>
      <c r="E38" s="20">
        <v>561428</v>
      </c>
      <c r="F38" s="20">
        <v>417165</v>
      </c>
      <c r="G38" s="20">
        <v>171377</v>
      </c>
      <c r="H38" s="22">
        <v>0</v>
      </c>
      <c r="J38" s="20">
        <v>103745</v>
      </c>
      <c r="K38" s="20">
        <v>116234</v>
      </c>
      <c r="L38" s="20">
        <v>123695</v>
      </c>
      <c r="M38" s="20">
        <v>123415</v>
      </c>
      <c r="N38" s="20">
        <v>123415</v>
      </c>
      <c r="P38" s="20">
        <v>5105</v>
      </c>
      <c r="Q38" s="20">
        <v>5500</v>
      </c>
      <c r="R38" s="20">
        <v>5891</v>
      </c>
      <c r="S38" s="20">
        <v>5891</v>
      </c>
      <c r="T38" s="20">
        <v>5920</v>
      </c>
      <c r="U38" s="20">
        <v>5920</v>
      </c>
      <c r="W38" s="20">
        <v>37394</v>
      </c>
      <c r="X38" s="20">
        <v>13044</v>
      </c>
      <c r="Y38" s="20">
        <v>4056</v>
      </c>
      <c r="Z38" s="20">
        <v>3728</v>
      </c>
      <c r="AB38" s="20">
        <v>2871</v>
      </c>
      <c r="AC38" s="20">
        <v>186376</v>
      </c>
      <c r="AD38" s="20">
        <v>243729</v>
      </c>
      <c r="AE38" s="20">
        <v>119106</v>
      </c>
      <c r="AF38" s="32"/>
      <c r="AG38" s="20">
        <v>140423</v>
      </c>
      <c r="AH38" s="20">
        <v>144537</v>
      </c>
      <c r="AI38" s="20">
        <v>270</v>
      </c>
      <c r="AJ38" s="20">
        <v>4252</v>
      </c>
      <c r="AK38" s="32"/>
      <c r="AL38" s="20">
        <v>10454</v>
      </c>
      <c r="AM38" s="20">
        <v>17778</v>
      </c>
      <c r="AN38" s="20">
        <v>3383</v>
      </c>
      <c r="AO38" s="20">
        <v>237</v>
      </c>
      <c r="AP38" s="32"/>
      <c r="AQ38" s="20">
        <v>5843</v>
      </c>
      <c r="AR38" s="20">
        <v>133821</v>
      </c>
      <c r="AS38" s="20">
        <v>53848</v>
      </c>
      <c r="AT38" s="20">
        <v>2556</v>
      </c>
      <c r="AU38" s="32"/>
      <c r="AV38" s="20">
        <v>32220</v>
      </c>
      <c r="AW38" s="20">
        <v>4060</v>
      </c>
      <c r="AX38" s="20">
        <v>8849</v>
      </c>
      <c r="AY38" s="20">
        <v>8920</v>
      </c>
      <c r="AZ38" s="20"/>
      <c r="BA38" s="20">
        <v>54332</v>
      </c>
      <c r="BB38" s="20">
        <v>49606</v>
      </c>
      <c r="BC38" s="20">
        <v>63127</v>
      </c>
      <c r="BD38" s="20">
        <v>26841</v>
      </c>
      <c r="BE38" s="20"/>
      <c r="BF38" s="20">
        <v>31011</v>
      </c>
      <c r="BG38" s="20">
        <v>86508</v>
      </c>
      <c r="BH38" s="20">
        <v>71803</v>
      </c>
      <c r="BI38" s="20">
        <v>27369</v>
      </c>
      <c r="BJ38" s="20"/>
      <c r="BK38" s="20">
        <v>275944</v>
      </c>
      <c r="BL38" s="20">
        <v>598540</v>
      </c>
      <c r="BM38" s="20">
        <v>609598</v>
      </c>
      <c r="BN38" s="133">
        <f>+BM38-'ESF GA separado'!C37</f>
        <v>0</v>
      </c>
      <c r="BO38" s="133">
        <f>+BI38-'ESF GA separado'!D37</f>
        <v>0</v>
      </c>
    </row>
    <row r="39" spans="1:67" ht="16.5" customHeight="1">
      <c r="B39" s="11" t="s">
        <v>37</v>
      </c>
      <c r="C39" s="22"/>
      <c r="D39" s="11"/>
      <c r="E39" s="20"/>
      <c r="F39" s="20"/>
      <c r="G39" s="20"/>
      <c r="H39" s="22"/>
      <c r="J39" s="20"/>
      <c r="K39" s="20"/>
      <c r="L39" s="20"/>
      <c r="M39" s="20"/>
      <c r="N39" s="20"/>
      <c r="P39" s="20"/>
      <c r="Q39" s="20"/>
      <c r="R39" s="20"/>
      <c r="S39" s="20"/>
      <c r="T39" s="20"/>
      <c r="U39" s="20"/>
      <c r="W39" s="20"/>
      <c r="X39" s="20"/>
      <c r="Y39" s="20"/>
      <c r="Z39" s="20"/>
      <c r="AB39" s="20"/>
      <c r="AC39" s="20"/>
      <c r="AD39" s="20"/>
      <c r="AE39" s="20"/>
      <c r="AF39" s="32"/>
      <c r="AG39" s="20">
        <v>1310</v>
      </c>
      <c r="AH39" s="20">
        <v>956</v>
      </c>
      <c r="AI39" s="20">
        <v>527</v>
      </c>
      <c r="AJ39" s="20">
        <v>2036</v>
      </c>
      <c r="AK39" s="32"/>
      <c r="AL39" s="20">
        <v>1478</v>
      </c>
      <c r="AM39" s="20">
        <v>1749</v>
      </c>
      <c r="AN39" s="20">
        <v>1483</v>
      </c>
      <c r="AO39" s="20">
        <v>1720</v>
      </c>
      <c r="AP39" s="32"/>
      <c r="AQ39" s="20">
        <v>1331</v>
      </c>
      <c r="AR39" s="20">
        <v>2402</v>
      </c>
      <c r="AS39" s="20">
        <v>1890</v>
      </c>
      <c r="AT39" s="20">
        <v>2053</v>
      </c>
      <c r="AU39" s="32"/>
      <c r="AV39" s="20">
        <v>1192</v>
      </c>
      <c r="AW39" s="20">
        <v>2428</v>
      </c>
      <c r="AX39" s="20">
        <v>2141</v>
      </c>
      <c r="AY39" s="20">
        <v>3706</v>
      </c>
      <c r="AZ39" s="20"/>
      <c r="BA39" s="20">
        <v>2296</v>
      </c>
      <c r="BB39" s="20">
        <v>2182</v>
      </c>
      <c r="BC39" s="20">
        <v>1795</v>
      </c>
      <c r="BD39" s="20">
        <v>1318</v>
      </c>
      <c r="BE39" s="20"/>
      <c r="BF39" s="20">
        <v>1796</v>
      </c>
      <c r="BG39" s="20">
        <v>1922</v>
      </c>
      <c r="BH39" s="20">
        <v>2145</v>
      </c>
      <c r="BI39" s="20">
        <v>2050</v>
      </c>
      <c r="BJ39" s="20"/>
      <c r="BK39" s="20">
        <v>2194</v>
      </c>
      <c r="BL39" s="20">
        <v>1717</v>
      </c>
      <c r="BM39" s="20">
        <v>1026</v>
      </c>
      <c r="BN39" s="133">
        <f>+BM39-'ESF GA separado'!C38</f>
        <v>0</v>
      </c>
      <c r="BO39" s="133">
        <f>+BI39-'ESF GA separado'!D38</f>
        <v>0</v>
      </c>
    </row>
    <row r="40" spans="1:67" ht="16.5" customHeight="1">
      <c r="A40" s="32"/>
      <c r="B40" s="11" t="s">
        <v>188</v>
      </c>
      <c r="C40" s="20">
        <v>33543</v>
      </c>
      <c r="D40" s="11"/>
      <c r="E40" s="20">
        <v>36840</v>
      </c>
      <c r="F40" s="20">
        <v>41640</v>
      </c>
      <c r="G40" s="20">
        <v>37478</v>
      </c>
      <c r="H40" s="20">
        <v>30429</v>
      </c>
      <c r="J40" s="20">
        <v>39346</v>
      </c>
      <c r="K40" s="20">
        <v>20123</v>
      </c>
      <c r="L40" s="20">
        <v>13302</v>
      </c>
      <c r="M40" s="20">
        <f>4958+338</f>
        <v>5296</v>
      </c>
      <c r="N40" s="20">
        <f>4958+338</f>
        <v>5296</v>
      </c>
      <c r="P40" s="20">
        <v>6939</v>
      </c>
      <c r="Q40" s="20">
        <v>112523</v>
      </c>
      <c r="R40" s="20">
        <v>137205</v>
      </c>
      <c r="S40" s="20">
        <v>137205</v>
      </c>
      <c r="T40" s="20">
        <v>139132</v>
      </c>
      <c r="U40" s="20">
        <v>139132</v>
      </c>
      <c r="W40" s="20">
        <v>139602</v>
      </c>
      <c r="X40" s="20">
        <v>139748</v>
      </c>
      <c r="Y40" s="20">
        <v>365315</v>
      </c>
      <c r="Z40" s="20">
        <v>367340</v>
      </c>
      <c r="AB40" s="20">
        <v>373220</v>
      </c>
      <c r="AC40" s="20">
        <v>103602</v>
      </c>
      <c r="AD40" s="20">
        <v>7136</v>
      </c>
      <c r="AE40" s="20">
        <v>121691</v>
      </c>
      <c r="AF40" s="32"/>
      <c r="AG40" s="20">
        <v>110611</v>
      </c>
      <c r="AH40" s="20">
        <v>94580</v>
      </c>
      <c r="AI40" s="20">
        <v>8031</v>
      </c>
      <c r="AJ40" s="20">
        <v>8274</v>
      </c>
      <c r="AK40" s="32"/>
      <c r="AL40" s="20">
        <v>8192</v>
      </c>
      <c r="AM40" s="20">
        <v>8911</v>
      </c>
      <c r="AN40" s="20">
        <v>8676</v>
      </c>
      <c r="AO40" s="20">
        <v>535</v>
      </c>
      <c r="AP40" s="32"/>
      <c r="AQ40" s="20">
        <v>382</v>
      </c>
      <c r="AR40" s="20">
        <v>23</v>
      </c>
      <c r="AS40" s="20">
        <v>2115</v>
      </c>
      <c r="AT40" s="20">
        <v>95117</v>
      </c>
      <c r="AU40" s="32"/>
      <c r="AV40" s="20">
        <v>61019</v>
      </c>
      <c r="AW40" s="20">
        <v>57144</v>
      </c>
      <c r="AX40" s="20">
        <v>6486</v>
      </c>
      <c r="AY40" s="20">
        <v>10357</v>
      </c>
      <c r="AZ40" s="20"/>
      <c r="BA40" s="20">
        <v>11441</v>
      </c>
      <c r="BB40" s="20">
        <v>11970</v>
      </c>
      <c r="BC40" s="20">
        <v>145912</v>
      </c>
      <c r="BD40" s="20">
        <v>145326</v>
      </c>
      <c r="BE40" s="20"/>
      <c r="BF40" s="20">
        <v>144169</v>
      </c>
      <c r="BG40" s="20">
        <v>142828</v>
      </c>
      <c r="BH40" s="20">
        <v>164964</v>
      </c>
      <c r="BI40" s="20">
        <v>164744</v>
      </c>
      <c r="BJ40" s="20"/>
      <c r="BK40" s="20">
        <v>165238</v>
      </c>
      <c r="BL40" s="20">
        <v>161742</v>
      </c>
      <c r="BM40" s="20">
        <v>7464</v>
      </c>
      <c r="BN40" s="133">
        <f>+BM40-'ESF GA separado'!C39</f>
        <v>0</v>
      </c>
      <c r="BO40" s="133">
        <f>+BI40-'ESF GA separado'!D39</f>
        <v>0</v>
      </c>
    </row>
    <row r="41" spans="1:67" ht="16.5" customHeight="1">
      <c r="B41" s="11" t="s">
        <v>39</v>
      </c>
      <c r="C41" s="20">
        <v>125609</v>
      </c>
      <c r="D41" s="11"/>
      <c r="E41" s="20">
        <v>273125</v>
      </c>
      <c r="F41" s="20">
        <v>227780</v>
      </c>
      <c r="G41" s="20">
        <v>167568</v>
      </c>
      <c r="H41" s="20">
        <v>143921</v>
      </c>
      <c r="J41" s="20">
        <f>290138+1</f>
        <v>290139</v>
      </c>
      <c r="K41" s="20">
        <v>299078</v>
      </c>
      <c r="L41" s="20">
        <v>232572</v>
      </c>
      <c r="M41" s="20">
        <f>185324-338-2012-4543</f>
        <v>178431</v>
      </c>
      <c r="N41" s="20">
        <f>185324-338-2012-4543</f>
        <v>178431</v>
      </c>
      <c r="P41" s="20">
        <v>334268</v>
      </c>
      <c r="Q41" s="20">
        <v>238607</v>
      </c>
      <c r="R41" s="20">
        <v>156449</v>
      </c>
      <c r="S41" s="20">
        <v>156449</v>
      </c>
      <c r="T41" s="20">
        <v>92004</v>
      </c>
      <c r="U41" s="20">
        <v>136251</v>
      </c>
      <c r="W41" s="20">
        <v>529169</v>
      </c>
      <c r="X41" s="20">
        <v>225831</v>
      </c>
      <c r="Y41" s="20">
        <v>157093</v>
      </c>
      <c r="Z41" s="20">
        <v>83789</v>
      </c>
      <c r="AB41" s="20">
        <v>16130</v>
      </c>
      <c r="AC41" s="20">
        <v>225365</v>
      </c>
      <c r="AD41" s="20">
        <v>156633</v>
      </c>
      <c r="AE41" s="20">
        <v>90551</v>
      </c>
      <c r="AF41" s="32"/>
      <c r="AG41" s="20">
        <v>316035</v>
      </c>
      <c r="AH41" s="20">
        <v>242184</v>
      </c>
      <c r="AI41" s="20">
        <v>165111</v>
      </c>
      <c r="AJ41" s="20">
        <v>93764</v>
      </c>
      <c r="AK41" s="32"/>
      <c r="AL41" s="20">
        <v>338408</v>
      </c>
      <c r="AM41" s="20">
        <v>257015</v>
      </c>
      <c r="AN41" s="20">
        <v>176804</v>
      </c>
      <c r="AO41" s="20">
        <v>94587</v>
      </c>
      <c r="AP41" s="32"/>
      <c r="AQ41" s="20">
        <v>338262</v>
      </c>
      <c r="AR41" s="20">
        <v>16624</v>
      </c>
      <c r="AS41" s="20">
        <v>14505</v>
      </c>
      <c r="AT41" s="20">
        <v>11274</v>
      </c>
      <c r="AU41" s="32"/>
      <c r="AV41" s="20">
        <v>458168</v>
      </c>
      <c r="AW41" s="20">
        <v>338787</v>
      </c>
      <c r="AX41" s="20">
        <v>240389</v>
      </c>
      <c r="AY41" s="20">
        <v>148922</v>
      </c>
      <c r="AZ41" s="20"/>
      <c r="BA41" s="20">
        <v>521136</v>
      </c>
      <c r="BB41" s="20">
        <v>401884</v>
      </c>
      <c r="BC41" s="20">
        <v>273150</v>
      </c>
      <c r="BD41" s="20">
        <v>139079</v>
      </c>
      <c r="BE41" s="20"/>
      <c r="BF41" s="20">
        <v>577753</v>
      </c>
      <c r="BG41" s="20">
        <v>430436</v>
      </c>
      <c r="BH41" s="20">
        <v>298856</v>
      </c>
      <c r="BI41" s="20">
        <v>154061</v>
      </c>
      <c r="BJ41" s="20"/>
      <c r="BK41" s="20">
        <v>608744</v>
      </c>
      <c r="BL41" s="20">
        <v>468410</v>
      </c>
      <c r="BM41" s="20">
        <v>289315</v>
      </c>
      <c r="BN41" s="133">
        <f>+BM41-'ESF GA separado'!C40</f>
        <v>0</v>
      </c>
      <c r="BO41" s="133">
        <f>+BI41-'ESF GA separado'!D40</f>
        <v>0</v>
      </c>
    </row>
    <row r="42" spans="1:67" ht="16.5" customHeight="1">
      <c r="B42" s="11" t="s">
        <v>40</v>
      </c>
      <c r="C42" s="20">
        <v>1155</v>
      </c>
      <c r="D42" s="11"/>
      <c r="E42" s="20">
        <v>1155</v>
      </c>
      <c r="F42" s="20">
        <v>1143</v>
      </c>
      <c r="G42" s="20">
        <v>2259</v>
      </c>
      <c r="H42" s="20">
        <v>1863</v>
      </c>
      <c r="J42" s="20">
        <v>6909</v>
      </c>
      <c r="K42" s="20">
        <v>2521</v>
      </c>
      <c r="L42" s="20">
        <v>1249</v>
      </c>
      <c r="M42" s="20">
        <f>770+495</f>
        <v>1265</v>
      </c>
      <c r="N42" s="20">
        <f>770+495</f>
        <v>1265</v>
      </c>
      <c r="P42" s="20">
        <v>1288</v>
      </c>
      <c r="Q42" s="20">
        <v>1312</v>
      </c>
      <c r="R42" s="20">
        <v>1335</v>
      </c>
      <c r="S42" s="20">
        <v>1335</v>
      </c>
      <c r="T42" s="20">
        <v>1921</v>
      </c>
      <c r="U42" s="20">
        <v>1921</v>
      </c>
      <c r="W42" s="20">
        <v>1921</v>
      </c>
      <c r="X42" s="20">
        <v>1921</v>
      </c>
      <c r="Y42" s="20">
        <v>514</v>
      </c>
      <c r="Z42" s="20">
        <v>515</v>
      </c>
      <c r="AB42" s="20">
        <v>515</v>
      </c>
      <c r="AC42" s="20">
        <v>730</v>
      </c>
      <c r="AD42" s="20">
        <v>701</v>
      </c>
      <c r="AE42" s="20">
        <v>701</v>
      </c>
      <c r="AF42" s="32"/>
      <c r="AG42" s="20">
        <v>701</v>
      </c>
      <c r="AH42" s="20">
        <v>701</v>
      </c>
      <c r="AI42" s="20">
        <v>701</v>
      </c>
      <c r="AJ42" s="20">
        <v>322</v>
      </c>
      <c r="AK42" s="32"/>
      <c r="AL42" s="20">
        <v>323</v>
      </c>
      <c r="AM42" s="20">
        <v>323</v>
      </c>
      <c r="AN42" s="20">
        <v>323</v>
      </c>
      <c r="AO42" s="20">
        <v>253</v>
      </c>
      <c r="AP42" s="32"/>
      <c r="AQ42" s="20">
        <v>253</v>
      </c>
      <c r="AR42" s="20">
        <v>253</v>
      </c>
      <c r="AS42" s="20">
        <v>155</v>
      </c>
      <c r="AT42" s="20">
        <v>5005</v>
      </c>
      <c r="AU42" s="32"/>
      <c r="AV42" s="20">
        <v>4960</v>
      </c>
      <c r="AW42" s="20">
        <v>4594</v>
      </c>
      <c r="AX42" s="20">
        <v>4505</v>
      </c>
      <c r="AY42" s="20">
        <v>5255</v>
      </c>
      <c r="AZ42" s="20"/>
      <c r="BA42" s="20">
        <v>4901</v>
      </c>
      <c r="BB42" s="20">
        <v>945</v>
      </c>
      <c r="BC42" s="20">
        <v>763</v>
      </c>
      <c r="BD42" s="20">
        <v>257</v>
      </c>
      <c r="BE42" s="20"/>
      <c r="BF42" s="20">
        <v>257</v>
      </c>
      <c r="BG42" s="20">
        <v>257</v>
      </c>
      <c r="BH42" s="20">
        <v>55</v>
      </c>
      <c r="BI42" s="20">
        <v>55</v>
      </c>
      <c r="BJ42" s="20"/>
      <c r="BK42" s="20">
        <v>55</v>
      </c>
      <c r="BL42" s="1033">
        <v>0</v>
      </c>
      <c r="BM42" s="1033">
        <v>0</v>
      </c>
      <c r="BN42" s="133">
        <f>+BM42-'ESF GA separado'!C41</f>
        <v>0</v>
      </c>
      <c r="BO42" s="133">
        <f>+BI42-'ESF GA separado'!D41</f>
        <v>0</v>
      </c>
    </row>
    <row r="43" spans="1:67" ht="16.5" customHeight="1">
      <c r="B43" s="11" t="s">
        <v>41</v>
      </c>
      <c r="C43" s="20">
        <v>14212</v>
      </c>
      <c r="D43" s="11"/>
      <c r="E43" s="20">
        <v>13649</v>
      </c>
      <c r="F43" s="20">
        <v>4584</v>
      </c>
      <c r="G43" s="20">
        <v>5905</v>
      </c>
      <c r="H43" s="20">
        <v>470</v>
      </c>
      <c r="J43" s="20">
        <v>14957</v>
      </c>
      <c r="K43" s="20">
        <v>13510</v>
      </c>
      <c r="L43" s="20">
        <v>9066</v>
      </c>
      <c r="M43" s="20">
        <f>14177-3630</f>
        <v>10547</v>
      </c>
      <c r="N43" s="20">
        <v>10547</v>
      </c>
      <c r="P43" s="20">
        <v>30459</v>
      </c>
      <c r="Q43" s="20">
        <v>12074</v>
      </c>
      <c r="R43" s="20">
        <v>7176</v>
      </c>
      <c r="S43" s="20">
        <v>4689</v>
      </c>
      <c r="T43" s="20">
        <v>5562</v>
      </c>
      <c r="U43" s="20">
        <v>5741</v>
      </c>
      <c r="W43" s="20">
        <v>6513</v>
      </c>
      <c r="X43" s="20">
        <v>9381</v>
      </c>
      <c r="Y43" s="20">
        <v>38001</v>
      </c>
      <c r="Z43" s="20">
        <v>45668</v>
      </c>
      <c r="AB43" s="20">
        <v>40290</v>
      </c>
      <c r="AC43" s="20">
        <v>7684</v>
      </c>
      <c r="AD43" s="20">
        <v>11670</v>
      </c>
      <c r="AE43" s="20">
        <v>23811</v>
      </c>
      <c r="AF43" s="32"/>
      <c r="AG43" s="20">
        <v>12083</v>
      </c>
      <c r="AH43" s="20">
        <v>1711</v>
      </c>
      <c r="AI43" s="20">
        <v>5469</v>
      </c>
      <c r="AJ43" s="20">
        <v>1974</v>
      </c>
      <c r="AK43" s="32"/>
      <c r="AL43" s="20">
        <v>5004</v>
      </c>
      <c r="AM43" s="20">
        <v>5708</v>
      </c>
      <c r="AN43" s="20">
        <v>6493</v>
      </c>
      <c r="AO43" s="20">
        <v>7453</v>
      </c>
      <c r="AP43" s="32"/>
      <c r="AQ43" s="20">
        <v>52</v>
      </c>
      <c r="AR43" s="20">
        <v>3334</v>
      </c>
      <c r="AS43" s="20">
        <v>1337</v>
      </c>
      <c r="AT43" s="20">
        <v>15682</v>
      </c>
      <c r="AU43" s="32"/>
      <c r="AV43" s="20">
        <v>1453</v>
      </c>
      <c r="AW43" s="20">
        <v>6102</v>
      </c>
      <c r="AX43" s="20">
        <v>261</v>
      </c>
      <c r="AY43" s="20">
        <v>2135</v>
      </c>
      <c r="AZ43" s="20"/>
      <c r="BA43" s="20">
        <v>853</v>
      </c>
      <c r="BB43" s="20">
        <v>3446</v>
      </c>
      <c r="BC43" s="20">
        <v>10368</v>
      </c>
      <c r="BD43" s="20">
        <v>21602</v>
      </c>
      <c r="BE43" s="20"/>
      <c r="BF43" s="20">
        <v>234951</v>
      </c>
      <c r="BG43" s="20">
        <v>235931</v>
      </c>
      <c r="BH43" s="20">
        <v>235793</v>
      </c>
      <c r="BI43" s="20">
        <v>218015</v>
      </c>
      <c r="BJ43" s="20"/>
      <c r="BK43" s="20">
        <v>168372</v>
      </c>
      <c r="BL43" s="20">
        <v>3420</v>
      </c>
      <c r="BM43" s="20">
        <v>58986</v>
      </c>
      <c r="BN43" s="133">
        <f>+BM43-'ESF GA separado'!C42</f>
        <v>0</v>
      </c>
      <c r="BO43" s="133">
        <f>+BI43-'ESF GA separado'!D42</f>
        <v>0</v>
      </c>
    </row>
    <row r="44" spans="1:67" ht="16.5" customHeight="1">
      <c r="B44" s="11" t="s">
        <v>42</v>
      </c>
      <c r="C44" s="20">
        <f>712+1000</f>
        <v>1712</v>
      </c>
      <c r="D44" s="11"/>
      <c r="E44" s="20">
        <f>879+1058</f>
        <v>1937</v>
      </c>
      <c r="F44" s="20">
        <f>786+1177</f>
        <v>1963</v>
      </c>
      <c r="G44" s="20">
        <f>4094-1040</f>
        <v>3054</v>
      </c>
      <c r="H44" s="20">
        <f>944+1000</f>
        <v>1944</v>
      </c>
      <c r="J44" s="20">
        <f>1118+1347</f>
        <v>2465</v>
      </c>
      <c r="K44" s="20">
        <f>1243+1374</f>
        <v>2617</v>
      </c>
      <c r="L44" s="20">
        <f>1427-1+10</f>
        <v>1436</v>
      </c>
      <c r="M44" s="20">
        <f>1933+517+2012+4543-495</f>
        <v>8510</v>
      </c>
      <c r="N44" s="20">
        <f>1933+517+2012+4543-495</f>
        <v>8510</v>
      </c>
      <c r="P44" s="20">
        <f>2087+517</f>
        <v>2604</v>
      </c>
      <c r="Q44" s="20">
        <f>4228+517</f>
        <v>4745</v>
      </c>
      <c r="R44" s="20">
        <f>6690+517</f>
        <v>7207</v>
      </c>
      <c r="S44" s="20">
        <v>7207</v>
      </c>
      <c r="T44" s="20">
        <f>8961+2815</f>
        <v>11776</v>
      </c>
      <c r="U44" s="20">
        <v>11776</v>
      </c>
      <c r="W44" s="20">
        <v>9084</v>
      </c>
      <c r="X44" s="20">
        <v>8701</v>
      </c>
      <c r="Y44" s="20">
        <v>11409</v>
      </c>
      <c r="Z44" s="20">
        <v>12683</v>
      </c>
      <c r="AA44" s="134"/>
      <c r="AB44" s="20">
        <v>15129</v>
      </c>
      <c r="AC44" s="20">
        <v>7703</v>
      </c>
      <c r="AD44" s="20">
        <v>10057</v>
      </c>
      <c r="AE44" s="20">
        <v>11414</v>
      </c>
      <c r="AF44" s="32"/>
      <c r="AG44" s="20">
        <v>5829</v>
      </c>
      <c r="AH44" s="20">
        <v>7943</v>
      </c>
      <c r="AI44" s="20">
        <v>9809</v>
      </c>
      <c r="AJ44" s="20">
        <v>12404</v>
      </c>
      <c r="AK44" s="32"/>
      <c r="AL44" s="20">
        <v>5066</v>
      </c>
      <c r="AM44" s="20">
        <v>8244</v>
      </c>
      <c r="AN44" s="20">
        <v>11277</v>
      </c>
      <c r="AO44" s="20">
        <v>13522</v>
      </c>
      <c r="AP44" s="32"/>
      <c r="AQ44" s="20">
        <v>10729</v>
      </c>
      <c r="AR44" s="20">
        <v>6946</v>
      </c>
      <c r="AS44" s="20">
        <v>9342</v>
      </c>
      <c r="AT44" s="20">
        <v>12510</v>
      </c>
      <c r="AU44" s="32"/>
      <c r="AV44" s="20">
        <v>6891</v>
      </c>
      <c r="AW44" s="20">
        <v>9384</v>
      </c>
      <c r="AX44" s="20">
        <v>10455</v>
      </c>
      <c r="AY44" s="20">
        <v>13907</v>
      </c>
      <c r="AZ44" s="20"/>
      <c r="BA44" s="20">
        <v>7091</v>
      </c>
      <c r="BB44" s="20">
        <v>9773</v>
      </c>
      <c r="BC44" s="20">
        <v>13127</v>
      </c>
      <c r="BD44" s="20">
        <v>16519</v>
      </c>
      <c r="BE44" s="20"/>
      <c r="BF44" s="20">
        <v>6713</v>
      </c>
      <c r="BG44" s="20">
        <v>11131</v>
      </c>
      <c r="BH44" s="20">
        <v>14919</v>
      </c>
      <c r="BI44" s="20">
        <v>18737</v>
      </c>
      <c r="BJ44" s="20"/>
      <c r="BK44" s="20">
        <v>7293</v>
      </c>
      <c r="BL44" s="20">
        <v>9813</v>
      </c>
      <c r="BM44" s="20">
        <v>13699</v>
      </c>
      <c r="BN44" s="1139">
        <f>+BM44-'ESF GA separado'!C43</f>
        <v>0</v>
      </c>
      <c r="BO44" s="1139">
        <f>+BI44-'ESF GA separado'!D43</f>
        <v>0</v>
      </c>
    </row>
    <row r="45" spans="1:67" ht="16.5" hidden="1" customHeight="1">
      <c r="B45" s="136" t="s">
        <v>43</v>
      </c>
      <c r="C45" s="65">
        <v>0</v>
      </c>
      <c r="D45" s="136"/>
      <c r="E45" s="65">
        <v>0</v>
      </c>
      <c r="F45" s="65">
        <v>0</v>
      </c>
      <c r="G45" s="65">
        <v>0</v>
      </c>
      <c r="H45" s="65">
        <v>0</v>
      </c>
      <c r="I45" s="143"/>
      <c r="J45" s="65">
        <v>0</v>
      </c>
      <c r="K45" s="65">
        <v>0</v>
      </c>
      <c r="L45" s="65">
        <v>0</v>
      </c>
      <c r="M45" s="65">
        <v>0</v>
      </c>
      <c r="N45" s="65">
        <v>0</v>
      </c>
      <c r="O45" s="143"/>
      <c r="P45" s="65">
        <v>0</v>
      </c>
      <c r="Q45" s="65">
        <v>0</v>
      </c>
      <c r="R45" s="65">
        <v>0</v>
      </c>
      <c r="S45" s="65">
        <v>0</v>
      </c>
      <c r="T45" s="65">
        <v>0</v>
      </c>
      <c r="U45" s="65">
        <v>0</v>
      </c>
      <c r="W45" s="65">
        <v>0</v>
      </c>
      <c r="X45" s="65">
        <v>0</v>
      </c>
      <c r="Y45" s="65">
        <v>0</v>
      </c>
      <c r="Z45" s="65">
        <v>0</v>
      </c>
      <c r="AB45" s="65">
        <v>0</v>
      </c>
      <c r="AC45" s="65">
        <v>0</v>
      </c>
      <c r="AD45" s="65">
        <v>0</v>
      </c>
      <c r="AE45" s="65">
        <v>0</v>
      </c>
      <c r="AF45" s="32"/>
      <c r="AG45" s="65">
        <v>0</v>
      </c>
      <c r="AH45" s="65">
        <v>0</v>
      </c>
      <c r="AI45" s="65">
        <v>0</v>
      </c>
      <c r="AJ45" s="65">
        <v>0</v>
      </c>
      <c r="AK45" s="32"/>
      <c r="AL45" s="65">
        <v>0</v>
      </c>
      <c r="AM45" s="65">
        <v>0</v>
      </c>
      <c r="AN45" s="65">
        <v>0</v>
      </c>
      <c r="AO45" s="65">
        <v>0</v>
      </c>
      <c r="AP45" s="32"/>
      <c r="AQ45" s="65">
        <v>0</v>
      </c>
      <c r="AR45" s="65">
        <v>0</v>
      </c>
      <c r="AS45" s="65">
        <v>0</v>
      </c>
      <c r="AT45" s="65">
        <v>0</v>
      </c>
      <c r="AU45" s="32"/>
      <c r="AV45" s="65"/>
      <c r="AW45" s="65"/>
      <c r="AX45" s="65"/>
      <c r="AY45" s="65"/>
      <c r="AZ45" s="22"/>
      <c r="BA45" s="65"/>
      <c r="BB45" s="65"/>
      <c r="BC45" s="65"/>
      <c r="BD45" s="65"/>
      <c r="BE45" s="22"/>
      <c r="BF45" s="65"/>
      <c r="BG45" s="65"/>
      <c r="BH45" s="65"/>
      <c r="BI45" s="65"/>
      <c r="BJ45" s="22"/>
      <c r="BK45" s="65">
        <v>0</v>
      </c>
      <c r="BL45" s="65">
        <v>0</v>
      </c>
      <c r="BM45" s="65">
        <v>0</v>
      </c>
      <c r="BN45" s="133">
        <f>+BM45-'ESF GA separado'!C44</f>
        <v>0</v>
      </c>
      <c r="BO45" s="133">
        <f>+BI45-'ESF GA separado'!D44</f>
        <v>0</v>
      </c>
    </row>
    <row r="46" spans="1:67" ht="16.5" hidden="1" customHeight="1">
      <c r="A46" s="32"/>
      <c r="B46" s="21" t="s">
        <v>189</v>
      </c>
      <c r="C46" s="22">
        <v>0</v>
      </c>
      <c r="D46" s="11"/>
      <c r="E46" s="22">
        <v>0</v>
      </c>
      <c r="F46" s="22">
        <v>0</v>
      </c>
      <c r="G46" s="22">
        <v>0</v>
      </c>
      <c r="H46" s="22">
        <v>0</v>
      </c>
      <c r="J46" s="22">
        <v>0</v>
      </c>
      <c r="K46" s="22">
        <v>0</v>
      </c>
      <c r="L46" s="22">
        <v>0</v>
      </c>
      <c r="M46" s="22">
        <v>0</v>
      </c>
      <c r="N46" s="22">
        <v>0</v>
      </c>
      <c r="P46" s="22">
        <v>0</v>
      </c>
      <c r="Q46" s="22">
        <v>0</v>
      </c>
      <c r="R46" s="22">
        <v>0</v>
      </c>
      <c r="S46" s="22">
        <v>0</v>
      </c>
      <c r="T46" s="22">
        <v>0</v>
      </c>
      <c r="U46" s="22">
        <v>0</v>
      </c>
      <c r="W46" s="22">
        <v>0</v>
      </c>
      <c r="X46" s="22">
        <v>0</v>
      </c>
      <c r="Y46" s="22">
        <v>0</v>
      </c>
      <c r="Z46" s="22">
        <v>0</v>
      </c>
      <c r="AB46" s="22">
        <v>0</v>
      </c>
      <c r="AC46" s="22">
        <v>0</v>
      </c>
      <c r="AD46" s="22">
        <v>0</v>
      </c>
      <c r="AE46" s="22">
        <v>0</v>
      </c>
      <c r="AF46" s="32"/>
      <c r="AG46" s="22">
        <v>0</v>
      </c>
      <c r="AH46" s="22">
        <v>0</v>
      </c>
      <c r="AI46" s="22">
        <v>0</v>
      </c>
      <c r="AJ46" s="22">
        <v>0</v>
      </c>
      <c r="AK46" s="32"/>
      <c r="AL46" s="22">
        <v>0</v>
      </c>
      <c r="AM46" s="22">
        <v>0</v>
      </c>
      <c r="AN46" s="22">
        <v>0</v>
      </c>
      <c r="AO46" s="22">
        <v>0</v>
      </c>
      <c r="AP46" s="32"/>
      <c r="AQ46" s="22">
        <v>0</v>
      </c>
      <c r="AR46" s="22">
        <v>0</v>
      </c>
      <c r="AS46" s="22">
        <v>0</v>
      </c>
      <c r="AT46" s="22">
        <v>0</v>
      </c>
      <c r="AU46" s="32"/>
      <c r="AV46" s="22">
        <v>0</v>
      </c>
      <c r="AW46" s="22">
        <v>0</v>
      </c>
      <c r="AX46" s="22">
        <v>0</v>
      </c>
      <c r="AY46" s="22">
        <v>0</v>
      </c>
      <c r="AZ46" s="22"/>
      <c r="BA46" s="22">
        <v>0</v>
      </c>
      <c r="BB46" s="22">
        <v>0</v>
      </c>
      <c r="BC46" s="22">
        <v>0</v>
      </c>
      <c r="BD46" s="22">
        <v>0</v>
      </c>
      <c r="BE46" s="22"/>
      <c r="BF46" s="22"/>
      <c r="BG46" s="22"/>
      <c r="BH46" s="22"/>
      <c r="BI46" s="22"/>
      <c r="BJ46" s="22"/>
      <c r="BK46" s="22">
        <v>0</v>
      </c>
      <c r="BL46" s="22">
        <v>0</v>
      </c>
      <c r="BM46" s="22">
        <v>0</v>
      </c>
      <c r="BN46" s="133">
        <f>+BM46-'ESF GA separado'!C45</f>
        <v>0</v>
      </c>
      <c r="BO46" s="133">
        <f>+BI46-'ESF GA separado'!D45</f>
        <v>0</v>
      </c>
    </row>
    <row r="47" spans="1:67" ht="16.5" customHeight="1">
      <c r="A47" s="32"/>
      <c r="B47" s="11" t="s">
        <v>51</v>
      </c>
      <c r="C47" s="22">
        <v>29061</v>
      </c>
      <c r="D47" s="11"/>
      <c r="E47" s="20">
        <v>34331</v>
      </c>
      <c r="F47" s="22">
        <f>-12515-1</f>
        <v>-12516</v>
      </c>
      <c r="G47" s="22">
        <v>91213</v>
      </c>
      <c r="H47" s="22">
        <v>27501</v>
      </c>
      <c r="J47" s="20">
        <v>35618</v>
      </c>
      <c r="K47" s="20">
        <v>41521</v>
      </c>
      <c r="L47" s="20">
        <v>27833</v>
      </c>
      <c r="M47" s="20">
        <f>17253+3630</f>
        <v>20883</v>
      </c>
      <c r="N47" s="20">
        <v>20883</v>
      </c>
      <c r="P47" s="20">
        <v>16536</v>
      </c>
      <c r="Q47" s="20">
        <v>19515</v>
      </c>
      <c r="R47" s="20">
        <v>51633</v>
      </c>
      <c r="S47" s="20">
        <v>54120</v>
      </c>
      <c r="T47" s="20">
        <v>46770</v>
      </c>
      <c r="U47" s="20">
        <v>46824</v>
      </c>
      <c r="W47" s="20">
        <v>56382</v>
      </c>
      <c r="X47" s="20">
        <v>49969</v>
      </c>
      <c r="Y47" s="20">
        <v>47983</v>
      </c>
      <c r="Z47" s="20">
        <v>62970</v>
      </c>
      <c r="AB47" s="22">
        <v>41421</v>
      </c>
      <c r="AC47" s="20">
        <v>41900</v>
      </c>
      <c r="AD47" s="20">
        <v>46355</v>
      </c>
      <c r="AE47" s="20">
        <v>25420</v>
      </c>
      <c r="AF47" s="32"/>
      <c r="AG47" s="22">
        <v>23407</v>
      </c>
      <c r="AH47" s="20">
        <v>24551</v>
      </c>
      <c r="AI47" s="20">
        <v>30117</v>
      </c>
      <c r="AJ47" s="20">
        <v>53332</v>
      </c>
      <c r="AK47" s="32"/>
      <c r="AL47" s="22">
        <v>55195</v>
      </c>
      <c r="AM47" s="20">
        <v>62495</v>
      </c>
      <c r="AN47" s="20">
        <v>57770</v>
      </c>
      <c r="AO47" s="20">
        <v>57882</v>
      </c>
      <c r="AP47" s="32"/>
      <c r="AQ47" s="22">
        <v>67468</v>
      </c>
      <c r="AR47" s="20">
        <v>83752</v>
      </c>
      <c r="AS47" s="20">
        <v>101016</v>
      </c>
      <c r="AT47" s="20">
        <v>109055</v>
      </c>
      <c r="AU47" s="32"/>
      <c r="AV47" s="20">
        <v>120449</v>
      </c>
      <c r="AW47" s="20">
        <v>153644</v>
      </c>
      <c r="AX47" s="20">
        <v>164691</v>
      </c>
      <c r="AY47" s="20">
        <v>175533</v>
      </c>
      <c r="AZ47" s="20"/>
      <c r="BA47" s="22">
        <v>162940</v>
      </c>
      <c r="BB47" s="22">
        <v>151140</v>
      </c>
      <c r="BC47" s="22">
        <v>135958</v>
      </c>
      <c r="BD47" s="22">
        <v>163814</v>
      </c>
      <c r="BE47" s="22"/>
      <c r="BF47" s="22">
        <v>170679</v>
      </c>
      <c r="BG47" s="22">
        <v>153604</v>
      </c>
      <c r="BH47" s="22">
        <v>127806</v>
      </c>
      <c r="BI47" s="22">
        <v>153880</v>
      </c>
      <c r="BJ47" s="22"/>
      <c r="BK47" s="22">
        <v>154979</v>
      </c>
      <c r="BL47" s="22">
        <v>127472</v>
      </c>
      <c r="BM47" s="22">
        <v>118843</v>
      </c>
      <c r="BN47" s="133">
        <f>+BM47-'ESF GA separado'!C47</f>
        <v>0</v>
      </c>
      <c r="BO47" s="133">
        <f>+BI47-'ESF GA separado'!D47</f>
        <v>0</v>
      </c>
    </row>
    <row r="48" spans="1:67" ht="16.5" customHeight="1">
      <c r="A48" s="32"/>
      <c r="B48" s="11" t="s">
        <v>31</v>
      </c>
      <c r="C48" s="22">
        <v>1451</v>
      </c>
      <c r="D48" s="11"/>
      <c r="E48" s="22">
        <v>6987</v>
      </c>
      <c r="F48" s="22">
        <v>15170</v>
      </c>
      <c r="G48" s="22">
        <v>0</v>
      </c>
      <c r="H48" s="22">
        <v>0</v>
      </c>
      <c r="J48" s="22">
        <v>0</v>
      </c>
      <c r="K48" s="22">
        <v>0</v>
      </c>
      <c r="L48" s="22">
        <v>0</v>
      </c>
      <c r="M48" s="22">
        <v>0</v>
      </c>
      <c r="N48" s="22">
        <v>0</v>
      </c>
      <c r="P48" s="22">
        <v>0</v>
      </c>
      <c r="Q48" s="22">
        <v>0</v>
      </c>
      <c r="R48" s="22">
        <v>0</v>
      </c>
      <c r="S48" s="22">
        <v>0</v>
      </c>
      <c r="T48" s="22">
        <v>0</v>
      </c>
      <c r="U48" s="22">
        <v>0</v>
      </c>
      <c r="W48" s="22">
        <v>0</v>
      </c>
      <c r="X48" s="22">
        <v>0</v>
      </c>
      <c r="Y48" s="22">
        <v>0</v>
      </c>
      <c r="Z48" s="22">
        <v>0</v>
      </c>
      <c r="AB48" s="22">
        <v>0</v>
      </c>
      <c r="AC48" s="22">
        <v>0</v>
      </c>
      <c r="AD48" s="22">
        <v>0</v>
      </c>
      <c r="AE48" s="22">
        <v>175</v>
      </c>
      <c r="AF48" s="32"/>
      <c r="AG48" s="22">
        <v>3182</v>
      </c>
      <c r="AH48" s="22">
        <v>2420</v>
      </c>
      <c r="AI48" s="22">
        <v>1389</v>
      </c>
      <c r="AJ48" s="22">
        <v>42</v>
      </c>
      <c r="AK48" s="32"/>
      <c r="AL48" s="22">
        <v>31264</v>
      </c>
      <c r="AM48" s="22">
        <v>16803</v>
      </c>
      <c r="AN48" s="22">
        <v>3182</v>
      </c>
      <c r="AO48" s="22">
        <v>0</v>
      </c>
      <c r="AP48" s="32"/>
      <c r="AQ48" s="22">
        <v>0</v>
      </c>
      <c r="AR48" s="22">
        <v>0</v>
      </c>
      <c r="AS48" s="22">
        <v>0</v>
      </c>
      <c r="AT48" s="22">
        <v>727</v>
      </c>
      <c r="AU48" s="32"/>
      <c r="AV48" s="22">
        <v>0</v>
      </c>
      <c r="AW48" s="22">
        <v>0</v>
      </c>
      <c r="AX48" s="22">
        <v>121</v>
      </c>
      <c r="AY48" s="22">
        <v>0</v>
      </c>
      <c r="AZ48" s="22"/>
      <c r="BA48" s="22">
        <v>1490</v>
      </c>
      <c r="BB48" s="22">
        <v>32</v>
      </c>
      <c r="BC48" s="22">
        <v>4</v>
      </c>
      <c r="BD48" s="22">
        <v>1</v>
      </c>
      <c r="BE48" s="22"/>
      <c r="BF48" s="22">
        <v>410</v>
      </c>
      <c r="BG48" s="22">
        <v>961</v>
      </c>
      <c r="BH48" s="22">
        <v>2269</v>
      </c>
      <c r="BI48" s="22">
        <v>3730</v>
      </c>
      <c r="BJ48" s="22"/>
      <c r="BK48" s="22">
        <v>927</v>
      </c>
      <c r="BL48" s="22">
        <v>2576</v>
      </c>
      <c r="BM48" s="22">
        <v>3357</v>
      </c>
      <c r="BN48" s="133">
        <f>+BM48-'ESF GA separado'!C48</f>
        <v>0</v>
      </c>
      <c r="BO48" s="133">
        <f>+BI48-'ESF GA separado'!D48</f>
        <v>0</v>
      </c>
    </row>
    <row r="49" spans="1:67" ht="16.5" hidden="1" customHeight="1">
      <c r="B49" s="11" t="s">
        <v>47</v>
      </c>
      <c r="C49" s="22">
        <v>0</v>
      </c>
      <c r="D49" s="11"/>
      <c r="E49" s="22">
        <v>0</v>
      </c>
      <c r="F49" s="22">
        <v>0</v>
      </c>
      <c r="G49" s="22">
        <v>0</v>
      </c>
      <c r="H49" s="22">
        <v>0</v>
      </c>
      <c r="J49" s="22">
        <v>0</v>
      </c>
      <c r="K49" s="22">
        <v>0</v>
      </c>
      <c r="L49" s="22">
        <v>0</v>
      </c>
      <c r="M49" s="22">
        <v>0</v>
      </c>
      <c r="N49" s="22">
        <v>0</v>
      </c>
      <c r="P49" s="22">
        <v>0</v>
      </c>
      <c r="Q49" s="22">
        <v>0</v>
      </c>
      <c r="R49" s="22">
        <v>0</v>
      </c>
      <c r="S49" s="22">
        <v>0</v>
      </c>
      <c r="T49" s="22">
        <v>0</v>
      </c>
      <c r="U49" s="22">
        <v>0</v>
      </c>
      <c r="W49" s="22">
        <v>0</v>
      </c>
      <c r="X49" s="22">
        <v>0</v>
      </c>
      <c r="Y49" s="22">
        <v>0</v>
      </c>
      <c r="Z49" s="22">
        <v>0</v>
      </c>
      <c r="AB49" s="22">
        <v>0</v>
      </c>
      <c r="AC49" s="22">
        <v>0</v>
      </c>
      <c r="AD49" s="22">
        <v>0</v>
      </c>
      <c r="AE49" s="22">
        <v>0</v>
      </c>
      <c r="AF49" s="32"/>
      <c r="AG49" s="22">
        <v>0</v>
      </c>
      <c r="AH49" s="22">
        <v>0</v>
      </c>
      <c r="AI49" s="22">
        <v>0</v>
      </c>
      <c r="AJ49" s="22">
        <v>0</v>
      </c>
      <c r="AK49" s="32"/>
      <c r="AL49" s="22">
        <v>0</v>
      </c>
      <c r="AM49" s="22">
        <v>0</v>
      </c>
      <c r="AN49" s="22">
        <v>0</v>
      </c>
      <c r="AO49" s="22">
        <v>0</v>
      </c>
      <c r="AP49" s="32"/>
      <c r="AQ49" s="22">
        <v>0</v>
      </c>
      <c r="AR49" s="22">
        <v>0</v>
      </c>
      <c r="AS49" s="22">
        <v>0</v>
      </c>
      <c r="AT49" s="22">
        <v>0</v>
      </c>
      <c r="AU49" s="32"/>
      <c r="AV49" s="22">
        <v>0</v>
      </c>
      <c r="AW49" s="22">
        <v>0</v>
      </c>
      <c r="AX49" s="22">
        <v>0</v>
      </c>
      <c r="AY49" s="22">
        <v>0</v>
      </c>
      <c r="AZ49" s="22"/>
      <c r="BA49" s="22">
        <v>0</v>
      </c>
      <c r="BB49" s="22">
        <v>0</v>
      </c>
      <c r="BC49" s="22">
        <v>0</v>
      </c>
      <c r="BD49" s="22">
        <v>0</v>
      </c>
      <c r="BE49" s="22"/>
      <c r="BF49" s="22">
        <v>0</v>
      </c>
      <c r="BG49" s="22">
        <v>0</v>
      </c>
      <c r="BH49" s="22">
        <v>0</v>
      </c>
      <c r="BI49" s="22">
        <v>0</v>
      </c>
      <c r="BJ49" s="22"/>
      <c r="BK49" s="22">
        <v>0</v>
      </c>
      <c r="BL49" s="22">
        <v>0</v>
      </c>
      <c r="BM49" s="22">
        <v>0</v>
      </c>
      <c r="BN49" s="133">
        <f>+BM49-'ESF GA separado'!C49</f>
        <v>0</v>
      </c>
      <c r="BO49" s="133">
        <f>+BI49-'ESF GA separado'!D49</f>
        <v>0</v>
      </c>
    </row>
    <row r="50" spans="1:67" ht="3.75" customHeight="1">
      <c r="B50" s="11"/>
      <c r="C50" s="22"/>
      <c r="D50" s="11"/>
      <c r="E50" s="22"/>
      <c r="F50" s="22"/>
      <c r="G50" s="22"/>
      <c r="H50" s="22"/>
      <c r="J50" s="22"/>
      <c r="K50" s="22"/>
      <c r="L50" s="22"/>
      <c r="M50" s="22"/>
      <c r="N50" s="22"/>
      <c r="P50" s="22"/>
      <c r="Q50" s="22"/>
      <c r="R50" s="22"/>
      <c r="S50" s="22"/>
      <c r="T50" s="22"/>
      <c r="U50" s="22"/>
      <c r="W50" s="22"/>
      <c r="AB50" s="22"/>
      <c r="AF50" s="32"/>
      <c r="AG50" s="22"/>
      <c r="AK50" s="32"/>
      <c r="AL50" s="22"/>
      <c r="AP50" s="32"/>
      <c r="AQ50" s="22"/>
      <c r="AU50" s="32"/>
      <c r="BA50" s="22"/>
      <c r="BB50" s="22"/>
      <c r="BC50" s="22"/>
      <c r="BD50" s="22"/>
      <c r="BE50" s="22"/>
      <c r="BF50" s="22"/>
      <c r="BG50" s="22"/>
      <c r="BH50" s="22"/>
      <c r="BI50" s="22"/>
      <c r="BJ50" s="22"/>
      <c r="BK50" s="22"/>
      <c r="BL50" s="22"/>
      <c r="BM50" s="22"/>
      <c r="BN50" s="133"/>
      <c r="BO50" s="133"/>
    </row>
    <row r="51" spans="1:67" ht="20.25" customHeight="1">
      <c r="B51" s="17" t="s">
        <v>48</v>
      </c>
      <c r="C51" s="18">
        <f>+SUM(C38:C49)</f>
        <v>610088</v>
      </c>
      <c r="D51" s="17"/>
      <c r="E51" s="18">
        <f>+SUM(E38:E49)</f>
        <v>929452</v>
      </c>
      <c r="F51" s="18">
        <f>+SUM(F38:F49)</f>
        <v>696929</v>
      </c>
      <c r="G51" s="18">
        <f>+SUM(G38:G49)</f>
        <v>478854</v>
      </c>
      <c r="H51" s="18">
        <f>+SUM(H38:H49)</f>
        <v>206128</v>
      </c>
      <c r="I51" s="137"/>
      <c r="J51" s="18">
        <f>+SUM(J38:J49)</f>
        <v>493179</v>
      </c>
      <c r="K51" s="18">
        <f>+SUM(K38:K49)</f>
        <v>495604</v>
      </c>
      <c r="L51" s="18">
        <f>+SUM(L38:L49)</f>
        <v>409153</v>
      </c>
      <c r="M51" s="18">
        <f>+SUM(M38:M49)</f>
        <v>348347</v>
      </c>
      <c r="N51" s="18">
        <f>+SUM(N38:N49)</f>
        <v>348347</v>
      </c>
      <c r="P51" s="18">
        <f t="shared" ref="P51:U51" si="6">+SUM(P38:P49)</f>
        <v>397199</v>
      </c>
      <c r="Q51" s="18">
        <f t="shared" si="6"/>
        <v>394276</v>
      </c>
      <c r="R51" s="18">
        <f t="shared" si="6"/>
        <v>366896</v>
      </c>
      <c r="S51" s="18">
        <f t="shared" si="6"/>
        <v>366896</v>
      </c>
      <c r="T51" s="18">
        <f t="shared" si="6"/>
        <v>303085</v>
      </c>
      <c r="U51" s="18">
        <f t="shared" si="6"/>
        <v>347565</v>
      </c>
      <c r="W51" s="18">
        <f>+SUM(W38:W49)</f>
        <v>780065</v>
      </c>
      <c r="X51" s="18">
        <f>+SUM(X38:X49)</f>
        <v>448595</v>
      </c>
      <c r="Y51" s="18">
        <f>+SUM(Y38:Y49)</f>
        <v>624371</v>
      </c>
      <c r="Z51" s="18">
        <f>+SUM(Z38:Z49)</f>
        <v>576693</v>
      </c>
      <c r="AB51" s="18">
        <f>+SUM(AB38:AB49)</f>
        <v>489576</v>
      </c>
      <c r="AC51" s="18">
        <f>+SUM(AC38:AC49)</f>
        <v>573360</v>
      </c>
      <c r="AD51" s="18">
        <f>+SUM(AD38:AD49)</f>
        <v>476281</v>
      </c>
      <c r="AE51" s="18">
        <f>+SUM(AE38:AE49)</f>
        <v>392869</v>
      </c>
      <c r="AF51" s="32"/>
      <c r="AG51" s="18">
        <f>+SUM(AG38:AG49)</f>
        <v>613581</v>
      </c>
      <c r="AH51" s="18">
        <f>+SUM(AH38:AH49)</f>
        <v>519583</v>
      </c>
      <c r="AI51" s="18">
        <f>+SUM(AI38:AI49)</f>
        <v>221424</v>
      </c>
      <c r="AJ51" s="18">
        <f>+SUM(AJ38:AJ49)</f>
        <v>176400</v>
      </c>
      <c r="AK51" s="32"/>
      <c r="AL51" s="18">
        <f>+SUM(AL38:AL49)</f>
        <v>455384</v>
      </c>
      <c r="AM51" s="18">
        <f>+SUM(AM38:AM49)</f>
        <v>379026</v>
      </c>
      <c r="AN51" s="18">
        <f>+SUM(AN38:AN49)</f>
        <v>269391</v>
      </c>
      <c r="AO51" s="18">
        <f>+SUM(AO38:AO49)</f>
        <v>176189</v>
      </c>
      <c r="AP51" s="32"/>
      <c r="AQ51" s="18">
        <f>+SUM(AQ38:AQ49)</f>
        <v>424320</v>
      </c>
      <c r="AR51" s="18">
        <f>+SUM(AR38:AR49)</f>
        <v>247155</v>
      </c>
      <c r="AS51" s="18">
        <f>+SUM(AS38:AS49)</f>
        <v>184208</v>
      </c>
      <c r="AT51" s="18">
        <f>+SUM(AT38:AT49)</f>
        <v>253979</v>
      </c>
      <c r="AU51" s="32"/>
      <c r="AV51" s="18">
        <f>+SUM(AV38:AV49)</f>
        <v>686352</v>
      </c>
      <c r="AW51" s="18">
        <f>+SUM(AW38:AW49)</f>
        <v>576143</v>
      </c>
      <c r="AX51" s="18">
        <f>+SUM(AX38:AX49)</f>
        <v>437898</v>
      </c>
      <c r="AY51" s="18">
        <f>+SUM(AY38:AY49)</f>
        <v>368735</v>
      </c>
      <c r="AZ51" s="18"/>
      <c r="BA51" s="18">
        <f>+SUM(BA38:BA49)</f>
        <v>766480</v>
      </c>
      <c r="BB51" s="18">
        <f>+SUM(BB38:BB49)</f>
        <v>630978</v>
      </c>
      <c r="BC51" s="18">
        <f>+SUM(BC38:BC49)</f>
        <v>644204</v>
      </c>
      <c r="BD51" s="18">
        <f>+SUM(BD38:BD49)</f>
        <v>514757</v>
      </c>
      <c r="BE51" s="18"/>
      <c r="BF51" s="18">
        <f>+SUM(BF38:BF49)</f>
        <v>1167739</v>
      </c>
      <c r="BG51" s="18">
        <f>+SUM(BG38:BG49)</f>
        <v>1063578</v>
      </c>
      <c r="BH51" s="18">
        <f>+SUM(BH38:BH49)</f>
        <v>918610</v>
      </c>
      <c r="BI51" s="18">
        <f>+SUM(BI38:BI49)</f>
        <v>742641</v>
      </c>
      <c r="BJ51" s="18"/>
      <c r="BK51" s="18">
        <f>+SUM(BK38:BK49)</f>
        <v>1383746</v>
      </c>
      <c r="BL51" s="18">
        <f>+SUM(BL38:BL49)</f>
        <v>1373690</v>
      </c>
      <c r="BM51" s="18">
        <f>+SUM(BM38:BM49)</f>
        <v>1102288</v>
      </c>
      <c r="BN51" s="133">
        <f>+BM51-'ESF GA separado'!C50</f>
        <v>0</v>
      </c>
      <c r="BO51" s="133">
        <f>+BI51-'ESF GA separado'!D50</f>
        <v>0</v>
      </c>
    </row>
    <row r="52" spans="1:67" ht="6" customHeight="1">
      <c r="B52" s="17"/>
      <c r="C52" s="18"/>
      <c r="D52" s="17"/>
      <c r="E52" s="18"/>
      <c r="F52" s="18"/>
      <c r="G52" s="18"/>
      <c r="H52" s="18"/>
      <c r="I52" s="137"/>
      <c r="J52" s="18"/>
      <c r="K52" s="18"/>
      <c r="L52" s="18"/>
      <c r="M52" s="18"/>
      <c r="N52" s="18"/>
      <c r="P52" s="18"/>
      <c r="Q52" s="18"/>
      <c r="R52" s="18"/>
      <c r="S52" s="18"/>
      <c r="T52" s="18"/>
      <c r="U52" s="18"/>
      <c r="W52" s="18"/>
      <c r="AB52" s="18"/>
      <c r="AF52" s="32"/>
      <c r="AG52" s="18"/>
      <c r="AK52" s="32"/>
      <c r="AL52" s="18"/>
      <c r="AP52" s="32"/>
      <c r="AQ52" s="18"/>
      <c r="AU52" s="32"/>
      <c r="BA52" s="18"/>
      <c r="BB52" s="18"/>
      <c r="BC52" s="18"/>
      <c r="BD52" s="18"/>
      <c r="BE52" s="18"/>
      <c r="BF52" s="18"/>
      <c r="BG52" s="18"/>
      <c r="BH52" s="18"/>
      <c r="BI52" s="18"/>
      <c r="BJ52" s="18"/>
      <c r="BK52" s="18"/>
      <c r="BL52" s="18"/>
      <c r="BM52" s="18"/>
      <c r="BN52" s="133"/>
      <c r="BO52" s="133"/>
    </row>
    <row r="53" spans="1:67" ht="16.5" customHeight="1">
      <c r="B53" s="21" t="s">
        <v>36</v>
      </c>
      <c r="C53" s="20">
        <v>418952</v>
      </c>
      <c r="D53" s="21"/>
      <c r="E53" s="20">
        <v>418953</v>
      </c>
      <c r="F53" s="20">
        <v>401454</v>
      </c>
      <c r="G53" s="20">
        <v>23955</v>
      </c>
      <c r="H53" s="20">
        <v>23</v>
      </c>
      <c r="J53" s="20">
        <v>24</v>
      </c>
      <c r="K53" s="20">
        <v>550025</v>
      </c>
      <c r="L53" s="20">
        <v>551187</v>
      </c>
      <c r="M53" s="20">
        <v>550028</v>
      </c>
      <c r="N53" s="20">
        <v>550028</v>
      </c>
      <c r="P53" s="20">
        <v>550029</v>
      </c>
      <c r="Q53" s="20">
        <v>550030</v>
      </c>
      <c r="R53" s="20">
        <v>550031</v>
      </c>
      <c r="S53" s="20">
        <v>550031</v>
      </c>
      <c r="T53" s="20">
        <v>550033</v>
      </c>
      <c r="U53" s="20">
        <v>550033</v>
      </c>
      <c r="W53" s="20">
        <v>655035</v>
      </c>
      <c r="X53" s="20">
        <v>865036</v>
      </c>
      <c r="Y53" s="20">
        <v>458038</v>
      </c>
      <c r="Z53" s="20">
        <v>458039</v>
      </c>
      <c r="AB53" s="20">
        <v>738040</v>
      </c>
      <c r="AC53" s="20">
        <v>738043</v>
      </c>
      <c r="AD53" s="20">
        <v>738045</v>
      </c>
      <c r="AE53" s="20">
        <v>738047</v>
      </c>
      <c r="AF53" s="32"/>
      <c r="AG53" s="20">
        <v>658049</v>
      </c>
      <c r="AH53" s="20">
        <v>618552</v>
      </c>
      <c r="AI53" s="20">
        <v>487754</v>
      </c>
      <c r="AJ53" s="20">
        <v>497757</v>
      </c>
      <c r="AK53" s="32"/>
      <c r="AL53" s="20">
        <v>622759</v>
      </c>
      <c r="AM53" s="20">
        <v>647762</v>
      </c>
      <c r="AN53" s="20">
        <v>647765</v>
      </c>
      <c r="AO53" s="20">
        <v>479768</v>
      </c>
      <c r="AP53" s="32"/>
      <c r="AQ53" s="20">
        <v>479771</v>
      </c>
      <c r="AR53" s="20">
        <v>479774</v>
      </c>
      <c r="AS53" s="20">
        <v>479777</v>
      </c>
      <c r="AT53" s="20">
        <v>392281</v>
      </c>
      <c r="AU53" s="32"/>
      <c r="AV53" s="20">
        <v>392285</v>
      </c>
      <c r="AW53" s="20">
        <v>392288</v>
      </c>
      <c r="AX53" s="20">
        <v>392293</v>
      </c>
      <c r="AY53" s="20">
        <v>392297</v>
      </c>
      <c r="AZ53" s="20"/>
      <c r="BA53" s="20">
        <v>622667</v>
      </c>
      <c r="BB53" s="20">
        <v>622693</v>
      </c>
      <c r="BC53" s="20">
        <v>575962</v>
      </c>
      <c r="BD53" s="20">
        <v>620814</v>
      </c>
      <c r="BE53" s="20"/>
      <c r="BF53" s="20">
        <v>620814</v>
      </c>
      <c r="BG53" s="20">
        <v>672658</v>
      </c>
      <c r="BH53" s="20">
        <v>892491</v>
      </c>
      <c r="BI53" s="20">
        <v>892491</v>
      </c>
      <c r="BJ53" s="20"/>
      <c r="BK53" s="20">
        <v>753895</v>
      </c>
      <c r="BL53" s="20">
        <v>524868</v>
      </c>
      <c r="BM53" s="20">
        <v>769721</v>
      </c>
      <c r="BN53" s="133">
        <f>+BM53-'ESF GA separado'!C52</f>
        <v>0</v>
      </c>
      <c r="BO53" s="133">
        <f>+BI53-'ESF GA separado'!D52</f>
        <v>0</v>
      </c>
    </row>
    <row r="54" spans="1:67" ht="16.5" customHeight="1">
      <c r="B54" s="21" t="s">
        <v>190</v>
      </c>
      <c r="C54" s="20"/>
      <c r="D54" s="21"/>
      <c r="E54" s="20"/>
      <c r="F54" s="20"/>
      <c r="G54" s="20"/>
      <c r="H54" s="20"/>
      <c r="J54" s="20"/>
      <c r="K54" s="20"/>
      <c r="L54" s="20"/>
      <c r="M54" s="20"/>
      <c r="N54" s="20"/>
      <c r="P54" s="20"/>
      <c r="Q54" s="20"/>
      <c r="R54" s="20"/>
      <c r="S54" s="20"/>
      <c r="T54" s="20"/>
      <c r="U54" s="20"/>
      <c r="W54" s="20"/>
      <c r="X54" s="20"/>
      <c r="Y54" s="20"/>
      <c r="Z54" s="20"/>
      <c r="AB54" s="20"/>
      <c r="AC54" s="20"/>
      <c r="AD54" s="20"/>
      <c r="AE54" s="20"/>
      <c r="AF54" s="32"/>
      <c r="AG54" s="20">
        <v>11204</v>
      </c>
      <c r="AH54" s="20">
        <v>12229</v>
      </c>
      <c r="AI54" s="20">
        <v>12230</v>
      </c>
      <c r="AJ54" s="20">
        <v>10264</v>
      </c>
      <c r="AK54" s="32"/>
      <c r="AL54" s="20">
        <v>9311</v>
      </c>
      <c r="AM54" s="20">
        <v>8575</v>
      </c>
      <c r="AN54" s="20">
        <v>8712</v>
      </c>
      <c r="AO54" s="20">
        <v>6763</v>
      </c>
      <c r="AP54" s="32"/>
      <c r="AQ54" s="20">
        <v>6836</v>
      </c>
      <c r="AR54" s="20">
        <v>5305</v>
      </c>
      <c r="AS54" s="20">
        <v>5303</v>
      </c>
      <c r="AT54" s="20">
        <v>4679</v>
      </c>
      <c r="AU54" s="32"/>
      <c r="AV54" s="20">
        <v>6946</v>
      </c>
      <c r="AW54" s="20">
        <v>5754</v>
      </c>
      <c r="AX54" s="20">
        <v>5786</v>
      </c>
      <c r="AY54" s="20">
        <v>3617</v>
      </c>
      <c r="AZ54" s="20"/>
      <c r="BA54" s="20">
        <v>4703</v>
      </c>
      <c r="BB54" s="20">
        <v>4046</v>
      </c>
      <c r="BC54" s="20">
        <v>4069</v>
      </c>
      <c r="BD54" s="20">
        <v>4149</v>
      </c>
      <c r="BE54" s="20"/>
      <c r="BF54" s="20">
        <v>3717</v>
      </c>
      <c r="BG54" s="20">
        <v>3000</v>
      </c>
      <c r="BH54" s="20">
        <v>3121</v>
      </c>
      <c r="BI54" s="20">
        <v>2813</v>
      </c>
      <c r="BJ54" s="20"/>
      <c r="BK54" s="20">
        <v>2231</v>
      </c>
      <c r="BL54" s="20">
        <v>2591</v>
      </c>
      <c r="BM54" s="20">
        <v>2480</v>
      </c>
      <c r="BN54" s="133">
        <f>+BM54-'ESF GA separado'!C53</f>
        <v>0</v>
      </c>
      <c r="BO54" s="133">
        <f>+BI54-'ESF GA separado'!D53</f>
        <v>0</v>
      </c>
    </row>
    <row r="55" spans="1:67" ht="16.5" customHeight="1">
      <c r="A55" s="32"/>
      <c r="B55" s="11" t="s">
        <v>188</v>
      </c>
      <c r="C55" s="20">
        <v>31474</v>
      </c>
      <c r="D55" s="11"/>
      <c r="E55" s="20">
        <v>4135</v>
      </c>
      <c r="F55" s="20">
        <v>-9705</v>
      </c>
      <c r="G55" s="20">
        <v>997978</v>
      </c>
      <c r="H55" s="20">
        <v>997825</v>
      </c>
      <c r="J55" s="20">
        <v>975442</v>
      </c>
      <c r="K55" s="20">
        <v>997932</v>
      </c>
      <c r="L55" s="20">
        <v>997932</v>
      </c>
      <c r="M55" s="20">
        <v>1006588</v>
      </c>
      <c r="N55" s="20">
        <v>1006588</v>
      </c>
      <c r="P55" s="20">
        <v>997932</v>
      </c>
      <c r="Q55" s="20">
        <v>889749</v>
      </c>
      <c r="R55" s="20">
        <v>766155</v>
      </c>
      <c r="S55" s="20">
        <v>766155</v>
      </c>
      <c r="T55" s="20">
        <v>766243</v>
      </c>
      <c r="U55" s="20">
        <v>766243</v>
      </c>
      <c r="W55" s="20">
        <v>766243</v>
      </c>
      <c r="X55" s="20">
        <v>766243</v>
      </c>
      <c r="Y55" s="20">
        <v>766243</v>
      </c>
      <c r="Z55" s="20">
        <v>769075</v>
      </c>
      <c r="AB55" s="20">
        <v>769075</v>
      </c>
      <c r="AC55" s="20">
        <v>769075</v>
      </c>
      <c r="AD55" s="20">
        <v>769075</v>
      </c>
      <c r="AE55" s="20">
        <v>655517</v>
      </c>
      <c r="AF55" s="32"/>
      <c r="AG55" s="20">
        <v>655517</v>
      </c>
      <c r="AH55" s="20">
        <v>655517</v>
      </c>
      <c r="AI55" s="20">
        <v>1104482</v>
      </c>
      <c r="AJ55" s="20">
        <v>1105207</v>
      </c>
      <c r="AK55" s="32"/>
      <c r="AL55" s="20">
        <v>1105207</v>
      </c>
      <c r="AM55" s="20">
        <v>1104244</v>
      </c>
      <c r="AN55" s="20">
        <v>1104243</v>
      </c>
      <c r="AO55" s="20">
        <v>1125849</v>
      </c>
      <c r="AP55" s="32"/>
      <c r="AQ55" s="20">
        <v>1125849</v>
      </c>
      <c r="AR55" s="20">
        <v>1125850</v>
      </c>
      <c r="AS55" s="20">
        <v>1125850</v>
      </c>
      <c r="AT55" s="20">
        <v>1003177</v>
      </c>
      <c r="AU55" s="32"/>
      <c r="AV55" s="20">
        <v>1003178</v>
      </c>
      <c r="AW55" s="20">
        <v>1003177</v>
      </c>
      <c r="AX55" s="20">
        <v>1000683</v>
      </c>
      <c r="AY55" s="20">
        <v>994367</v>
      </c>
      <c r="AZ55" s="20"/>
      <c r="BA55" s="20">
        <v>994363</v>
      </c>
      <c r="BB55" s="20">
        <v>995339</v>
      </c>
      <c r="BC55" s="20">
        <v>860799</v>
      </c>
      <c r="BD55" s="20">
        <v>860778</v>
      </c>
      <c r="BE55" s="20"/>
      <c r="BF55" s="20">
        <v>860760</v>
      </c>
      <c r="BG55" s="20">
        <v>860731</v>
      </c>
      <c r="BH55" s="20">
        <v>703112</v>
      </c>
      <c r="BI55" s="20">
        <v>671105</v>
      </c>
      <c r="BJ55" s="20"/>
      <c r="BK55" s="20">
        <v>651101</v>
      </c>
      <c r="BL55" s="20">
        <v>651240</v>
      </c>
      <c r="BM55" s="20">
        <v>654962</v>
      </c>
      <c r="BN55" s="133">
        <f>+BM55-'ESF GA separado'!C54</f>
        <v>0</v>
      </c>
      <c r="BO55" s="133">
        <f>+BI55-'ESF GA separado'!D54</f>
        <v>0</v>
      </c>
    </row>
    <row r="56" spans="1:67" ht="16.5" customHeight="1">
      <c r="A56" s="32"/>
      <c r="B56" s="11" t="s">
        <v>49</v>
      </c>
      <c r="C56" s="20">
        <v>119193</v>
      </c>
      <c r="D56" s="11"/>
      <c r="E56" s="20">
        <v>172089</v>
      </c>
      <c r="F56" s="20">
        <v>165726</v>
      </c>
      <c r="G56" s="20">
        <v>170973</v>
      </c>
      <c r="H56" s="20">
        <v>109859</v>
      </c>
      <c r="J56" s="22">
        <v>161794</v>
      </c>
      <c r="K56" s="20">
        <v>148819</v>
      </c>
      <c r="L56" s="20">
        <v>140849</v>
      </c>
      <c r="M56" s="20">
        <v>119431</v>
      </c>
      <c r="N56" s="20">
        <v>132852</v>
      </c>
      <c r="P56" s="20">
        <v>115271</v>
      </c>
      <c r="Q56" s="20">
        <v>121450</v>
      </c>
      <c r="R56" s="20">
        <v>136493</v>
      </c>
      <c r="S56" s="20">
        <v>149914</v>
      </c>
      <c r="T56" s="20">
        <v>132865</v>
      </c>
      <c r="U56" s="20">
        <v>176657</v>
      </c>
      <c r="W56" s="20">
        <v>132295</v>
      </c>
      <c r="X56" s="20">
        <v>127688</v>
      </c>
      <c r="Y56" s="20">
        <v>142173</v>
      </c>
      <c r="Z56" s="20">
        <v>162692</v>
      </c>
      <c r="AB56" s="20">
        <v>164054</v>
      </c>
      <c r="AC56" s="20">
        <v>167688</v>
      </c>
      <c r="AD56" s="20">
        <v>167150</v>
      </c>
      <c r="AE56" s="20">
        <v>182086</v>
      </c>
      <c r="AF56" s="32"/>
      <c r="AG56" s="20">
        <v>182575</v>
      </c>
      <c r="AH56" s="20">
        <v>187680</v>
      </c>
      <c r="AI56" s="20">
        <v>196794</v>
      </c>
      <c r="AJ56" s="20">
        <v>195402</v>
      </c>
      <c r="AK56" s="32"/>
      <c r="AL56" s="20">
        <v>194569</v>
      </c>
      <c r="AM56" s="20">
        <v>199221</v>
      </c>
      <c r="AN56" s="20">
        <v>203807</v>
      </c>
      <c r="AO56" s="20">
        <v>207369</v>
      </c>
      <c r="AP56" s="32"/>
      <c r="AQ56" s="20">
        <v>209350</v>
      </c>
      <c r="AR56" s="20">
        <v>201896</v>
      </c>
      <c r="AS56" s="20">
        <v>198784</v>
      </c>
      <c r="AT56" s="20">
        <v>185302</v>
      </c>
      <c r="AU56" s="32"/>
      <c r="AV56" s="20">
        <v>185404</v>
      </c>
      <c r="AW56" s="20">
        <v>192992</v>
      </c>
      <c r="AX56" s="20">
        <v>190841</v>
      </c>
      <c r="AY56" s="20">
        <v>557402</v>
      </c>
      <c r="AZ56" s="20"/>
      <c r="BA56" s="20">
        <v>601069</v>
      </c>
      <c r="BB56" s="20">
        <v>620845</v>
      </c>
      <c r="BC56" s="20">
        <v>618841</v>
      </c>
      <c r="BD56" s="20">
        <v>622842</v>
      </c>
      <c r="BE56" s="20"/>
      <c r="BF56" s="20">
        <v>784375</v>
      </c>
      <c r="BG56" s="20">
        <v>787280</v>
      </c>
      <c r="BH56" s="20">
        <v>792390</v>
      </c>
      <c r="BI56" s="20">
        <v>934868</v>
      </c>
      <c r="BJ56" s="20"/>
      <c r="BK56" s="20">
        <v>944918</v>
      </c>
      <c r="BL56" s="20">
        <v>901526</v>
      </c>
      <c r="BM56" s="20">
        <v>719131</v>
      </c>
      <c r="BN56" s="133">
        <f>+BM56-'ESF GA separado'!C55</f>
        <v>0</v>
      </c>
      <c r="BO56" s="133">
        <f>+BI56-'ESF GA separado'!D55</f>
        <v>0</v>
      </c>
    </row>
    <row r="57" spans="1:67" ht="16.5" hidden="1" customHeight="1">
      <c r="A57" s="32"/>
      <c r="B57" s="11" t="s">
        <v>40</v>
      </c>
      <c r="C57" s="22">
        <v>0</v>
      </c>
      <c r="D57" s="11"/>
      <c r="E57" s="22">
        <v>0</v>
      </c>
      <c r="F57" s="22">
        <v>0</v>
      </c>
      <c r="G57" s="22">
        <v>0</v>
      </c>
      <c r="H57" s="22">
        <v>0</v>
      </c>
      <c r="J57" s="22">
        <v>0</v>
      </c>
      <c r="K57" s="22">
        <v>0</v>
      </c>
      <c r="L57" s="22">
        <v>0</v>
      </c>
      <c r="M57" s="22">
        <v>0</v>
      </c>
      <c r="N57" s="22">
        <v>0</v>
      </c>
      <c r="P57" s="22">
        <v>0</v>
      </c>
      <c r="Q57" s="22">
        <v>0</v>
      </c>
      <c r="R57" s="22">
        <v>0</v>
      </c>
      <c r="S57" s="22">
        <v>0</v>
      </c>
      <c r="T57" s="22">
        <v>0</v>
      </c>
      <c r="U57" s="22">
        <v>0</v>
      </c>
      <c r="W57" s="22">
        <v>0</v>
      </c>
      <c r="X57" s="22">
        <v>0</v>
      </c>
      <c r="Y57" s="22">
        <v>0</v>
      </c>
      <c r="Z57" s="22">
        <v>0</v>
      </c>
      <c r="AB57" s="22">
        <v>0</v>
      </c>
      <c r="AC57" s="22">
        <v>0</v>
      </c>
      <c r="AD57" s="22">
        <v>0</v>
      </c>
      <c r="AE57" s="22">
        <v>0</v>
      </c>
      <c r="AF57" s="32"/>
      <c r="AG57" s="22">
        <v>0</v>
      </c>
      <c r="AH57" s="22">
        <v>0</v>
      </c>
      <c r="AI57" s="22">
        <v>0</v>
      </c>
      <c r="AJ57" s="22">
        <v>0</v>
      </c>
      <c r="AK57" s="32"/>
      <c r="AL57" s="22">
        <v>0</v>
      </c>
      <c r="AM57" s="22">
        <v>0</v>
      </c>
      <c r="AN57" s="22">
        <v>0</v>
      </c>
      <c r="AO57" s="22">
        <v>0</v>
      </c>
      <c r="AP57" s="32"/>
      <c r="AQ57" s="22">
        <v>0</v>
      </c>
      <c r="AR57" s="22">
        <v>0</v>
      </c>
      <c r="AS57" s="22">
        <v>0</v>
      </c>
      <c r="AT57" s="22">
        <v>0</v>
      </c>
      <c r="AU57" s="32"/>
      <c r="AV57" s="22">
        <v>0</v>
      </c>
      <c r="AW57" s="22">
        <v>0</v>
      </c>
      <c r="AX57" s="22"/>
      <c r="AY57" s="22">
        <v>0</v>
      </c>
      <c r="AZ57" s="22"/>
      <c r="BA57" s="22"/>
      <c r="BB57" s="22">
        <v>0</v>
      </c>
      <c r="BC57" s="22">
        <v>0</v>
      </c>
      <c r="BD57" s="22">
        <v>0</v>
      </c>
      <c r="BE57" s="22"/>
      <c r="BF57" s="22">
        <v>0</v>
      </c>
      <c r="BG57" s="22">
        <v>0</v>
      </c>
      <c r="BH57" s="22">
        <v>0</v>
      </c>
      <c r="BI57" s="22">
        <v>0</v>
      </c>
      <c r="BJ57" s="22"/>
      <c r="BK57" s="22">
        <v>0</v>
      </c>
      <c r="BL57" s="22">
        <v>0</v>
      </c>
      <c r="BM57" s="22">
        <v>102626</v>
      </c>
      <c r="BN57" s="133">
        <f>+BM57-'ESF GA separado'!C56</f>
        <v>0</v>
      </c>
      <c r="BO57" s="133">
        <f>+BI57-'ESF GA separado'!D56</f>
        <v>0</v>
      </c>
    </row>
    <row r="58" spans="1:67" ht="16.5" hidden="1" customHeight="1">
      <c r="B58" s="21" t="s">
        <v>50</v>
      </c>
      <c r="C58" s="20">
        <v>8285</v>
      </c>
      <c r="D58" s="21"/>
      <c r="E58" s="20">
        <v>6890</v>
      </c>
      <c r="F58" s="20">
        <v>6890</v>
      </c>
      <c r="G58" s="20">
        <v>6890</v>
      </c>
      <c r="H58" s="20">
        <v>8406</v>
      </c>
      <c r="J58" s="20">
        <v>6890</v>
      </c>
      <c r="K58" s="20">
        <v>6890</v>
      </c>
      <c r="L58" s="20">
        <v>6891</v>
      </c>
      <c r="M58" s="22">
        <v>0</v>
      </c>
      <c r="N58" s="22">
        <v>0</v>
      </c>
      <c r="P58" s="20">
        <v>8656</v>
      </c>
      <c r="Q58" s="20">
        <v>8656</v>
      </c>
      <c r="R58" s="22">
        <v>0</v>
      </c>
      <c r="S58" s="22">
        <v>0</v>
      </c>
      <c r="T58" s="22">
        <v>0</v>
      </c>
      <c r="U58" s="22">
        <v>0</v>
      </c>
      <c r="W58" s="22">
        <v>0</v>
      </c>
      <c r="X58" s="22">
        <v>0</v>
      </c>
      <c r="Y58" s="22">
        <v>0</v>
      </c>
      <c r="Z58" s="22">
        <v>0</v>
      </c>
      <c r="AB58" s="22">
        <v>0</v>
      </c>
      <c r="AC58" s="22">
        <v>0</v>
      </c>
      <c r="AD58" s="22">
        <v>0</v>
      </c>
      <c r="AE58" s="22">
        <v>0</v>
      </c>
      <c r="AF58" s="32"/>
      <c r="AG58" s="22">
        <v>0</v>
      </c>
      <c r="AH58" s="22">
        <v>0</v>
      </c>
      <c r="AI58" s="22">
        <v>0</v>
      </c>
      <c r="AJ58" s="22">
        <v>0</v>
      </c>
      <c r="AK58" s="32"/>
      <c r="AL58" s="22">
        <v>0</v>
      </c>
      <c r="AM58" s="22">
        <v>0</v>
      </c>
      <c r="AN58" s="22">
        <v>0</v>
      </c>
      <c r="AO58" s="22">
        <v>0</v>
      </c>
      <c r="AP58" s="32"/>
      <c r="AQ58" s="22">
        <v>0</v>
      </c>
      <c r="AR58" s="22">
        <v>0</v>
      </c>
      <c r="AS58" s="22">
        <v>0</v>
      </c>
      <c r="AT58" s="22">
        <v>0</v>
      </c>
      <c r="AU58" s="32"/>
      <c r="AV58" s="22">
        <v>0</v>
      </c>
      <c r="AW58" s="22">
        <v>0</v>
      </c>
      <c r="AX58" s="22">
        <v>0</v>
      </c>
      <c r="AY58" s="22">
        <v>0</v>
      </c>
      <c r="AZ58" s="22"/>
      <c r="BA58" s="22">
        <v>0</v>
      </c>
      <c r="BB58" s="22">
        <v>0</v>
      </c>
      <c r="BC58" s="22">
        <v>0</v>
      </c>
      <c r="BD58" s="22">
        <v>0</v>
      </c>
      <c r="BE58" s="22"/>
      <c r="BF58" s="22"/>
      <c r="BG58" s="22"/>
      <c r="BH58" s="22"/>
      <c r="BI58" s="22"/>
      <c r="BJ58" s="22"/>
      <c r="BK58" s="22">
        <v>0</v>
      </c>
      <c r="BL58" s="22">
        <v>0</v>
      </c>
      <c r="BM58" s="22"/>
      <c r="BN58" s="133">
        <f>+BM58-'ESF GA separado'!C57</f>
        <v>0</v>
      </c>
      <c r="BO58" s="133">
        <f>+BI58-'ESF GA separado'!D57</f>
        <v>0</v>
      </c>
    </row>
    <row r="59" spans="1:67" ht="16.5" customHeight="1">
      <c r="B59" s="11" t="s">
        <v>42</v>
      </c>
      <c r="C59" s="20">
        <v>16480</v>
      </c>
      <c r="D59" s="21"/>
      <c r="E59" s="22">
        <v>16695</v>
      </c>
      <c r="F59" s="20">
        <v>17131</v>
      </c>
      <c r="G59" s="20">
        <v>18081</v>
      </c>
      <c r="H59" s="20">
        <v>23744</v>
      </c>
      <c r="J59" s="22">
        <v>23804</v>
      </c>
      <c r="K59" s="20">
        <v>24732</v>
      </c>
      <c r="L59" s="20">
        <v>26552</v>
      </c>
      <c r="M59" s="20">
        <v>6819</v>
      </c>
      <c r="N59" s="20">
        <v>6819</v>
      </c>
      <c r="P59" s="20">
        <v>6819</v>
      </c>
      <c r="Q59" s="22">
        <f>1600+6819</f>
        <v>8419</v>
      </c>
      <c r="R59" s="22">
        <f>2840+6819</f>
        <v>9659</v>
      </c>
      <c r="S59" s="22">
        <v>9659</v>
      </c>
      <c r="T59" s="22">
        <v>13075</v>
      </c>
      <c r="U59" s="22">
        <v>13075</v>
      </c>
      <c r="W59" s="22">
        <v>13075</v>
      </c>
      <c r="X59" s="22">
        <v>13075</v>
      </c>
      <c r="Y59" s="22">
        <v>13075</v>
      </c>
      <c r="Z59" s="22">
        <v>11908</v>
      </c>
      <c r="AA59" s="134"/>
      <c r="AB59" s="22">
        <v>11735</v>
      </c>
      <c r="AC59" s="22">
        <v>11062</v>
      </c>
      <c r="AD59" s="22">
        <v>9389</v>
      </c>
      <c r="AE59" s="22">
        <v>1865</v>
      </c>
      <c r="AF59" s="32"/>
      <c r="AG59" s="22">
        <v>1691</v>
      </c>
      <c r="AH59" s="22">
        <v>0</v>
      </c>
      <c r="AI59" s="22"/>
      <c r="AJ59" s="22">
        <v>2785</v>
      </c>
      <c r="AK59" s="32"/>
      <c r="AL59" s="22">
        <v>2785</v>
      </c>
      <c r="AM59" s="22">
        <v>2785</v>
      </c>
      <c r="AN59" s="22">
        <v>2785</v>
      </c>
      <c r="AO59" s="22">
        <v>2760</v>
      </c>
      <c r="AP59" s="32"/>
      <c r="AQ59" s="22">
        <v>2760</v>
      </c>
      <c r="AR59" s="22">
        <v>2760</v>
      </c>
      <c r="AS59" s="22">
        <v>2760</v>
      </c>
      <c r="AT59" s="22">
        <v>2122</v>
      </c>
      <c r="AU59" s="32"/>
      <c r="AV59" s="22">
        <v>2122</v>
      </c>
      <c r="AW59" s="22">
        <v>2122</v>
      </c>
      <c r="AX59" s="22">
        <v>2122</v>
      </c>
      <c r="AY59" s="22">
        <v>1647</v>
      </c>
      <c r="AZ59" s="22"/>
      <c r="BA59" s="22">
        <v>1647</v>
      </c>
      <c r="BB59" s="22">
        <v>1647</v>
      </c>
      <c r="BC59" s="22">
        <v>1647</v>
      </c>
      <c r="BD59" s="22">
        <v>2040</v>
      </c>
      <c r="BE59" s="22"/>
      <c r="BF59" s="22">
        <v>2039</v>
      </c>
      <c r="BG59" s="22">
        <v>2039</v>
      </c>
      <c r="BH59" s="22">
        <v>2039</v>
      </c>
      <c r="BI59" s="22">
        <v>1897</v>
      </c>
      <c r="BJ59" s="22"/>
      <c r="BK59" s="22">
        <v>1897</v>
      </c>
      <c r="BL59" s="22">
        <v>1897</v>
      </c>
      <c r="BM59" s="22">
        <v>1897</v>
      </c>
      <c r="BN59" s="1139">
        <f>+BM59-'ESF GA separado'!C58</f>
        <v>0</v>
      </c>
      <c r="BO59" s="1139">
        <f>+BI59-'ESF GA separado'!D58</f>
        <v>0</v>
      </c>
    </row>
    <row r="60" spans="1:67" ht="16.5" hidden="1" customHeight="1">
      <c r="B60" s="144" t="s">
        <v>43</v>
      </c>
      <c r="C60" s="65">
        <v>0</v>
      </c>
      <c r="D60" s="144"/>
      <c r="E60" s="65">
        <v>0</v>
      </c>
      <c r="F60" s="65">
        <v>0</v>
      </c>
      <c r="G60" s="65">
        <v>0</v>
      </c>
      <c r="H60" s="65">
        <v>0</v>
      </c>
      <c r="I60" s="143"/>
      <c r="J60" s="65">
        <v>0</v>
      </c>
      <c r="K60" s="65">
        <v>0</v>
      </c>
      <c r="L60" s="65">
        <v>0</v>
      </c>
      <c r="M60" s="65">
        <v>0</v>
      </c>
      <c r="N60" s="65">
        <v>0</v>
      </c>
      <c r="O60" s="143"/>
      <c r="P60" s="65">
        <v>0</v>
      </c>
      <c r="Q60" s="65">
        <v>0</v>
      </c>
      <c r="R60" s="65">
        <v>0</v>
      </c>
      <c r="S60" s="65">
        <v>0</v>
      </c>
      <c r="T60" s="65">
        <v>0</v>
      </c>
      <c r="U60" s="65">
        <v>0</v>
      </c>
      <c r="W60" s="65">
        <v>0</v>
      </c>
      <c r="X60" s="65">
        <v>0</v>
      </c>
      <c r="Y60" s="65">
        <v>0</v>
      </c>
      <c r="Z60" s="65">
        <v>0</v>
      </c>
      <c r="AB60" s="65">
        <v>0</v>
      </c>
      <c r="AC60" s="65">
        <v>0</v>
      </c>
      <c r="AD60" s="65">
        <v>0</v>
      </c>
      <c r="AE60" s="65">
        <v>0</v>
      </c>
      <c r="AF60" s="32"/>
      <c r="AG60" s="65">
        <v>0</v>
      </c>
      <c r="AH60" s="65">
        <v>0</v>
      </c>
      <c r="AI60" s="65">
        <v>0</v>
      </c>
      <c r="AJ60" s="65">
        <v>0</v>
      </c>
      <c r="AK60" s="32"/>
      <c r="AL60" s="65">
        <v>0</v>
      </c>
      <c r="AM60" s="65">
        <v>0</v>
      </c>
      <c r="AN60" s="65">
        <v>0</v>
      </c>
      <c r="AO60" s="65">
        <v>0</v>
      </c>
      <c r="AP60" s="32"/>
      <c r="AQ60" s="65">
        <v>0</v>
      </c>
      <c r="AR60" s="65">
        <v>0</v>
      </c>
      <c r="AS60" s="65">
        <v>0</v>
      </c>
      <c r="AT60" s="65">
        <v>0</v>
      </c>
      <c r="AU60" s="32"/>
      <c r="AV60" s="65"/>
      <c r="AW60" s="65"/>
      <c r="AX60" s="65"/>
      <c r="AY60" s="65"/>
      <c r="AZ60" s="22"/>
      <c r="BA60" s="65"/>
      <c r="BB60" s="65"/>
      <c r="BC60" s="65"/>
      <c r="BD60" s="65"/>
      <c r="BE60" s="22"/>
      <c r="BF60" s="65"/>
      <c r="BG60" s="65"/>
      <c r="BH60" s="65"/>
      <c r="BI60" s="65"/>
      <c r="BJ60" s="22"/>
      <c r="BK60" s="65">
        <v>0</v>
      </c>
      <c r="BL60" s="65">
        <v>0</v>
      </c>
      <c r="BM60" s="65">
        <v>0</v>
      </c>
      <c r="BN60" s="133">
        <f>+BM60-'ESF GA separado'!C59</f>
        <v>0</v>
      </c>
      <c r="BO60" s="133">
        <f>+BI60-'ESF GA separado'!D59</f>
        <v>0</v>
      </c>
    </row>
    <row r="61" spans="1:67" ht="16.5" customHeight="1">
      <c r="B61" s="21" t="s">
        <v>31</v>
      </c>
      <c r="C61" s="22">
        <v>0</v>
      </c>
      <c r="D61" s="21"/>
      <c r="E61" s="22">
        <v>0</v>
      </c>
      <c r="F61" s="22">
        <v>0</v>
      </c>
      <c r="G61" s="22">
        <v>0</v>
      </c>
      <c r="H61" s="22">
        <v>0</v>
      </c>
      <c r="J61" s="22">
        <v>0</v>
      </c>
      <c r="K61" s="22">
        <v>0</v>
      </c>
      <c r="L61" s="22">
        <v>0</v>
      </c>
      <c r="M61" s="22">
        <v>0</v>
      </c>
      <c r="N61" s="22">
        <v>0</v>
      </c>
      <c r="P61" s="22">
        <v>0</v>
      </c>
      <c r="Q61" s="22">
        <v>0</v>
      </c>
      <c r="R61" s="22">
        <v>0</v>
      </c>
      <c r="S61" s="22">
        <v>0</v>
      </c>
      <c r="T61" s="22">
        <v>0</v>
      </c>
      <c r="U61" s="22">
        <v>0</v>
      </c>
      <c r="W61" s="22">
        <v>0</v>
      </c>
      <c r="X61" s="22">
        <v>0</v>
      </c>
      <c r="Y61" s="22">
        <v>0</v>
      </c>
      <c r="Z61" s="22">
        <v>0</v>
      </c>
      <c r="AB61" s="22">
        <v>0</v>
      </c>
      <c r="AC61" s="22">
        <v>0</v>
      </c>
      <c r="AD61" s="22">
        <v>0</v>
      </c>
      <c r="AE61" s="22">
        <v>85</v>
      </c>
      <c r="AF61" s="32"/>
      <c r="AG61" s="22">
        <v>74</v>
      </c>
      <c r="AH61" s="22">
        <v>0</v>
      </c>
      <c r="AI61" s="22">
        <v>0</v>
      </c>
      <c r="AJ61" s="22">
        <v>0</v>
      </c>
      <c r="AK61" s="32"/>
      <c r="AL61" s="22">
        <v>0</v>
      </c>
      <c r="AM61" s="22">
        <v>0</v>
      </c>
      <c r="AN61" s="22">
        <v>0</v>
      </c>
      <c r="AO61" s="22">
        <v>0</v>
      </c>
      <c r="AP61" s="32"/>
      <c r="AQ61" s="22">
        <v>0</v>
      </c>
      <c r="AR61" s="22">
        <v>0</v>
      </c>
      <c r="AS61" s="22">
        <v>0</v>
      </c>
      <c r="AT61" s="22">
        <v>921</v>
      </c>
      <c r="AU61" s="32"/>
      <c r="AV61" s="22">
        <v>327</v>
      </c>
      <c r="AW61" s="22">
        <v>0</v>
      </c>
      <c r="AX61" s="22">
        <v>598</v>
      </c>
      <c r="AY61" s="22">
        <v>0</v>
      </c>
      <c r="AZ61" s="22"/>
      <c r="BA61" s="22"/>
      <c r="BB61" s="22">
        <v>2290</v>
      </c>
      <c r="BC61" s="22">
        <v>858</v>
      </c>
      <c r="BD61" s="22">
        <v>1805</v>
      </c>
      <c r="BE61" s="22"/>
      <c r="BF61" s="22">
        <v>2928</v>
      </c>
      <c r="BG61" s="22">
        <v>2345</v>
      </c>
      <c r="BH61" s="22">
        <v>1964</v>
      </c>
      <c r="BI61" s="22">
        <v>1167</v>
      </c>
      <c r="BJ61" s="22"/>
      <c r="BK61" s="22">
        <v>2705</v>
      </c>
      <c r="BL61" s="22">
        <v>0</v>
      </c>
      <c r="BM61" s="22">
        <v>0</v>
      </c>
      <c r="BN61" s="133">
        <f>+BM61-'ESF GA separado'!C60</f>
        <v>0</v>
      </c>
      <c r="BO61" s="133">
        <f>+BI61-'ESF GA separado'!D60</f>
        <v>0</v>
      </c>
    </row>
    <row r="62" spans="1:67" ht="16.5" hidden="1" customHeight="1">
      <c r="A62" s="32"/>
      <c r="B62" s="21" t="s">
        <v>51</v>
      </c>
      <c r="C62" s="22">
        <v>0</v>
      </c>
      <c r="D62" s="21"/>
      <c r="E62" s="22">
        <v>0</v>
      </c>
      <c r="F62" s="20">
        <f>53595-1</f>
        <v>53594</v>
      </c>
      <c r="G62" s="20">
        <v>-53594</v>
      </c>
      <c r="H62" s="22">
        <v>0</v>
      </c>
      <c r="J62" s="22">
        <v>0</v>
      </c>
      <c r="K62" s="22">
        <v>0</v>
      </c>
      <c r="L62" s="22">
        <v>0</v>
      </c>
      <c r="M62" s="22">
        <v>0</v>
      </c>
      <c r="N62" s="22">
        <v>0</v>
      </c>
      <c r="P62" s="22">
        <v>0</v>
      </c>
      <c r="Q62" s="22">
        <v>0</v>
      </c>
      <c r="R62" s="22">
        <v>0</v>
      </c>
      <c r="S62" s="22">
        <v>0</v>
      </c>
      <c r="T62" s="22">
        <v>0</v>
      </c>
      <c r="U62" s="22">
        <v>0</v>
      </c>
      <c r="W62" s="22">
        <v>0</v>
      </c>
      <c r="X62" s="22">
        <v>0</v>
      </c>
      <c r="Y62" s="22">
        <v>0</v>
      </c>
      <c r="Z62" s="22">
        <v>0</v>
      </c>
      <c r="AB62" s="22">
        <v>0</v>
      </c>
      <c r="AC62" s="22">
        <v>0</v>
      </c>
      <c r="AD62" s="22">
        <v>0</v>
      </c>
      <c r="AE62" s="22">
        <v>0</v>
      </c>
      <c r="AF62" s="32"/>
      <c r="AG62" s="22">
        <v>0</v>
      </c>
      <c r="AH62" s="22">
        <v>0</v>
      </c>
      <c r="AI62" s="22">
        <v>0</v>
      </c>
      <c r="AJ62" s="22">
        <v>0</v>
      </c>
      <c r="AK62" s="32"/>
      <c r="AL62" s="22">
        <v>0</v>
      </c>
      <c r="AM62" s="22">
        <v>0</v>
      </c>
      <c r="AN62" s="22">
        <v>0</v>
      </c>
      <c r="AO62" s="22">
        <v>0</v>
      </c>
      <c r="AP62" s="32"/>
      <c r="AQ62" s="22">
        <v>0</v>
      </c>
      <c r="AR62" s="22">
        <v>0</v>
      </c>
      <c r="AS62" s="22">
        <v>0</v>
      </c>
      <c r="AT62" s="22">
        <v>0</v>
      </c>
      <c r="AU62" s="32"/>
      <c r="AV62" s="22">
        <v>7949</v>
      </c>
      <c r="AW62" s="22">
        <v>0</v>
      </c>
      <c r="AX62" s="22">
        <v>0</v>
      </c>
      <c r="AY62" s="22">
        <v>0</v>
      </c>
      <c r="AZ62" s="22"/>
      <c r="BA62" s="22"/>
      <c r="BB62" s="22">
        <v>0</v>
      </c>
      <c r="BC62" s="22">
        <v>0</v>
      </c>
      <c r="BD62" s="22"/>
      <c r="BE62" s="22"/>
      <c r="BF62" s="22">
        <v>0</v>
      </c>
      <c r="BG62" s="22">
        <v>0</v>
      </c>
      <c r="BH62" s="22">
        <v>0</v>
      </c>
      <c r="BI62" s="22"/>
      <c r="BJ62" s="22"/>
      <c r="BK62" s="22">
        <v>0</v>
      </c>
      <c r="BL62" s="22">
        <v>0</v>
      </c>
      <c r="BM62" s="22">
        <v>0</v>
      </c>
      <c r="BN62" s="133">
        <f>+BM62-'ESF GA separado'!C61</f>
        <v>0</v>
      </c>
      <c r="BO62" s="133">
        <f>+BI62-'ESF GA separado'!D61</f>
        <v>0</v>
      </c>
    </row>
    <row r="63" spans="1:67" ht="12" customHeight="1">
      <c r="B63" s="21"/>
      <c r="C63" s="20"/>
      <c r="D63" s="21"/>
      <c r="E63" s="20"/>
      <c r="F63" s="20"/>
      <c r="G63" s="20"/>
      <c r="H63" s="20"/>
      <c r="J63" s="20"/>
      <c r="K63" s="20"/>
      <c r="L63" s="20"/>
      <c r="M63" s="20"/>
      <c r="N63" s="20"/>
      <c r="P63" s="20"/>
      <c r="Q63" s="20"/>
      <c r="R63" s="20"/>
      <c r="S63" s="20"/>
      <c r="T63" s="20"/>
      <c r="U63" s="20"/>
      <c r="W63" s="20"/>
      <c r="AB63" s="20"/>
      <c r="AF63" s="32"/>
      <c r="AG63" s="20"/>
      <c r="AK63" s="32"/>
      <c r="AL63" s="20"/>
      <c r="AP63" s="32"/>
      <c r="AQ63" s="20"/>
      <c r="AU63" s="32"/>
      <c r="BA63" s="20"/>
      <c r="BB63" s="20"/>
      <c r="BC63" s="20"/>
      <c r="BD63" s="20"/>
      <c r="BE63" s="20"/>
      <c r="BF63" s="20"/>
      <c r="BG63" s="20"/>
      <c r="BH63" s="20"/>
      <c r="BI63" s="20"/>
      <c r="BJ63" s="20"/>
      <c r="BK63" s="20"/>
      <c r="BL63" s="20"/>
      <c r="BM63" s="20"/>
      <c r="BN63" s="133"/>
      <c r="BO63" s="133"/>
    </row>
    <row r="64" spans="1:67" ht="13">
      <c r="B64" s="17" t="s">
        <v>52</v>
      </c>
      <c r="C64" s="18">
        <f>SUM(C53:C63)</f>
        <v>594384</v>
      </c>
      <c r="D64" s="17"/>
      <c r="E64" s="18">
        <f>SUM(E53:E63)</f>
        <v>618762</v>
      </c>
      <c r="F64" s="18">
        <f>SUM(F53:F63)</f>
        <v>635090</v>
      </c>
      <c r="G64" s="18">
        <f>SUM(G53:G63)</f>
        <v>1164283</v>
      </c>
      <c r="H64" s="18">
        <f>SUM(H53:H63)</f>
        <v>1139857</v>
      </c>
      <c r="I64" s="137"/>
      <c r="J64" s="18">
        <f>SUM(J53:J63)</f>
        <v>1167954</v>
      </c>
      <c r="K64" s="18">
        <f>SUM(K53:K63)</f>
        <v>1728398</v>
      </c>
      <c r="L64" s="18">
        <f>SUM(L53:L63)</f>
        <v>1723411</v>
      </c>
      <c r="M64" s="18">
        <f>SUM(M53:M63)</f>
        <v>1682866</v>
      </c>
      <c r="N64" s="18">
        <f>SUM(N53:N63)</f>
        <v>1696287</v>
      </c>
      <c r="P64" s="18">
        <f t="shared" ref="P64:U64" si="7">SUM(P53:P63)</f>
        <v>1678707</v>
      </c>
      <c r="Q64" s="18">
        <f t="shared" si="7"/>
        <v>1578304</v>
      </c>
      <c r="R64" s="18">
        <f t="shared" si="7"/>
        <v>1462338</v>
      </c>
      <c r="S64" s="18">
        <f t="shared" si="7"/>
        <v>1475759</v>
      </c>
      <c r="T64" s="18">
        <f t="shared" si="7"/>
        <v>1462216</v>
      </c>
      <c r="U64" s="18">
        <f t="shared" si="7"/>
        <v>1506008</v>
      </c>
      <c r="W64" s="18">
        <f>SUM(W53:W63)</f>
        <v>1566648</v>
      </c>
      <c r="X64" s="18">
        <f>SUM(X53:X63)</f>
        <v>1772042</v>
      </c>
      <c r="Y64" s="18">
        <f>SUM(Y53:Y63)</f>
        <v>1379529</v>
      </c>
      <c r="Z64" s="18">
        <f>SUM(Z53:Z63)</f>
        <v>1401714</v>
      </c>
      <c r="AB64" s="18">
        <f>SUM(AB53:AB63)</f>
        <v>1682904</v>
      </c>
      <c r="AC64" s="18">
        <f>SUM(AC53:AC63)</f>
        <v>1685868</v>
      </c>
      <c r="AD64" s="18">
        <f>SUM(AD53:AD63)</f>
        <v>1683659</v>
      </c>
      <c r="AE64" s="18">
        <f>SUM(AE53:AE63)</f>
        <v>1577600</v>
      </c>
      <c r="AF64" s="32"/>
      <c r="AG64" s="18">
        <f>SUM(AG53:AG63)</f>
        <v>1509110</v>
      </c>
      <c r="AH64" s="18">
        <f>SUM(AH53:AH63)</f>
        <v>1473978</v>
      </c>
      <c r="AI64" s="18">
        <f>SUM(AI53:AI63)</f>
        <v>1801260</v>
      </c>
      <c r="AJ64" s="18">
        <f>SUM(AJ53:AJ63)</f>
        <v>1811415</v>
      </c>
      <c r="AK64" s="32"/>
      <c r="AL64" s="18">
        <f>SUM(AL53:AL63)</f>
        <v>1934631</v>
      </c>
      <c r="AM64" s="18">
        <f>SUM(AM53:AM63)</f>
        <v>1962587</v>
      </c>
      <c r="AN64" s="18">
        <f>SUM(AN53:AN63)</f>
        <v>1967312</v>
      </c>
      <c r="AO64" s="18">
        <f>SUM(AO53:AO63)</f>
        <v>1822509</v>
      </c>
      <c r="AP64" s="32"/>
      <c r="AQ64" s="18">
        <f>SUM(AQ53:AQ63)</f>
        <v>1824566</v>
      </c>
      <c r="AR64" s="18">
        <f>SUM(AR53:AR63)</f>
        <v>1815585</v>
      </c>
      <c r="AS64" s="18">
        <f>SUM(AS53:AS63)</f>
        <v>1812474</v>
      </c>
      <c r="AT64" s="18">
        <f>SUM(AT53:AT63)</f>
        <v>1588482</v>
      </c>
      <c r="AU64" s="32"/>
      <c r="AV64" s="18">
        <f>SUM(AV53:AV63)</f>
        <v>1598211</v>
      </c>
      <c r="AW64" s="18">
        <f>SUM(AW53:AW63)</f>
        <v>1596333</v>
      </c>
      <c r="AX64" s="18">
        <f>SUM(AX53:AX63)</f>
        <v>1592323</v>
      </c>
      <c r="AY64" s="18">
        <f>SUM(AY53:AY63)</f>
        <v>1949330</v>
      </c>
      <c r="AZ64" s="18"/>
      <c r="BA64" s="18">
        <f>SUM(BA53:BA63)</f>
        <v>2224449</v>
      </c>
      <c r="BB64" s="18">
        <f>SUM(BB53:BB63)</f>
        <v>2246860</v>
      </c>
      <c r="BC64" s="18">
        <f>SUM(BC53:BC63)</f>
        <v>2062176</v>
      </c>
      <c r="BD64" s="18">
        <f>SUM(BD53:BD63)</f>
        <v>2112428</v>
      </c>
      <c r="BE64" s="18"/>
      <c r="BF64" s="18">
        <f>SUM(BF53:BF63)</f>
        <v>2274633</v>
      </c>
      <c r="BG64" s="18">
        <f>SUM(BG53:BG63)</f>
        <v>2328053</v>
      </c>
      <c r="BH64" s="18">
        <f>SUM(BH53:BH63)</f>
        <v>2395117</v>
      </c>
      <c r="BI64" s="18">
        <f>SUM(BI53:BI63)</f>
        <v>2504341</v>
      </c>
      <c r="BJ64" s="18"/>
      <c r="BK64" s="18">
        <f>SUM(BK53:BK63)</f>
        <v>2356747</v>
      </c>
      <c r="BL64" s="18">
        <f>SUM(BL53:BL63)</f>
        <v>2082122</v>
      </c>
      <c r="BM64" s="18">
        <f>SUM(BM53:BM63)</f>
        <v>2250817</v>
      </c>
      <c r="BN64" s="133">
        <f>+BM64-'ESF GA separado'!C64</f>
        <v>0</v>
      </c>
      <c r="BO64" s="133">
        <f>+BI64-'ESF GA separado'!D64</f>
        <v>0</v>
      </c>
    </row>
    <row r="65" spans="2:67">
      <c r="B65" s="21"/>
      <c r="C65" s="20"/>
      <c r="D65" s="21"/>
      <c r="E65" s="20"/>
      <c r="F65" s="20"/>
      <c r="G65" s="20"/>
      <c r="H65" s="20"/>
      <c r="J65" s="20"/>
      <c r="K65" s="20"/>
      <c r="L65" s="20"/>
      <c r="M65" s="20"/>
      <c r="N65" s="20"/>
      <c r="P65" s="20"/>
      <c r="Q65" s="20"/>
      <c r="R65" s="20"/>
      <c r="S65" s="20"/>
      <c r="T65" s="20"/>
      <c r="U65" s="20"/>
      <c r="W65" s="20"/>
      <c r="AB65" s="20"/>
      <c r="AF65" s="32"/>
      <c r="AG65" s="20"/>
      <c r="AK65" s="32"/>
      <c r="AL65" s="20"/>
      <c r="AP65" s="32"/>
      <c r="AQ65" s="20"/>
      <c r="AU65" s="32"/>
      <c r="BA65" s="20"/>
      <c r="BK65" s="20"/>
      <c r="BL65" s="20"/>
      <c r="BM65" s="20"/>
      <c r="BN65" s="133"/>
      <c r="BO65" s="133"/>
    </row>
    <row r="66" spans="2:67" ht="20.25" customHeight="1">
      <c r="B66" s="138" t="s">
        <v>53</v>
      </c>
      <c r="C66" s="139">
        <f>+C51+C64</f>
        <v>1204472</v>
      </c>
      <c r="D66" s="17"/>
      <c r="E66" s="139">
        <f>+E51+E64</f>
        <v>1548214</v>
      </c>
      <c r="F66" s="139">
        <f>+F51+F64</f>
        <v>1332019</v>
      </c>
      <c r="G66" s="139">
        <f>+G51+G64</f>
        <v>1643137</v>
      </c>
      <c r="H66" s="139">
        <f>+H51+H64</f>
        <v>1345985</v>
      </c>
      <c r="J66" s="139">
        <f>+J51+J64</f>
        <v>1661133</v>
      </c>
      <c r="K66" s="139">
        <f>+K51+K64</f>
        <v>2224002</v>
      </c>
      <c r="L66" s="139">
        <f>+L51+L64</f>
        <v>2132564</v>
      </c>
      <c r="M66" s="139">
        <f>+M51+M64</f>
        <v>2031213</v>
      </c>
      <c r="N66" s="139">
        <f>+N51+N64</f>
        <v>2044634</v>
      </c>
      <c r="P66" s="139">
        <f t="shared" ref="P66:U66" si="8">+P51+P64</f>
        <v>2075906</v>
      </c>
      <c r="Q66" s="139">
        <f t="shared" si="8"/>
        <v>1972580</v>
      </c>
      <c r="R66" s="139">
        <f t="shared" si="8"/>
        <v>1829234</v>
      </c>
      <c r="S66" s="139">
        <f t="shared" si="8"/>
        <v>1842655</v>
      </c>
      <c r="T66" s="139">
        <f t="shared" si="8"/>
        <v>1765301</v>
      </c>
      <c r="U66" s="139">
        <f t="shared" si="8"/>
        <v>1853573</v>
      </c>
      <c r="W66" s="139">
        <f>+W51+W64</f>
        <v>2346713</v>
      </c>
      <c r="X66" s="139">
        <f>+X51+X64</f>
        <v>2220637</v>
      </c>
      <c r="Y66" s="139">
        <f>+Y51+Y64</f>
        <v>2003900</v>
      </c>
      <c r="Z66" s="139">
        <f>+Z51+Z64</f>
        <v>1978407</v>
      </c>
      <c r="AB66" s="139">
        <f>+AB51+AB64</f>
        <v>2172480</v>
      </c>
      <c r="AC66" s="139">
        <f>+AC51+AC64</f>
        <v>2259228</v>
      </c>
      <c r="AD66" s="139">
        <f>+AD51+AD64</f>
        <v>2159940</v>
      </c>
      <c r="AE66" s="139">
        <f>+AE51+AE64</f>
        <v>1970469</v>
      </c>
      <c r="AF66" s="32"/>
      <c r="AG66" s="139">
        <f>+AG51+AG64</f>
        <v>2122691</v>
      </c>
      <c r="AH66" s="139">
        <f>+AH51+AH64</f>
        <v>1993561</v>
      </c>
      <c r="AI66" s="139">
        <f>+AI51+AI64</f>
        <v>2022684</v>
      </c>
      <c r="AJ66" s="139">
        <f>+AJ51+AJ64</f>
        <v>1987815</v>
      </c>
      <c r="AK66" s="32"/>
      <c r="AL66" s="139">
        <f>+AL51+AL64</f>
        <v>2390015</v>
      </c>
      <c r="AM66" s="139">
        <f>+AM51+AM64</f>
        <v>2341613</v>
      </c>
      <c r="AN66" s="139">
        <f>+AN51+AN64</f>
        <v>2236703</v>
      </c>
      <c r="AO66" s="139">
        <f>+AO51+AO64</f>
        <v>1998698</v>
      </c>
      <c r="AP66" s="32"/>
      <c r="AQ66" s="139">
        <f>+AQ51+AQ64</f>
        <v>2248886</v>
      </c>
      <c r="AR66" s="139">
        <f>+AR51+AR64</f>
        <v>2062740</v>
      </c>
      <c r="AS66" s="139">
        <f>+AS51+AS64</f>
        <v>1996682</v>
      </c>
      <c r="AT66" s="139">
        <f>+AT51+AT64</f>
        <v>1842461</v>
      </c>
      <c r="AU66" s="32"/>
      <c r="AV66" s="139">
        <f>+AV51+AV64</f>
        <v>2284563</v>
      </c>
      <c r="AW66" s="139">
        <f>+AW51+AW64</f>
        <v>2172476</v>
      </c>
      <c r="AX66" s="139">
        <f>+AX51+AX64</f>
        <v>2030221</v>
      </c>
      <c r="AY66" s="139">
        <f>+AY51+AY64</f>
        <v>2318065</v>
      </c>
      <c r="AZ66" s="18"/>
      <c r="BA66" s="139">
        <f>+BA51+BA64</f>
        <v>2990929</v>
      </c>
      <c r="BB66" s="139">
        <f>+BB51+BB64</f>
        <v>2877838</v>
      </c>
      <c r="BC66" s="139">
        <f>+BC51+BC64</f>
        <v>2706380</v>
      </c>
      <c r="BD66" s="139">
        <f>+BD51+BD64</f>
        <v>2627185</v>
      </c>
      <c r="BE66" s="18"/>
      <c r="BF66" s="139">
        <f>+BF51+BF64</f>
        <v>3442372</v>
      </c>
      <c r="BG66" s="139">
        <f>+BG51+BG64</f>
        <v>3391631</v>
      </c>
      <c r="BH66" s="139">
        <f>+BH51+BH64</f>
        <v>3313727</v>
      </c>
      <c r="BI66" s="139">
        <f>+BI51+BI64</f>
        <v>3246982</v>
      </c>
      <c r="BJ66" s="18"/>
      <c r="BK66" s="139">
        <f>+BK51+BK64</f>
        <v>3740493</v>
      </c>
      <c r="BL66" s="139">
        <f>+BL51+BL64</f>
        <v>3455812</v>
      </c>
      <c r="BM66" s="139">
        <f>+BM51+BM64</f>
        <v>3353105</v>
      </c>
      <c r="BN66" s="133">
        <f>+BM66-'ESF GA separado'!C66</f>
        <v>0</v>
      </c>
      <c r="BO66" s="133">
        <f>+BI66-'ESF GA separado'!D66</f>
        <v>0</v>
      </c>
    </row>
    <row r="67" spans="2:67" ht="20.25" customHeight="1">
      <c r="B67" s="140" t="s">
        <v>35</v>
      </c>
      <c r="C67" s="141">
        <v>625.10548413715799</v>
      </c>
      <c r="D67" s="142"/>
      <c r="E67" s="141">
        <v>787.76687765860015</v>
      </c>
      <c r="F67" s="141">
        <v>708.07254982218694</v>
      </c>
      <c r="G67" s="141">
        <v>810.03362123363308</v>
      </c>
      <c r="H67" s="141">
        <v>562.59456793426011</v>
      </c>
      <c r="J67" s="141">
        <v>644.83725082975866</v>
      </c>
      <c r="K67" s="141">
        <v>860.31232713501549</v>
      </c>
      <c r="L67" s="141">
        <v>683.08936110239142</v>
      </c>
      <c r="M67" s="141">
        <v>644.93803719355958</v>
      </c>
      <c r="N67" s="141">
        <v>649.19938910356348</v>
      </c>
      <c r="P67" s="141">
        <v>686.85162208215468</v>
      </c>
      <c r="Q67" s="141">
        <v>676.43296812578228</v>
      </c>
      <c r="R67" s="141">
        <v>635.16172155766594</v>
      </c>
      <c r="S67" s="141">
        <v>640</v>
      </c>
      <c r="T67" s="141">
        <f>+T66/3000.71</f>
        <v>588.29443698324724</v>
      </c>
      <c r="U67" s="141">
        <v>617.71147495092828</v>
      </c>
      <c r="W67" s="141">
        <v>814.7630058606228</v>
      </c>
      <c r="X67" s="141">
        <v>731</v>
      </c>
      <c r="Y67" s="141">
        <v>682</v>
      </c>
      <c r="Z67" s="141">
        <f>+Z66/2984</f>
        <v>663.00502680965144</v>
      </c>
      <c r="AB67" s="141">
        <f>+AB66/2780.47</f>
        <v>781.33552960470718</v>
      </c>
      <c r="AC67" s="141">
        <f>+AC66/2930.8</f>
        <v>770.85710386242658</v>
      </c>
      <c r="AD67" s="141">
        <f>+AD66/2972.18</f>
        <v>726.71910853313057</v>
      </c>
      <c r="AE67" s="141">
        <f>+AE66/3249.75</f>
        <v>606.34479575351952</v>
      </c>
      <c r="AF67" s="32"/>
      <c r="AG67" s="141">
        <f>+AG66/3174.79</f>
        <v>668.60831740052095</v>
      </c>
      <c r="AH67" s="141">
        <f>+AH66/3205.67</f>
        <v>621.88590840604297</v>
      </c>
      <c r="AI67" s="141">
        <f>+AI66/3462.01</f>
        <v>584.25134531673791</v>
      </c>
      <c r="AJ67" s="141">
        <f>+AJ66/3277.14</f>
        <v>606.57005803841162</v>
      </c>
      <c r="AK67" s="32"/>
      <c r="AL67" s="141">
        <f>+AL66/4064.81</f>
        <v>587.97705181792014</v>
      </c>
      <c r="AM67" s="141">
        <f>+AM66/3758.91</f>
        <v>622.95000412353579</v>
      </c>
      <c r="AN67" s="141">
        <f>+AN66/3878.94</f>
        <v>576.62737758253547</v>
      </c>
      <c r="AO67" s="141">
        <f>+AO66/3432.5</f>
        <v>582.28638018936635</v>
      </c>
      <c r="AP67" s="32"/>
      <c r="AQ67" s="141">
        <f>+AQ66/3736.91</f>
        <v>601.80362920166669</v>
      </c>
      <c r="AR67" s="141">
        <f>+AR66/3756.67</f>
        <v>549.08735662168885</v>
      </c>
      <c r="AS67" s="141">
        <f>+AS66/3834.68</f>
        <v>520.69064433016581</v>
      </c>
      <c r="AT67" s="141">
        <f>+AT66/3981.16</f>
        <v>462.79501451838161</v>
      </c>
      <c r="AU67" s="32"/>
      <c r="AV67" s="141">
        <f>+AV66/3748.15</f>
        <v>609.51749529768017</v>
      </c>
      <c r="AW67" s="141">
        <f>+AW66/4127.47</f>
        <v>526.34567907216763</v>
      </c>
      <c r="AX67" s="141">
        <f>+AX66/4532.07</f>
        <v>447.96770570622255</v>
      </c>
      <c r="AY67" s="141">
        <f>+AY66/4810.2</f>
        <v>481.90615774811857</v>
      </c>
      <c r="AZ67" s="30"/>
      <c r="BA67" s="141">
        <f>+BA66/4627.27</f>
        <v>646.37010591558294</v>
      </c>
      <c r="BB67" s="141">
        <f>+BB66/4191.28</f>
        <v>686.62508827852116</v>
      </c>
      <c r="BC67" s="141">
        <f>+BC66/4053.76</f>
        <v>667.62215819387427</v>
      </c>
      <c r="BD67" s="141">
        <f>+BD66/3822.05</f>
        <v>687.37588466922193</v>
      </c>
      <c r="BE67" s="30"/>
      <c r="BF67" s="141">
        <f>+BF66/3842.3</f>
        <v>895.91442625510763</v>
      </c>
      <c r="BG67" s="141">
        <f>+BG66/4148.04</f>
        <v>817.64664757331172</v>
      </c>
      <c r="BH67" s="141">
        <f>+BH66/4164.21</f>
        <v>795.76366225526567</v>
      </c>
      <c r="BI67" s="141">
        <f>+BI66/4409.15</f>
        <v>736.41903768300017</v>
      </c>
      <c r="BJ67" s="30"/>
      <c r="BK67" s="141">
        <f>+BK66/4192.57</f>
        <v>892.17186594380064</v>
      </c>
      <c r="BL67" s="141">
        <f>+BL66/BL85</f>
        <v>849.1627085242784</v>
      </c>
      <c r="BM67" s="141">
        <f>+BM66/BM85</f>
        <v>859.48622122426173</v>
      </c>
      <c r="BN67" s="133">
        <f>+BM67-'ESF GA separado'!C67</f>
        <v>0</v>
      </c>
      <c r="BO67" s="133">
        <f>+BI67-'ESF GA separado'!D67</f>
        <v>0</v>
      </c>
    </row>
    <row r="68" spans="2:67" ht="12" customHeight="1">
      <c r="B68" s="145"/>
      <c r="C68" s="146"/>
      <c r="D68" s="145"/>
      <c r="E68" s="146"/>
      <c r="F68" s="146"/>
      <c r="G68" s="146"/>
      <c r="H68" s="146"/>
      <c r="J68" s="146"/>
      <c r="K68" s="146"/>
      <c r="L68" s="146"/>
      <c r="M68" s="146"/>
      <c r="N68" s="146"/>
      <c r="P68" s="146"/>
      <c r="Q68" s="146"/>
      <c r="R68" s="146"/>
      <c r="S68" s="146"/>
      <c r="T68" s="146"/>
      <c r="U68" s="146"/>
      <c r="W68" s="146"/>
      <c r="AB68" s="146"/>
      <c r="AF68" s="32"/>
      <c r="AG68" s="146"/>
      <c r="AK68" s="32"/>
      <c r="AL68" s="146"/>
      <c r="AP68" s="32"/>
      <c r="AQ68" s="146"/>
      <c r="AU68" s="32"/>
      <c r="BA68" s="146"/>
      <c r="BB68" s="146"/>
      <c r="BC68" s="146"/>
      <c r="BD68" s="146"/>
      <c r="BE68" s="146"/>
      <c r="BF68" s="146"/>
      <c r="BG68" s="146"/>
      <c r="BH68" s="146"/>
      <c r="BI68" s="146"/>
      <c r="BJ68" s="146"/>
      <c r="BK68" s="146"/>
      <c r="BL68" s="146"/>
      <c r="BM68" s="146"/>
      <c r="BN68" s="133"/>
      <c r="BO68" s="133"/>
    </row>
    <row r="69" spans="2:67" ht="20.25" customHeight="1">
      <c r="B69" s="138" t="s">
        <v>54</v>
      </c>
      <c r="C69" s="139">
        <f>SUM(C74:C81)</f>
        <v>13138349</v>
      </c>
      <c r="D69" s="17"/>
      <c r="E69" s="139">
        <f>SUM(E74:E81)</f>
        <v>13306293</v>
      </c>
      <c r="F69" s="139">
        <f>SUM(F74:F81)</f>
        <v>13542505</v>
      </c>
      <c r="G69" s="139">
        <f>SUM(G74:G81)</f>
        <v>13681450</v>
      </c>
      <c r="H69" s="139">
        <f>SUM(H74:H81)</f>
        <v>13866451</v>
      </c>
      <c r="J69" s="139">
        <f>SUM(J74:J81)</f>
        <v>13291031</v>
      </c>
      <c r="K69" s="139">
        <f>SUM(K74:K81)</f>
        <v>13747522</v>
      </c>
      <c r="L69" s="139">
        <f>SUM(L74:L81)</f>
        <v>14333589</v>
      </c>
      <c r="M69" s="139">
        <f>SUM(M74:M81)</f>
        <v>14138212</v>
      </c>
      <c r="N69" s="139">
        <f>SUM(N74:N81)</f>
        <v>14283203</v>
      </c>
      <c r="P69" s="139">
        <f t="shared" ref="P69:U69" si="9">SUM(P74:P81)</f>
        <v>14134958</v>
      </c>
      <c r="Q69" s="139">
        <f t="shared" si="9"/>
        <v>14033125</v>
      </c>
      <c r="R69" s="139">
        <f t="shared" si="9"/>
        <v>14090713</v>
      </c>
      <c r="S69" s="139">
        <f t="shared" si="9"/>
        <v>14208975</v>
      </c>
      <c r="T69" s="139">
        <f t="shared" si="9"/>
        <v>15229898</v>
      </c>
      <c r="U69" s="139">
        <f t="shared" si="9"/>
        <v>15229898</v>
      </c>
      <c r="W69" s="139">
        <f>SUM(W74:W81)</f>
        <v>14942821</v>
      </c>
      <c r="X69" s="139">
        <f>SUM(X74:X81)</f>
        <v>15248447</v>
      </c>
      <c r="Y69" s="139">
        <f>SUM(Y74:Y81)</f>
        <v>15500361</v>
      </c>
      <c r="Z69" s="139">
        <f>SUM(Z74:Z81)</f>
        <v>15545143</v>
      </c>
      <c r="AB69" s="139">
        <f>SUM(AB74:AB81)</f>
        <v>15425553</v>
      </c>
      <c r="AC69" s="139">
        <f>SUM(AC74:AC81)</f>
        <v>15453214</v>
      </c>
      <c r="AD69" s="139">
        <f>SUM(AD74:AD81)</f>
        <v>15541536</v>
      </c>
      <c r="AE69" s="139">
        <f>SUM(AE74:AE81)</f>
        <v>15975935</v>
      </c>
      <c r="AF69" s="32"/>
      <c r="AG69" s="139">
        <f>SUM(AG74:AG81)</f>
        <v>15838299</v>
      </c>
      <c r="AH69" s="139">
        <f>SUM(AH74:AH81)</f>
        <v>15847486</v>
      </c>
      <c r="AI69" s="139">
        <f>SUM(AI74:AI81)</f>
        <v>16431732</v>
      </c>
      <c r="AJ69" s="139">
        <f>SUM(AJ74:AJ81)</f>
        <v>16172697</v>
      </c>
      <c r="AK69" s="32"/>
      <c r="AL69" s="139">
        <f>SUM(AL74:AL81)</f>
        <v>16508621</v>
      </c>
      <c r="AM69" s="139">
        <f>SUM(AM74:AM81)</f>
        <v>16142086</v>
      </c>
      <c r="AN69" s="139">
        <f>SUM(AN74:AN81)</f>
        <v>16413626</v>
      </c>
      <c r="AO69" s="139">
        <f>SUM(AO74:AO81)</f>
        <v>15792776</v>
      </c>
      <c r="AP69" s="32"/>
      <c r="AQ69" s="139">
        <f>SUM(AQ74:AQ81)</f>
        <v>15978484</v>
      </c>
      <c r="AR69" s="139">
        <f>SUM(AR74:AR81)</f>
        <v>16242354</v>
      </c>
      <c r="AS69" s="139">
        <f>SUM(AS74:AS81)</f>
        <v>16400325</v>
      </c>
      <c r="AT69" s="139">
        <f>SUM(AT74:AT81)</f>
        <v>17109631</v>
      </c>
      <c r="AU69" s="32"/>
      <c r="AV69" s="139">
        <f>SUM(AV74:AV81)</f>
        <v>17332623</v>
      </c>
      <c r="AW69" s="139">
        <f>SUM(AW74:AW81)</f>
        <v>17773810</v>
      </c>
      <c r="AX69" s="139">
        <f>SUM(AX74:AX81)</f>
        <v>18300948</v>
      </c>
      <c r="AY69" s="139">
        <f>SUM(AY74:AY81)</f>
        <v>18646770</v>
      </c>
      <c r="AZ69" s="18"/>
      <c r="BA69" s="139">
        <f>SUM(BA74:BA81)</f>
        <v>18476300</v>
      </c>
      <c r="BB69" s="139">
        <f>SUM(BB74:BB81)</f>
        <v>18083377</v>
      </c>
      <c r="BC69" s="139">
        <f>SUM(BC74:BC81)</f>
        <v>17803277</v>
      </c>
      <c r="BD69" s="139">
        <f>SUM(BD74:BD81)</f>
        <v>16982948</v>
      </c>
      <c r="BE69" s="18"/>
      <c r="BF69" s="139">
        <f>SUM(BF74:BF81)</f>
        <v>18075082</v>
      </c>
      <c r="BG69" s="139">
        <f>SUM(BG74:BG81)</f>
        <v>18763737</v>
      </c>
      <c r="BH69" s="139">
        <f>SUM(BH74:BH81)</f>
        <v>18728696</v>
      </c>
      <c r="BI69" s="139">
        <f>SUM(BI74:BI81)</f>
        <v>18767690</v>
      </c>
      <c r="BJ69" s="18"/>
      <c r="BK69" s="139">
        <f>SUM(BK74:BK81)</f>
        <v>19318356</v>
      </c>
      <c r="BL69" s="139">
        <f>SUM(BL74:BL81)</f>
        <v>19198079</v>
      </c>
      <c r="BM69" s="139">
        <f>SUM(BM74:BM81)</f>
        <v>11281253</v>
      </c>
      <c r="BN69" s="133">
        <f>+BM69-'ESF GA separado'!C69</f>
        <v>0</v>
      </c>
      <c r="BO69" s="133">
        <f>+BI69-'ESF GA separado'!D69</f>
        <v>0</v>
      </c>
    </row>
    <row r="70" spans="2:67" ht="20.25" customHeight="1">
      <c r="B70" s="140" t="s">
        <v>35</v>
      </c>
      <c r="C70" s="141">
        <v>6818.634233430038</v>
      </c>
      <c r="D70" s="142"/>
      <c r="E70" s="141">
        <v>6770.5477988317425</v>
      </c>
      <c r="F70" s="141">
        <v>7198.9033537282248</v>
      </c>
      <c r="G70" s="141">
        <v>6744.6807461744756</v>
      </c>
      <c r="H70" s="141">
        <v>5795.8966921077053</v>
      </c>
      <c r="J70" s="141">
        <v>5159.4615787737039</v>
      </c>
      <c r="K70" s="141">
        <v>5317.9640324783086</v>
      </c>
      <c r="L70" s="141">
        <v>4591.2442263464382</v>
      </c>
      <c r="M70" s="141">
        <v>4489.0765747887745</v>
      </c>
      <c r="N70" s="141">
        <v>4535.1132095241428</v>
      </c>
      <c r="P70" s="141">
        <v>4676.8104289708344</v>
      </c>
      <c r="Q70" s="141">
        <v>4812.2095914133361</v>
      </c>
      <c r="R70" s="141">
        <v>4892.6936231531799</v>
      </c>
      <c r="S70" s="141">
        <v>4934</v>
      </c>
      <c r="T70" s="141">
        <f>+T69/3000.71</f>
        <v>5075.4314812161119</v>
      </c>
      <c r="U70" s="141">
        <v>5075.4314812161119</v>
      </c>
      <c r="W70" s="141">
        <v>5188.0471766241708</v>
      </c>
      <c r="X70" s="141">
        <v>5019</v>
      </c>
      <c r="Y70" s="141">
        <v>5278</v>
      </c>
      <c r="Z70" s="141">
        <f>+Z69/2984</f>
        <v>5209.4983243967827</v>
      </c>
      <c r="AB70" s="141">
        <f>+AB69/2780.47</f>
        <v>5547.8221307908379</v>
      </c>
      <c r="AC70" s="141">
        <f>+AC69/2930.8</f>
        <v>5272.6948273508933</v>
      </c>
      <c r="AD70" s="141">
        <f>+AD69/2972.18</f>
        <v>5229.0022811539011</v>
      </c>
      <c r="AE70" s="141">
        <f>+AE69/3249.75</f>
        <v>4916.0504654204169</v>
      </c>
      <c r="AF70" s="32"/>
      <c r="AG70" s="141">
        <f>+AG69/3174.79</f>
        <v>4988.7705958504339</v>
      </c>
      <c r="AH70" s="141">
        <f>+AH69/3205.67</f>
        <v>4943.5799692419996</v>
      </c>
      <c r="AI70" s="141">
        <f>+AI69/3462.01</f>
        <v>4746.2982487052313</v>
      </c>
      <c r="AJ70" s="141">
        <f>+AJ69/3277.14</f>
        <v>4935.0033870997277</v>
      </c>
      <c r="AK70" s="32"/>
      <c r="AL70" s="141">
        <f>+AL69/4064.81</f>
        <v>4061.3512070674892</v>
      </c>
      <c r="AM70" s="141">
        <f>+AM69/3758.91</f>
        <v>4294.3528842137748</v>
      </c>
      <c r="AN70" s="141">
        <f>+AN69/3878.94</f>
        <v>4231.4720000824964</v>
      </c>
      <c r="AO70" s="141">
        <f>+AO69/3432.5</f>
        <v>4600.9544064093225</v>
      </c>
      <c r="AP70" s="32"/>
      <c r="AQ70" s="141">
        <f>+AQ69/3736.91</f>
        <v>4275.854649964811</v>
      </c>
      <c r="AR70" s="141">
        <f>+AR69/3756.67</f>
        <v>4323.6041494195661</v>
      </c>
      <c r="AS70" s="141">
        <f>+AS69/3834.68</f>
        <v>4276.8431785703115</v>
      </c>
      <c r="AT70" s="141">
        <f>+AT69/3981.16</f>
        <v>4297.6496799927663</v>
      </c>
      <c r="AU70" s="32"/>
      <c r="AV70" s="141">
        <f>+AV69/3748.15</f>
        <v>4624.3141283032965</v>
      </c>
      <c r="AW70" s="141">
        <f>+AW69/4127.47</f>
        <v>4306.2239095620316</v>
      </c>
      <c r="AX70" s="141">
        <f>+AX69/4532.07</f>
        <v>4038.0991467475128</v>
      </c>
      <c r="AY70" s="141">
        <f>+AY69/4810.2</f>
        <v>3876.506174379444</v>
      </c>
      <c r="AZ70" s="30"/>
      <c r="BA70" s="141">
        <f>+BA69/4627.27</f>
        <v>3992.9159093806929</v>
      </c>
      <c r="BB70" s="141">
        <f>+BB69/4191.28</f>
        <v>4314.5237254490276</v>
      </c>
      <c r="BC70" s="141">
        <f>+BC69/4053.76</f>
        <v>4391.7935447584459</v>
      </c>
      <c r="BD70" s="141">
        <f>+BD69/3822.05</f>
        <v>4443.413351473685</v>
      </c>
      <c r="BE70" s="30"/>
      <c r="BF70" s="141">
        <f>+BF69/3842.3</f>
        <v>4704.2349634333596</v>
      </c>
      <c r="BG70" s="141">
        <f>+BG69/4148.04</f>
        <v>4523.5188185263405</v>
      </c>
      <c r="BH70" s="141">
        <f>+BH69/4164.21</f>
        <v>4497.5387888699179</v>
      </c>
      <c r="BI70" s="141">
        <f>+BI69/4409.15</f>
        <v>4256.5324382250546</v>
      </c>
      <c r="BJ70" s="30"/>
      <c r="BK70" s="141">
        <f>+BK69/4192.57</f>
        <v>4607.7599181409023</v>
      </c>
      <c r="BL70" s="141">
        <f>+BL69/BL85</f>
        <v>4717.3552155334464</v>
      </c>
      <c r="BM70" s="141">
        <f>+BM69/BM85</f>
        <v>2891.672498071151</v>
      </c>
      <c r="BN70" s="133">
        <f>+BM70-'ESF GA separado'!C70</f>
        <v>0</v>
      </c>
      <c r="BO70" s="133">
        <f>+BI70-'ESF GA separado'!D70</f>
        <v>0</v>
      </c>
    </row>
    <row r="71" spans="2:67">
      <c r="C71" s="20"/>
      <c r="E71" s="20"/>
      <c r="F71" s="20"/>
      <c r="G71" s="20"/>
      <c r="H71" s="20"/>
      <c r="J71" s="20"/>
      <c r="K71" s="20"/>
      <c r="L71" s="20"/>
      <c r="M71" s="20"/>
      <c r="N71" s="20"/>
      <c r="P71" s="20"/>
      <c r="Q71" s="20"/>
      <c r="R71" s="20"/>
      <c r="S71" s="20"/>
      <c r="T71" s="20"/>
      <c r="U71" s="20"/>
      <c r="W71" s="20"/>
      <c r="AB71" s="20"/>
      <c r="AF71" s="32"/>
      <c r="AG71" s="20"/>
      <c r="AK71" s="32"/>
      <c r="AL71" s="20"/>
      <c r="AP71" s="32"/>
      <c r="AQ71" s="20"/>
      <c r="AU71" s="32"/>
      <c r="BA71" s="20"/>
      <c r="BB71" s="20"/>
      <c r="BC71" s="20"/>
      <c r="BD71" s="20"/>
      <c r="BE71" s="20"/>
      <c r="BF71" s="20"/>
      <c r="BG71" s="20"/>
      <c r="BH71" s="20"/>
      <c r="BI71" s="20"/>
      <c r="BJ71" s="20"/>
      <c r="BK71" s="20"/>
      <c r="BL71" s="20"/>
      <c r="BM71" s="20"/>
      <c r="BN71" s="133"/>
      <c r="BO71" s="133"/>
    </row>
    <row r="72" spans="2:67" ht="13">
      <c r="B72" s="17" t="s">
        <v>55</v>
      </c>
      <c r="C72" s="18">
        <f>+C66+C69</f>
        <v>14342821</v>
      </c>
      <c r="D72" s="17"/>
      <c r="E72" s="18">
        <f>+E66+E69</f>
        <v>14854507</v>
      </c>
      <c r="F72" s="18">
        <f>+F66+F69</f>
        <v>14874524</v>
      </c>
      <c r="G72" s="18">
        <f>+G66+G69</f>
        <v>15324587</v>
      </c>
      <c r="H72" s="18">
        <f>+H66+H69</f>
        <v>15212436</v>
      </c>
      <c r="I72" s="137"/>
      <c r="J72" s="18">
        <f>+J66+J69</f>
        <v>14952164</v>
      </c>
      <c r="K72" s="18">
        <f>+K66+K69</f>
        <v>15971524</v>
      </c>
      <c r="L72" s="18">
        <f>+L66+L69</f>
        <v>16466153</v>
      </c>
      <c r="M72" s="18">
        <f>+M66+M69</f>
        <v>16169425</v>
      </c>
      <c r="N72" s="18">
        <f>+N66+N69</f>
        <v>16327837</v>
      </c>
      <c r="P72" s="18">
        <f t="shared" ref="P72:U72" si="10">+P66+P69</f>
        <v>16210864</v>
      </c>
      <c r="Q72" s="18">
        <f t="shared" si="10"/>
        <v>16005705</v>
      </c>
      <c r="R72" s="18">
        <f t="shared" si="10"/>
        <v>15919947</v>
      </c>
      <c r="S72" s="18">
        <f t="shared" si="10"/>
        <v>16051630</v>
      </c>
      <c r="T72" s="18">
        <f t="shared" si="10"/>
        <v>16995199</v>
      </c>
      <c r="U72" s="18">
        <f t="shared" si="10"/>
        <v>17083471</v>
      </c>
      <c r="W72" s="18">
        <f>+W66+W69</f>
        <v>17289534</v>
      </c>
      <c r="X72" s="18">
        <f>+X66+X69</f>
        <v>17469084</v>
      </c>
      <c r="Y72" s="18">
        <f>+Y66+Y69</f>
        <v>17504261</v>
      </c>
      <c r="Z72" s="18">
        <f>+Z66+Z69</f>
        <v>17523550</v>
      </c>
      <c r="AB72" s="18">
        <f>+AB66+AB69</f>
        <v>17598033</v>
      </c>
      <c r="AC72" s="18">
        <f>+AC66+AC69</f>
        <v>17712442</v>
      </c>
      <c r="AD72" s="18">
        <f>+AD66+AD69</f>
        <v>17701476</v>
      </c>
      <c r="AE72" s="18">
        <f>+AE66+AE69</f>
        <v>17946404</v>
      </c>
      <c r="AF72" s="32"/>
      <c r="AG72" s="18">
        <f>+AG66+AG69</f>
        <v>17960990</v>
      </c>
      <c r="AH72" s="18">
        <f>+AH66+AH69</f>
        <v>17841047</v>
      </c>
      <c r="AI72" s="18">
        <f>+AI66+AI69</f>
        <v>18454416</v>
      </c>
      <c r="AJ72" s="18">
        <f>+AJ66+AJ69</f>
        <v>18160512</v>
      </c>
      <c r="AK72" s="32"/>
      <c r="AL72" s="18">
        <f>+AL66+AL69</f>
        <v>18898636</v>
      </c>
      <c r="AM72" s="18">
        <f>+AM66+AM69</f>
        <v>18483699</v>
      </c>
      <c r="AN72" s="18">
        <f>+AN66+AN69</f>
        <v>18650329</v>
      </c>
      <c r="AO72" s="18">
        <f>+AO66+AO69</f>
        <v>17791474</v>
      </c>
      <c r="AP72" s="32"/>
      <c r="AQ72" s="18">
        <f>+AQ66+AQ69</f>
        <v>18227370</v>
      </c>
      <c r="AR72" s="18">
        <f>+AR66+AR69</f>
        <v>18305094</v>
      </c>
      <c r="AS72" s="18">
        <f>+AS66+AS69</f>
        <v>18397007</v>
      </c>
      <c r="AT72" s="18">
        <f>+AT66+AT69</f>
        <v>18952092</v>
      </c>
      <c r="AU72" s="32"/>
      <c r="AV72" s="18">
        <f>+AV66+AV69</f>
        <v>19617186</v>
      </c>
      <c r="AW72" s="18">
        <f>+AW66+AW69</f>
        <v>19946286</v>
      </c>
      <c r="AX72" s="18">
        <f>+AX66+AX69</f>
        <v>20331169</v>
      </c>
      <c r="AY72" s="18">
        <f>+AY66+AY69</f>
        <v>20964835</v>
      </c>
      <c r="AZ72" s="18"/>
      <c r="BA72" s="18">
        <f>+BA66+BA69</f>
        <v>21467229</v>
      </c>
      <c r="BB72" s="18">
        <f>+BB66+BB69</f>
        <v>20961215</v>
      </c>
      <c r="BC72" s="18">
        <f>+BC66+BC69</f>
        <v>20509657</v>
      </c>
      <c r="BD72" s="18">
        <f>+BD66+BD69</f>
        <v>19610133</v>
      </c>
      <c r="BE72" s="18"/>
      <c r="BF72" s="18">
        <f>+BF66+BF69</f>
        <v>21517454</v>
      </c>
      <c r="BG72" s="18">
        <f>+BG66+BG69</f>
        <v>22155368</v>
      </c>
      <c r="BH72" s="18">
        <f>+BH66+BH69</f>
        <v>22042423</v>
      </c>
      <c r="BI72" s="18">
        <f>+BI66+BI69</f>
        <v>22014672</v>
      </c>
      <c r="BJ72" s="18"/>
      <c r="BK72" s="18">
        <f>+BK66+BK69</f>
        <v>23058849</v>
      </c>
      <c r="BL72" s="18">
        <f>+BL66+BL69</f>
        <v>22653891</v>
      </c>
      <c r="BM72" s="18">
        <f>+BM66+BM69</f>
        <v>14634358</v>
      </c>
      <c r="BN72" s="133">
        <f>+BM72-'ESF GA separado'!C72</f>
        <v>0</v>
      </c>
      <c r="BO72" s="133">
        <f>+BI72-'ESF GA separado'!D72</f>
        <v>0</v>
      </c>
    </row>
    <row r="73" spans="2:67">
      <c r="C73" s="20"/>
      <c r="E73" s="20"/>
      <c r="F73" s="20"/>
      <c r="G73" s="20"/>
      <c r="H73" s="20"/>
      <c r="J73" s="20"/>
      <c r="K73" s="20"/>
      <c r="L73" s="20"/>
      <c r="M73" s="20"/>
      <c r="N73" s="20"/>
      <c r="P73" s="20"/>
      <c r="Q73" s="20"/>
      <c r="R73" s="20"/>
      <c r="S73" s="20"/>
      <c r="T73" s="20"/>
      <c r="U73" s="20"/>
      <c r="W73" s="20"/>
      <c r="AB73" s="20"/>
      <c r="AF73" s="32"/>
      <c r="AG73" s="20"/>
      <c r="AK73" s="32"/>
      <c r="AL73" s="20"/>
      <c r="AP73" s="32"/>
      <c r="AQ73" s="20"/>
      <c r="AU73" s="32"/>
      <c r="BA73" s="20"/>
      <c r="BB73" s="20"/>
      <c r="BC73" s="20"/>
      <c r="BD73" s="20"/>
      <c r="BE73" s="20"/>
      <c r="BF73" s="20"/>
      <c r="BG73" s="20"/>
      <c r="BH73" s="20"/>
      <c r="BI73" s="20"/>
      <c r="BJ73" s="20"/>
      <c r="BK73" s="20"/>
      <c r="BL73" s="20"/>
      <c r="BM73" s="20"/>
      <c r="BN73" s="133"/>
      <c r="BO73" s="133"/>
    </row>
    <row r="74" spans="2:67" s="10" customFormat="1" ht="16.5" customHeight="1">
      <c r="B74" s="21" t="s">
        <v>56</v>
      </c>
      <c r="C74" s="20">
        <v>51510</v>
      </c>
      <c r="D74" s="21"/>
      <c r="E74" s="20">
        <v>51481</v>
      </c>
      <c r="F74" s="20">
        <v>51481</v>
      </c>
      <c r="G74" s="20">
        <v>51481</v>
      </c>
      <c r="H74" s="20">
        <v>51510</v>
      </c>
      <c r="I74" s="2"/>
      <c r="J74" s="20">
        <v>51481</v>
      </c>
      <c r="K74" s="20">
        <v>50744</v>
      </c>
      <c r="L74" s="20">
        <v>50744</v>
      </c>
      <c r="M74" s="20">
        <v>51510</v>
      </c>
      <c r="N74" s="20">
        <v>51510</v>
      </c>
      <c r="P74" s="20">
        <v>51510</v>
      </c>
      <c r="Q74" s="20">
        <v>51510</v>
      </c>
      <c r="R74" s="20">
        <v>51510</v>
      </c>
      <c r="S74" s="20">
        <v>51510</v>
      </c>
      <c r="T74" s="20">
        <v>53933</v>
      </c>
      <c r="U74" s="20">
        <v>53933</v>
      </c>
      <c r="W74" s="20">
        <v>53933</v>
      </c>
      <c r="X74" s="22">
        <v>53933</v>
      </c>
      <c r="Y74" s="147">
        <v>53933</v>
      </c>
      <c r="Z74" s="148">
        <v>53933</v>
      </c>
      <c r="AA74" s="129"/>
      <c r="AB74" s="20">
        <v>53933</v>
      </c>
      <c r="AC74" s="22">
        <v>53933</v>
      </c>
      <c r="AD74" s="147">
        <v>53933</v>
      </c>
      <c r="AE74" s="148">
        <v>53933</v>
      </c>
      <c r="AF74" s="32"/>
      <c r="AG74" s="20">
        <v>53933</v>
      </c>
      <c r="AH74" s="22">
        <v>53933</v>
      </c>
      <c r="AI74" s="147">
        <v>53933</v>
      </c>
      <c r="AJ74" s="148">
        <v>53933</v>
      </c>
      <c r="AK74" s="32"/>
      <c r="AL74" s="20">
        <v>53933</v>
      </c>
      <c r="AM74" s="22">
        <v>53933</v>
      </c>
      <c r="AN74" s="147">
        <v>53933</v>
      </c>
      <c r="AO74" s="148">
        <v>53933</v>
      </c>
      <c r="AP74" s="32"/>
      <c r="AQ74" s="20">
        <v>53933</v>
      </c>
      <c r="AR74" s="22">
        <v>54697</v>
      </c>
      <c r="AS74" s="22">
        <v>54697</v>
      </c>
      <c r="AT74" s="22">
        <v>54697</v>
      </c>
      <c r="AU74" s="32"/>
      <c r="AV74" s="22">
        <v>54697</v>
      </c>
      <c r="AW74" s="22">
        <v>54697</v>
      </c>
      <c r="AX74" s="22">
        <v>54697</v>
      </c>
      <c r="AY74" s="22">
        <v>54697</v>
      </c>
      <c r="AZ74" s="22"/>
      <c r="BA74" s="20">
        <v>54697</v>
      </c>
      <c r="BB74" s="20">
        <v>54697</v>
      </c>
      <c r="BC74" s="20">
        <v>54697</v>
      </c>
      <c r="BD74" s="20">
        <v>54697</v>
      </c>
      <c r="BE74" s="20"/>
      <c r="BF74" s="20">
        <v>54697</v>
      </c>
      <c r="BG74" s="20">
        <v>54697</v>
      </c>
      <c r="BH74" s="20">
        <v>54697</v>
      </c>
      <c r="BI74" s="20">
        <v>54697</v>
      </c>
      <c r="BJ74" s="20"/>
      <c r="BK74" s="20">
        <v>54697</v>
      </c>
      <c r="BL74" s="20">
        <v>54697</v>
      </c>
      <c r="BM74" s="20">
        <v>54934</v>
      </c>
      <c r="BN74" s="133">
        <f>+BM74-'ESF GA separado'!C78</f>
        <v>0</v>
      </c>
      <c r="BO74" s="133">
        <f>+BI74-'ESF GA separado'!D78</f>
        <v>0</v>
      </c>
    </row>
    <row r="75" spans="2:67" s="10" customFormat="1" ht="16.5" customHeight="1">
      <c r="B75" s="21" t="s">
        <v>57</v>
      </c>
      <c r="C75" s="20">
        <v>667459</v>
      </c>
      <c r="D75" s="21"/>
      <c r="E75" s="20">
        <v>687062</v>
      </c>
      <c r="F75" s="20">
        <v>697292</v>
      </c>
      <c r="G75" s="20">
        <v>680690</v>
      </c>
      <c r="H75" s="20">
        <v>680051</v>
      </c>
      <c r="I75" s="2"/>
      <c r="J75" s="20">
        <v>689585</v>
      </c>
      <c r="K75" s="20">
        <v>681444</v>
      </c>
      <c r="L75" s="20">
        <v>680280</v>
      </c>
      <c r="M75" s="20">
        <v>680218</v>
      </c>
      <c r="N75" s="20">
        <v>680218</v>
      </c>
      <c r="P75" s="20">
        <v>680218</v>
      </c>
      <c r="Q75" s="20">
        <v>680218</v>
      </c>
      <c r="R75" s="20">
        <v>680218</v>
      </c>
      <c r="S75" s="20">
        <v>680218</v>
      </c>
      <c r="T75" s="20">
        <f>1354760-1</f>
        <v>1354759</v>
      </c>
      <c r="U75" s="20">
        <v>1354759</v>
      </c>
      <c r="W75" s="20">
        <f>1354760-1</f>
        <v>1354759</v>
      </c>
      <c r="X75" s="20">
        <f>1354760-1</f>
        <v>1354759</v>
      </c>
      <c r="Y75" s="20">
        <v>1354759</v>
      </c>
      <c r="Z75" s="148">
        <v>1354759</v>
      </c>
      <c r="AA75" s="129"/>
      <c r="AB75" s="20">
        <v>1354759</v>
      </c>
      <c r="AC75" s="20">
        <v>1354759</v>
      </c>
      <c r="AD75" s="20">
        <v>1354759</v>
      </c>
      <c r="AE75" s="148">
        <v>1354759</v>
      </c>
      <c r="AF75" s="32"/>
      <c r="AG75" s="20">
        <v>1354759</v>
      </c>
      <c r="AH75" s="20">
        <v>1354759</v>
      </c>
      <c r="AI75" s="20">
        <v>1354759</v>
      </c>
      <c r="AJ75" s="148">
        <v>1354759</v>
      </c>
      <c r="AK75" s="32"/>
      <c r="AL75" s="20">
        <v>1354759</v>
      </c>
      <c r="AM75" s="20">
        <v>1354759</v>
      </c>
      <c r="AN75" s="20">
        <v>1354759</v>
      </c>
      <c r="AO75" s="148">
        <v>1354759</v>
      </c>
      <c r="AP75" s="32"/>
      <c r="AQ75" s="20">
        <v>1354759</v>
      </c>
      <c r="AR75" s="20">
        <v>1503373</v>
      </c>
      <c r="AS75" s="20">
        <v>1503373</v>
      </c>
      <c r="AT75" s="20">
        <v>1503373</v>
      </c>
      <c r="AU75" s="32"/>
      <c r="AV75" s="20">
        <v>1503373</v>
      </c>
      <c r="AW75" s="20">
        <v>1503373</v>
      </c>
      <c r="AX75" s="20">
        <v>1503373</v>
      </c>
      <c r="AY75" s="20">
        <v>1503373</v>
      </c>
      <c r="AZ75" s="20"/>
      <c r="BA75" s="20">
        <v>1503373</v>
      </c>
      <c r="BB75" s="20">
        <v>1503373</v>
      </c>
      <c r="BC75" s="20">
        <v>1503373</v>
      </c>
      <c r="BD75" s="20">
        <v>1503373</v>
      </c>
      <c r="BE75" s="20"/>
      <c r="BF75" s="20">
        <v>1503373</v>
      </c>
      <c r="BG75" s="20">
        <v>1503373</v>
      </c>
      <c r="BH75" s="20">
        <v>1503373</v>
      </c>
      <c r="BI75" s="20">
        <v>1503373</v>
      </c>
      <c r="BJ75" s="20"/>
      <c r="BK75" s="20">
        <v>1503373</v>
      </c>
      <c r="BL75" s="20">
        <v>1503373</v>
      </c>
      <c r="BM75" s="1033">
        <v>0</v>
      </c>
      <c r="BN75" s="133">
        <f>+BM75-'ESF GA separado'!C79</f>
        <v>0</v>
      </c>
      <c r="BO75" s="133">
        <f>+BI75-'ESF GA separado'!D79</f>
        <v>0</v>
      </c>
    </row>
    <row r="76" spans="2:67" s="10" customFormat="1" ht="16.5" customHeight="1">
      <c r="B76" s="21" t="s">
        <v>249</v>
      </c>
      <c r="C76" s="20"/>
      <c r="D76" s="21"/>
      <c r="E76" s="20"/>
      <c r="F76" s="20"/>
      <c r="G76" s="20"/>
      <c r="H76" s="20"/>
      <c r="I76" s="2"/>
      <c r="J76" s="20"/>
      <c r="K76" s="20"/>
      <c r="L76" s="20"/>
      <c r="M76" s="20"/>
      <c r="N76" s="20"/>
      <c r="P76" s="20"/>
      <c r="Q76" s="20"/>
      <c r="R76" s="20"/>
      <c r="S76" s="20"/>
      <c r="T76" s="20"/>
      <c r="U76" s="20"/>
      <c r="W76" s="20"/>
      <c r="X76" s="20"/>
      <c r="Y76" s="20"/>
      <c r="Z76" s="148"/>
      <c r="AA76" s="129"/>
      <c r="AB76" s="20"/>
      <c r="AC76" s="20"/>
      <c r="AD76" s="20"/>
      <c r="AE76" s="148"/>
      <c r="AF76" s="32"/>
      <c r="AG76" s="20"/>
      <c r="AH76" s="20"/>
      <c r="AI76" s="20"/>
      <c r="AJ76" s="148"/>
      <c r="AK76" s="32"/>
      <c r="AL76" s="20"/>
      <c r="AM76" s="20"/>
      <c r="AN76" s="20"/>
      <c r="AO76" s="148"/>
      <c r="AP76" s="32"/>
      <c r="AQ76" s="20"/>
      <c r="AR76" s="20"/>
      <c r="AS76" s="20"/>
      <c r="AT76" s="20"/>
      <c r="AU76" s="32"/>
      <c r="AV76" s="20"/>
      <c r="AW76" s="20"/>
      <c r="AX76" s="20"/>
      <c r="AY76" s="20"/>
      <c r="AZ76" s="20"/>
      <c r="BA76" s="20">
        <v>-11611</v>
      </c>
      <c r="BB76" s="20">
        <v>-13392</v>
      </c>
      <c r="BC76" s="20">
        <v>-34094</v>
      </c>
      <c r="BD76" s="20">
        <v>-68994</v>
      </c>
      <c r="BE76" s="20"/>
      <c r="BF76" s="20">
        <v>-104872</v>
      </c>
      <c r="BG76" s="20">
        <v>-159866</v>
      </c>
      <c r="BH76" s="20">
        <v>-183958</v>
      </c>
      <c r="BI76" s="20">
        <v>-428360</v>
      </c>
      <c r="BJ76" s="20"/>
      <c r="BK76" s="20">
        <v>-451090</v>
      </c>
      <c r="BL76" s="20">
        <v>-481582</v>
      </c>
      <c r="BM76" s="20">
        <v>-525164</v>
      </c>
      <c r="BN76" s="133">
        <f>+BM76-'ESF GA separado'!C80</f>
        <v>0</v>
      </c>
      <c r="BO76" s="133">
        <f>+BI76-'ESF GA separado'!D80</f>
        <v>0</v>
      </c>
    </row>
    <row r="77" spans="2:67" s="10" customFormat="1" ht="16.5" customHeight="1">
      <c r="B77" s="21" t="s">
        <v>58</v>
      </c>
      <c r="C77" s="149">
        <v>1143369</v>
      </c>
      <c r="D77" s="21"/>
      <c r="E77" s="149">
        <v>1347062</v>
      </c>
      <c r="F77" s="149">
        <v>1310992</v>
      </c>
      <c r="G77" s="149">
        <v>1442348</v>
      </c>
      <c r="H77" s="149">
        <v>1854084</v>
      </c>
      <c r="I77" s="2"/>
      <c r="J77" s="149">
        <v>1160573</v>
      </c>
      <c r="K77" s="149">
        <f>1517189-1</f>
        <v>1517188</v>
      </c>
      <c r="L77" s="149">
        <f>1797145-1</f>
        <v>1797144</v>
      </c>
      <c r="M77" s="149">
        <v>1694121</v>
      </c>
      <c r="N77" s="149">
        <v>1714197</v>
      </c>
      <c r="P77" s="20">
        <v>1982831</v>
      </c>
      <c r="Q77" s="20">
        <v>1835682</v>
      </c>
      <c r="R77" s="20">
        <v>1700353</v>
      </c>
      <c r="S77" s="20">
        <v>1447059</v>
      </c>
      <c r="T77" s="20">
        <v>1559137</v>
      </c>
      <c r="U77" s="20">
        <v>1559137</v>
      </c>
      <c r="W77" s="20">
        <v>1288659</v>
      </c>
      <c r="X77" s="147">
        <v>1561959</v>
      </c>
      <c r="Y77" s="147">
        <v>1479092</v>
      </c>
      <c r="Z77" s="147">
        <v>1564175</v>
      </c>
      <c r="AA77" s="129"/>
      <c r="AB77" s="20">
        <v>1192509</v>
      </c>
      <c r="AC77" s="147">
        <v>1448037</v>
      </c>
      <c r="AD77" s="147">
        <v>1359357</v>
      </c>
      <c r="AE77" s="147">
        <v>1692653</v>
      </c>
      <c r="AF77" s="32"/>
      <c r="AG77" s="20">
        <v>1717615</v>
      </c>
      <c r="AH77" s="147">
        <v>1678096</v>
      </c>
      <c r="AI77" s="147">
        <v>2066962</v>
      </c>
      <c r="AJ77" s="147">
        <v>1765469</v>
      </c>
      <c r="AK77" s="32"/>
      <c r="AL77" s="20">
        <v>2315053</v>
      </c>
      <c r="AM77" s="147">
        <v>2001434</v>
      </c>
      <c r="AN77" s="147">
        <v>2299687</v>
      </c>
      <c r="AO77" s="147">
        <v>1792605</v>
      </c>
      <c r="AP77" s="32"/>
      <c r="AQ77" s="20">
        <v>2187416</v>
      </c>
      <c r="AR77" s="147">
        <v>2171185</v>
      </c>
      <c r="AS77" s="147">
        <v>2313730</v>
      </c>
      <c r="AT77" s="147">
        <v>3012156</v>
      </c>
      <c r="AU77" s="32"/>
      <c r="AV77" s="147">
        <v>3499288</v>
      </c>
      <c r="AW77" s="147">
        <v>3844267</v>
      </c>
      <c r="AX77" s="147">
        <v>4277029</v>
      </c>
      <c r="AY77" s="147">
        <v>4728224</v>
      </c>
      <c r="AZ77" s="147"/>
      <c r="BA77" s="20">
        <v>4651191</v>
      </c>
      <c r="BB77" s="20">
        <v>3883097</v>
      </c>
      <c r="BC77" s="20">
        <v>3505883</v>
      </c>
      <c r="BD77" s="20">
        <v>2777128</v>
      </c>
      <c r="BE77" s="20"/>
      <c r="BF77" s="20">
        <v>242294</v>
      </c>
      <c r="BG77" s="20">
        <v>767480</v>
      </c>
      <c r="BH77" s="20">
        <v>721320</v>
      </c>
      <c r="BI77" s="20">
        <v>1110895</v>
      </c>
      <c r="BJ77" s="20"/>
      <c r="BK77" s="20">
        <v>896365</v>
      </c>
      <c r="BL77" s="20">
        <v>711798</v>
      </c>
      <c r="BM77" s="20">
        <v>164609</v>
      </c>
      <c r="BN77" s="133">
        <f>+BM77-'ESF GA separado'!C81</f>
        <v>0</v>
      </c>
      <c r="BO77" s="133">
        <f>+BI77-'ESF GA separado'!D81</f>
        <v>0</v>
      </c>
    </row>
    <row r="78" spans="2:67" s="10" customFormat="1" ht="16.5" customHeight="1">
      <c r="B78" s="21" t="s">
        <v>59</v>
      </c>
      <c r="C78" s="20">
        <v>2331912</v>
      </c>
      <c r="D78" s="21"/>
      <c r="E78" s="20">
        <v>2430710</v>
      </c>
      <c r="F78" s="20">
        <v>2430707</v>
      </c>
      <c r="G78" s="20">
        <v>2431796</v>
      </c>
      <c r="H78" s="20">
        <v>2430615</v>
      </c>
      <c r="I78" s="2"/>
      <c r="J78" s="20">
        <v>2543398</v>
      </c>
      <c r="K78" s="20">
        <v>2547385</v>
      </c>
      <c r="L78" s="20">
        <v>2543987</v>
      </c>
      <c r="M78" s="20">
        <f>2452117+154742</f>
        <v>2606859</v>
      </c>
      <c r="N78" s="20">
        <v>2606859</v>
      </c>
      <c r="P78" s="20">
        <v>2743765</v>
      </c>
      <c r="Q78" s="20">
        <v>2743765</v>
      </c>
      <c r="R78" s="20">
        <v>2743764</v>
      </c>
      <c r="S78" s="20">
        <v>2743765</v>
      </c>
      <c r="T78" s="20">
        <v>2743764</v>
      </c>
      <c r="U78" s="20">
        <v>2743764</v>
      </c>
      <c r="W78" s="20">
        <v>2829844</v>
      </c>
      <c r="X78" s="147">
        <v>2829844</v>
      </c>
      <c r="Y78" s="147">
        <v>2829844</v>
      </c>
      <c r="Z78" s="148">
        <v>2829844</v>
      </c>
      <c r="AA78" s="129"/>
      <c r="AB78" s="20">
        <v>2829844</v>
      </c>
      <c r="AC78" s="147">
        <v>3001515</v>
      </c>
      <c r="AD78" s="147">
        <v>3001515</v>
      </c>
      <c r="AE78" s="148">
        <v>3001515</v>
      </c>
      <c r="AF78" s="32"/>
      <c r="AG78" s="20">
        <v>3513161</v>
      </c>
      <c r="AH78" s="147">
        <v>3513162</v>
      </c>
      <c r="AI78" s="147">
        <v>3513161</v>
      </c>
      <c r="AJ78" s="148">
        <v>3513161</v>
      </c>
      <c r="AK78" s="32"/>
      <c r="AL78" s="20">
        <v>3673583</v>
      </c>
      <c r="AM78" s="147">
        <v>3673583</v>
      </c>
      <c r="AN78" s="147">
        <v>3673584</v>
      </c>
      <c r="AO78" s="148">
        <v>3673583</v>
      </c>
      <c r="AP78" s="32"/>
      <c r="AQ78" s="20">
        <v>3339623</v>
      </c>
      <c r="AR78" s="147">
        <v>3339623</v>
      </c>
      <c r="AS78" s="147">
        <v>3339623</v>
      </c>
      <c r="AT78" s="147">
        <v>3339623</v>
      </c>
      <c r="AU78" s="32"/>
      <c r="AV78" s="147">
        <v>3241099</v>
      </c>
      <c r="AW78" s="147">
        <v>3241099</v>
      </c>
      <c r="AX78" s="147">
        <v>3241097</v>
      </c>
      <c r="AY78" s="147">
        <v>3241097</v>
      </c>
      <c r="AZ78" s="147"/>
      <c r="BA78" s="20">
        <v>3093300</v>
      </c>
      <c r="BB78" s="20">
        <v>3093387</v>
      </c>
      <c r="BC78" s="20">
        <v>3094102</v>
      </c>
      <c r="BD78" s="20">
        <v>3094653</v>
      </c>
      <c r="BE78" s="20"/>
      <c r="BF78" s="20">
        <v>3337154</v>
      </c>
      <c r="BG78" s="20">
        <v>3338842</v>
      </c>
      <c r="BH78" s="20">
        <v>3339332</v>
      </c>
      <c r="BI78" s="20">
        <v>3344004</v>
      </c>
      <c r="BJ78" s="20"/>
      <c r="BK78" s="20">
        <v>5299320</v>
      </c>
      <c r="BL78" s="20">
        <v>5300095</v>
      </c>
      <c r="BM78" s="20">
        <v>2739886</v>
      </c>
      <c r="BN78" s="133">
        <f>+BM78-'ESF GA separado'!C82</f>
        <v>0</v>
      </c>
      <c r="BO78" s="133">
        <f>+BI78-'ESF GA separado'!D82</f>
        <v>0</v>
      </c>
    </row>
    <row r="79" spans="2:67" s="10" customFormat="1" ht="16.5" customHeight="1">
      <c r="B79" s="21" t="s">
        <v>60</v>
      </c>
      <c r="C79" s="22">
        <v>0</v>
      </c>
      <c r="D79" s="21"/>
      <c r="E79" s="22">
        <v>0</v>
      </c>
      <c r="F79" s="22">
        <v>0</v>
      </c>
      <c r="G79" s="22">
        <v>0</v>
      </c>
      <c r="H79" s="22">
        <v>0</v>
      </c>
      <c r="I79" s="2"/>
      <c r="J79" s="22">
        <v>0</v>
      </c>
      <c r="K79" s="22">
        <v>0</v>
      </c>
      <c r="L79" s="22">
        <v>0</v>
      </c>
      <c r="M79" s="22">
        <v>130033</v>
      </c>
      <c r="N79" s="22">
        <f>127591+3739+37788</f>
        <v>169118</v>
      </c>
      <c r="P79" s="22">
        <v>0</v>
      </c>
      <c r="Q79" s="22">
        <v>0</v>
      </c>
      <c r="R79" s="22">
        <v>0</v>
      </c>
      <c r="S79" s="22">
        <v>248090</v>
      </c>
      <c r="T79" s="22">
        <f>428834+37788</f>
        <v>466622</v>
      </c>
      <c r="U79" s="22">
        <v>466622</v>
      </c>
      <c r="W79" s="22">
        <v>628793</v>
      </c>
      <c r="X79" s="22">
        <v>599700</v>
      </c>
      <c r="Y79" s="22">
        <v>601328</v>
      </c>
      <c r="Z79" s="148">
        <v>592604</v>
      </c>
      <c r="AA79" s="129"/>
      <c r="AB79" s="22">
        <v>366085</v>
      </c>
      <c r="AC79" s="22">
        <v>379442</v>
      </c>
      <c r="AD79" s="22">
        <v>367883</v>
      </c>
      <c r="AE79" s="147">
        <v>374968</v>
      </c>
      <c r="AF79" s="32"/>
      <c r="AG79" s="22">
        <v>340018</v>
      </c>
      <c r="AH79" s="22">
        <v>338899</v>
      </c>
      <c r="AI79" s="22">
        <v>335143</v>
      </c>
      <c r="AJ79" s="147">
        <v>301188</v>
      </c>
      <c r="AK79" s="32"/>
      <c r="AL79" s="22">
        <v>301095</v>
      </c>
      <c r="AM79" s="22">
        <v>303971</v>
      </c>
      <c r="AN79" s="22">
        <v>305926</v>
      </c>
      <c r="AO79" s="147">
        <v>301186</v>
      </c>
      <c r="AP79" s="32"/>
      <c r="AQ79" s="22">
        <v>301499</v>
      </c>
      <c r="AR79" s="22">
        <v>317308</v>
      </c>
      <c r="AS79" s="22">
        <v>281070</v>
      </c>
      <c r="AT79" s="22">
        <v>275290</v>
      </c>
      <c r="AU79" s="32"/>
      <c r="AV79" s="22">
        <v>274684</v>
      </c>
      <c r="AW79" s="22">
        <v>287187</v>
      </c>
      <c r="AX79" s="22">
        <v>299141</v>
      </c>
      <c r="AY79" s="22">
        <v>300068</v>
      </c>
      <c r="AZ79" s="22"/>
      <c r="BA79" s="22">
        <v>366190</v>
      </c>
      <c r="BB79" s="22">
        <v>387025</v>
      </c>
      <c r="BC79" s="22">
        <v>386580</v>
      </c>
      <c r="BD79" s="22">
        <v>352533</v>
      </c>
      <c r="BE79" s="22"/>
      <c r="BF79" s="22">
        <v>361504</v>
      </c>
      <c r="BG79" s="22">
        <v>477955</v>
      </c>
      <c r="BH79" s="22">
        <v>389877</v>
      </c>
      <c r="BI79" s="22">
        <v>396439</v>
      </c>
      <c r="BJ79" s="22"/>
      <c r="BK79" s="20">
        <v>273310</v>
      </c>
      <c r="BL79" s="20">
        <v>274951</v>
      </c>
      <c r="BM79" s="20">
        <v>300372</v>
      </c>
      <c r="BN79" s="133">
        <f>+BM79-'ESF GA separado'!C83</f>
        <v>0</v>
      </c>
      <c r="BO79" s="133">
        <f>+BI79-'ESF GA separado'!D83</f>
        <v>0</v>
      </c>
    </row>
    <row r="80" spans="2:67" ht="16.5" customHeight="1">
      <c r="B80" s="33" t="s">
        <v>61</v>
      </c>
      <c r="C80" s="20">
        <v>8649149</v>
      </c>
      <c r="D80" s="33"/>
      <c r="E80" s="20">
        <v>8811355</v>
      </c>
      <c r="F80" s="20">
        <v>8811355</v>
      </c>
      <c r="G80" s="20">
        <v>8811355</v>
      </c>
      <c r="H80" s="20">
        <v>8649149</v>
      </c>
      <c r="J80" s="20">
        <v>8811355</v>
      </c>
      <c r="K80" s="20">
        <f>8811355</f>
        <v>8811355</v>
      </c>
      <c r="L80" s="20">
        <f>8811355</f>
        <v>8811355</v>
      </c>
      <c r="M80" s="20">
        <v>8603670</v>
      </c>
      <c r="N80" s="20">
        <f>8703627-37788</f>
        <v>8665839</v>
      </c>
      <c r="P80" s="20">
        <v>8585838</v>
      </c>
      <c r="Q80" s="20">
        <v>8585838</v>
      </c>
      <c r="R80" s="20">
        <v>8752011</v>
      </c>
      <c r="S80" s="20">
        <v>8854990</v>
      </c>
      <c r="T80" s="20">
        <f>8737650+1-37788</f>
        <v>8699863</v>
      </c>
      <c r="U80" s="20">
        <v>8699863</v>
      </c>
      <c r="W80" s="20">
        <v>8699862</v>
      </c>
      <c r="X80" s="22">
        <v>8699863</v>
      </c>
      <c r="Y80" s="22">
        <v>8699863</v>
      </c>
      <c r="Z80" s="129">
        <v>8696987</v>
      </c>
      <c r="AB80" s="20">
        <v>9148034</v>
      </c>
      <c r="AC80" s="22">
        <v>8695192</v>
      </c>
      <c r="AD80" s="22">
        <v>8693237</v>
      </c>
      <c r="AE80" s="22">
        <v>8686431</v>
      </c>
      <c r="AF80" s="32"/>
      <c r="AG80" s="20">
        <v>8686625</v>
      </c>
      <c r="AH80" s="22">
        <v>8702920</v>
      </c>
      <c r="AI80" s="22">
        <v>8702956</v>
      </c>
      <c r="AJ80" s="22">
        <v>8701448</v>
      </c>
      <c r="AK80" s="32"/>
      <c r="AL80" s="20">
        <v>8710802</v>
      </c>
      <c r="AM80" s="22">
        <v>8710838</v>
      </c>
      <c r="AN80" s="22">
        <v>8710874</v>
      </c>
      <c r="AO80" s="22">
        <v>8675833</v>
      </c>
      <c r="AP80" s="32"/>
      <c r="AQ80" s="20">
        <v>8623072</v>
      </c>
      <c r="AR80" s="22">
        <v>8623109</v>
      </c>
      <c r="AS80" s="22">
        <v>8562511</v>
      </c>
      <c r="AT80" s="22">
        <v>8588287</v>
      </c>
      <c r="AU80" s="32"/>
      <c r="AV80" s="22">
        <v>8588356</v>
      </c>
      <c r="AW80" s="22">
        <v>8589044</v>
      </c>
      <c r="AX80" s="22">
        <v>8588829</v>
      </c>
      <c r="AY80" s="22">
        <v>8473522</v>
      </c>
      <c r="AZ80" s="22"/>
      <c r="BA80" s="20">
        <v>8472878</v>
      </c>
      <c r="BB80" s="20">
        <v>8471640</v>
      </c>
      <c r="BC80" s="20">
        <v>8470697</v>
      </c>
      <c r="BD80" s="20">
        <v>8480217</v>
      </c>
      <c r="BE80" s="20"/>
      <c r="BF80" s="20">
        <v>10106080</v>
      </c>
      <c r="BG80" s="20">
        <v>10098044</v>
      </c>
      <c r="BH80" s="20">
        <v>10095904</v>
      </c>
      <c r="BI80" s="20">
        <v>10254655</v>
      </c>
      <c r="BJ80" s="20"/>
      <c r="BK80" s="20">
        <v>10252349</v>
      </c>
      <c r="BL80" s="20">
        <v>10306767</v>
      </c>
      <c r="BM80" s="20">
        <v>4243170</v>
      </c>
      <c r="BN80" s="133">
        <f>+BM80-'ESF GA separado'!C84</f>
        <v>0</v>
      </c>
      <c r="BO80" s="133">
        <f>+BI80-'ESF GA separado'!D84</f>
        <v>0</v>
      </c>
    </row>
    <row r="81" spans="1:69" ht="16.5" customHeight="1">
      <c r="B81" s="21" t="s">
        <v>63</v>
      </c>
      <c r="C81" s="150">
        <v>294950</v>
      </c>
      <c r="D81" s="21"/>
      <c r="E81" s="151">
        <v>-21377</v>
      </c>
      <c r="F81" s="150">
        <v>240678</v>
      </c>
      <c r="G81" s="150">
        <v>263780</v>
      </c>
      <c r="H81" s="150">
        <v>201042</v>
      </c>
      <c r="J81" s="150">
        <v>34639</v>
      </c>
      <c r="K81" s="150">
        <v>139406</v>
      </c>
      <c r="L81" s="150">
        <v>450079</v>
      </c>
      <c r="M81" s="150">
        <v>371801</v>
      </c>
      <c r="N81" s="152">
        <v>395462</v>
      </c>
      <c r="P81" s="150">
        <v>90796</v>
      </c>
      <c r="Q81" s="150">
        <v>136112</v>
      </c>
      <c r="R81" s="150">
        <v>162857</v>
      </c>
      <c r="S81" s="150">
        <v>183343</v>
      </c>
      <c r="T81" s="150">
        <v>351820</v>
      </c>
      <c r="U81" s="150">
        <v>351820</v>
      </c>
      <c r="W81" s="150">
        <v>86971</v>
      </c>
      <c r="X81" s="129">
        <v>148389</v>
      </c>
      <c r="Y81" s="129">
        <v>481542</v>
      </c>
      <c r="Z81" s="129">
        <v>452841</v>
      </c>
      <c r="AB81" s="150">
        <v>480389</v>
      </c>
      <c r="AC81" s="129">
        <v>520336</v>
      </c>
      <c r="AD81" s="129">
        <v>710852</v>
      </c>
      <c r="AE81" s="129">
        <v>811676</v>
      </c>
      <c r="AF81" s="32"/>
      <c r="AG81" s="150">
        <v>172188</v>
      </c>
      <c r="AH81" s="129">
        <v>205717</v>
      </c>
      <c r="AI81" s="129">
        <v>404818</v>
      </c>
      <c r="AJ81" s="129">
        <v>482739</v>
      </c>
      <c r="AK81" s="32"/>
      <c r="AL81" s="152">
        <v>99396</v>
      </c>
      <c r="AM81" s="134">
        <v>43568</v>
      </c>
      <c r="AN81" s="129">
        <v>14863</v>
      </c>
      <c r="AO81" s="129">
        <v>-59123</v>
      </c>
      <c r="AP81" s="32"/>
      <c r="AQ81" s="152">
        <v>118182</v>
      </c>
      <c r="AR81" s="134">
        <v>233059</v>
      </c>
      <c r="AS81" s="134">
        <v>345321</v>
      </c>
      <c r="AT81" s="134">
        <v>336205</v>
      </c>
      <c r="AU81" s="32"/>
      <c r="AV81" s="134">
        <v>171126</v>
      </c>
      <c r="AW81" s="134">
        <v>254143</v>
      </c>
      <c r="AX81" s="134">
        <v>336782</v>
      </c>
      <c r="AY81" s="134">
        <v>345789</v>
      </c>
      <c r="AZ81" s="134"/>
      <c r="BA81" s="152">
        <v>346282</v>
      </c>
      <c r="BB81" s="152">
        <v>703550</v>
      </c>
      <c r="BC81" s="152">
        <v>822039</v>
      </c>
      <c r="BD81" s="152">
        <v>789341</v>
      </c>
      <c r="BE81" s="152"/>
      <c r="BF81" s="152">
        <v>2574852</v>
      </c>
      <c r="BG81" s="152">
        <v>2683212</v>
      </c>
      <c r="BH81" s="152">
        <v>2808151</v>
      </c>
      <c r="BI81" s="152">
        <v>2531987</v>
      </c>
      <c r="BJ81" s="152"/>
      <c r="BK81" s="20">
        <v>1490032</v>
      </c>
      <c r="BL81" s="20">
        <v>1527980</v>
      </c>
      <c r="BM81" s="20">
        <v>4303446</v>
      </c>
      <c r="BN81" s="133">
        <f>+BM81-'ESF GA separado'!C85</f>
        <v>0</v>
      </c>
      <c r="BO81" s="133">
        <f>+BI81-'ESF GA separado'!D85</f>
        <v>0</v>
      </c>
      <c r="BP81" s="34">
        <f>+BM81-'ER GA separado Acum.'!C61</f>
        <v>0</v>
      </c>
      <c r="BQ81" s="34">
        <f>+BH81-'ER GA separado Acum.'!E61</f>
        <v>0</v>
      </c>
    </row>
    <row r="82" spans="1:69" ht="7.5" customHeight="1">
      <c r="B82" s="21"/>
      <c r="C82" s="150"/>
      <c r="D82" s="21"/>
      <c r="E82" s="150"/>
      <c r="F82" s="150"/>
      <c r="G82" s="150"/>
      <c r="H82" s="150"/>
      <c r="J82" s="150"/>
      <c r="K82" s="150"/>
      <c r="L82" s="150"/>
      <c r="M82" s="150"/>
      <c r="N82" s="150"/>
      <c r="P82" s="150"/>
      <c r="Q82" s="150"/>
      <c r="R82" s="150"/>
      <c r="S82" s="150"/>
      <c r="T82" s="150"/>
      <c r="U82" s="150"/>
      <c r="W82" s="150"/>
      <c r="AB82" s="150"/>
      <c r="AF82" s="32"/>
      <c r="AG82" s="150"/>
      <c r="AK82" s="32"/>
      <c r="AL82" s="150"/>
      <c r="AP82" s="32"/>
      <c r="AQ82" s="150"/>
      <c r="AU82" s="32"/>
      <c r="BA82" s="150"/>
      <c r="BB82" s="150"/>
      <c r="BC82" s="150"/>
      <c r="BD82" s="150"/>
      <c r="BE82" s="152"/>
      <c r="BF82" s="150"/>
      <c r="BG82" s="150"/>
      <c r="BH82" s="150"/>
      <c r="BI82" s="150"/>
      <c r="BJ82" s="152"/>
      <c r="BK82" s="150"/>
      <c r="BL82" s="150"/>
      <c r="BM82" s="150"/>
      <c r="BN82" s="133"/>
      <c r="BO82" s="133"/>
    </row>
    <row r="83" spans="1:69" ht="20.25" customHeight="1">
      <c r="B83" s="138" t="s">
        <v>54</v>
      </c>
      <c r="C83" s="139">
        <f>SUM(C74:C81)</f>
        <v>13138349</v>
      </c>
      <c r="D83" s="17"/>
      <c r="E83" s="139">
        <f>SUM(E74:E81)</f>
        <v>13306293</v>
      </c>
      <c r="F83" s="139">
        <f>SUM(F74:F81)</f>
        <v>13542505</v>
      </c>
      <c r="G83" s="139">
        <f>SUM(G74:G81)</f>
        <v>13681450</v>
      </c>
      <c r="H83" s="139">
        <f>SUM(H74:H81)</f>
        <v>13866451</v>
      </c>
      <c r="J83" s="139">
        <f>SUM(J74:J81)</f>
        <v>13291031</v>
      </c>
      <c r="K83" s="139">
        <f>SUM(K74:K81)</f>
        <v>13747522</v>
      </c>
      <c r="L83" s="139">
        <f>SUM(L74:L81)</f>
        <v>14333589</v>
      </c>
      <c r="M83" s="139">
        <f>SUM(M74:M81)</f>
        <v>14138212</v>
      </c>
      <c r="N83" s="139">
        <f>SUM(N74:N81)</f>
        <v>14283203</v>
      </c>
      <c r="P83" s="139">
        <f t="shared" ref="P83:U83" si="11">SUM(P74:P81)</f>
        <v>14134958</v>
      </c>
      <c r="Q83" s="139">
        <f t="shared" si="11"/>
        <v>14033125</v>
      </c>
      <c r="R83" s="139">
        <f t="shared" si="11"/>
        <v>14090713</v>
      </c>
      <c r="S83" s="139">
        <f t="shared" si="11"/>
        <v>14208975</v>
      </c>
      <c r="T83" s="139">
        <f t="shared" si="11"/>
        <v>15229898</v>
      </c>
      <c r="U83" s="139">
        <f t="shared" si="11"/>
        <v>15229898</v>
      </c>
      <c r="W83" s="139">
        <f>SUM(W74:W81)</f>
        <v>14942821</v>
      </c>
      <c r="X83" s="139">
        <f>SUM(X74:X81)</f>
        <v>15248447</v>
      </c>
      <c r="Y83" s="139">
        <f>SUM(Y74:Y81)</f>
        <v>15500361</v>
      </c>
      <c r="Z83" s="139">
        <f>SUM(Z74:Z81)</f>
        <v>15545143</v>
      </c>
      <c r="AB83" s="139">
        <f>SUM(AB74:AB81)</f>
        <v>15425553</v>
      </c>
      <c r="AC83" s="139">
        <f>SUM(AC74:AC81)</f>
        <v>15453214</v>
      </c>
      <c r="AD83" s="139">
        <f>SUM(AD74:AD81)</f>
        <v>15541536</v>
      </c>
      <c r="AE83" s="139">
        <f>SUM(AE74:AE81)</f>
        <v>15975935</v>
      </c>
      <c r="AF83" s="32"/>
      <c r="AG83" s="139">
        <f>SUM(AG74:AG81)</f>
        <v>15838299</v>
      </c>
      <c r="AH83" s="139">
        <f>SUM(AH74:AH81)</f>
        <v>15847486</v>
      </c>
      <c r="AI83" s="139">
        <f>SUM(AI74:AI81)</f>
        <v>16431732</v>
      </c>
      <c r="AJ83" s="139">
        <f>SUM(AJ74:AJ81)</f>
        <v>16172697</v>
      </c>
      <c r="AK83" s="32"/>
      <c r="AL83" s="139">
        <f>SUM(AL74:AL81)</f>
        <v>16508621</v>
      </c>
      <c r="AM83" s="139">
        <f>SUM(AM74:AM81)</f>
        <v>16142086</v>
      </c>
      <c r="AN83" s="139">
        <f>SUM(AN74:AN81)</f>
        <v>16413626</v>
      </c>
      <c r="AO83" s="139">
        <f>SUM(AO74:AO81)</f>
        <v>15792776</v>
      </c>
      <c r="AP83" s="32"/>
      <c r="AQ83" s="139">
        <f>SUM(AQ74:AQ81)</f>
        <v>15978484</v>
      </c>
      <c r="AR83" s="139">
        <f>SUM(AR74:AR81)</f>
        <v>16242354</v>
      </c>
      <c r="AS83" s="139">
        <f>SUM(AS74:AS81)</f>
        <v>16400325</v>
      </c>
      <c r="AT83" s="139">
        <f>SUM(AT74:AT81)</f>
        <v>17109631</v>
      </c>
      <c r="AU83" s="32"/>
      <c r="AV83" s="139">
        <f>SUM(AV74:AV81)</f>
        <v>17332623</v>
      </c>
      <c r="AW83" s="139">
        <f>SUM(AW74:AW81)</f>
        <v>17773810</v>
      </c>
      <c r="AX83" s="139">
        <f>SUM(AX74:AX81)</f>
        <v>18300948</v>
      </c>
      <c r="AY83" s="139">
        <f>SUM(AY74:AY81)</f>
        <v>18646770</v>
      </c>
      <c r="AZ83" s="18"/>
      <c r="BA83" s="139">
        <f>SUM(BA74:BA81)</f>
        <v>18476300</v>
      </c>
      <c r="BB83" s="139">
        <f>SUM(BB74:BB81)</f>
        <v>18083377</v>
      </c>
      <c r="BC83" s="139">
        <f>SUM(BC74:BC81)</f>
        <v>17803277</v>
      </c>
      <c r="BD83" s="139">
        <f>SUM(BD74:BD81)</f>
        <v>16982948</v>
      </c>
      <c r="BE83" s="18"/>
      <c r="BF83" s="139">
        <f>SUM(BF74:BF81)</f>
        <v>18075082</v>
      </c>
      <c r="BG83" s="139">
        <f>SUM(BG74:BG81)</f>
        <v>18763737</v>
      </c>
      <c r="BH83" s="139">
        <f>SUM(BH74:BH81)</f>
        <v>18728696</v>
      </c>
      <c r="BI83" s="139">
        <f>SUM(BI74:BI81)</f>
        <v>18767690</v>
      </c>
      <c r="BJ83" s="18"/>
      <c r="BK83" s="139">
        <f>SUM(BK74:BK81)</f>
        <v>19318356</v>
      </c>
      <c r="BL83" s="139">
        <f>SUM(BL74:BL81)</f>
        <v>19198079</v>
      </c>
      <c r="BM83" s="139">
        <f>SUM(BM74:BM81)</f>
        <v>11281253</v>
      </c>
      <c r="BN83" s="133">
        <f>+BM83-'ESF GA separado'!C87</f>
        <v>0</v>
      </c>
      <c r="BO83" s="133">
        <f>+BI83-'ESF GA separado'!D87</f>
        <v>0</v>
      </c>
    </row>
    <row r="84" spans="1:69" ht="11.25" customHeight="1">
      <c r="B84" s="21"/>
      <c r="C84" s="20"/>
      <c r="D84" s="21"/>
      <c r="E84" s="20"/>
      <c r="F84" s="20"/>
      <c r="G84" s="20"/>
      <c r="H84" s="20"/>
      <c r="J84" s="20"/>
      <c r="K84" s="20"/>
      <c r="L84" s="20"/>
      <c r="M84" s="20"/>
      <c r="N84" s="20"/>
      <c r="P84" s="20"/>
      <c r="Q84" s="20"/>
      <c r="R84" s="20"/>
      <c r="S84" s="20"/>
    </row>
    <row r="85" spans="1:69" ht="13">
      <c r="B85" s="2" t="s">
        <v>66</v>
      </c>
      <c r="C85" s="10"/>
      <c r="BL85" s="217">
        <f>+'ESF GA Consol Q'!BN95</f>
        <v>4069.67</v>
      </c>
      <c r="BM85" s="217">
        <f>+'ESF GA Consol Q'!BO95</f>
        <v>3901.29</v>
      </c>
    </row>
    <row r="86" spans="1:69" ht="21" customHeight="1">
      <c r="C86" s="10"/>
      <c r="E86" s="20"/>
    </row>
    <row r="87" spans="1:69">
      <c r="B87" s="153"/>
      <c r="C87" s="153">
        <f>+C35-C66-C69</f>
        <v>0</v>
      </c>
      <c r="D87" s="135"/>
      <c r="E87" s="153">
        <f t="shared" ref="E87:H88" si="12">+E35-E66-E69</f>
        <v>0</v>
      </c>
      <c r="F87" s="153">
        <f t="shared" si="12"/>
        <v>0</v>
      </c>
      <c r="G87" s="153">
        <f t="shared" si="12"/>
        <v>0</v>
      </c>
      <c r="H87" s="153">
        <f t="shared" si="12"/>
        <v>0</v>
      </c>
      <c r="I87" s="153"/>
      <c r="J87" s="153">
        <f t="shared" ref="J87:N88" si="13">+J35-J66-J69</f>
        <v>0</v>
      </c>
      <c r="K87" s="153">
        <f t="shared" si="13"/>
        <v>0</v>
      </c>
      <c r="L87" s="153">
        <f t="shared" si="13"/>
        <v>0</v>
      </c>
      <c r="M87" s="153">
        <f t="shared" si="13"/>
        <v>0</v>
      </c>
      <c r="N87" s="153">
        <f t="shared" si="13"/>
        <v>0</v>
      </c>
      <c r="O87" s="153"/>
      <c r="P87" s="153">
        <f t="shared" ref="P87:U88" si="14">+P35-P66-P69</f>
        <v>0</v>
      </c>
      <c r="Q87" s="153">
        <f t="shared" si="14"/>
        <v>0</v>
      </c>
      <c r="R87" s="153">
        <f t="shared" si="14"/>
        <v>0</v>
      </c>
      <c r="S87" s="153">
        <f t="shared" si="14"/>
        <v>0</v>
      </c>
      <c r="T87" s="153">
        <f t="shared" si="14"/>
        <v>0</v>
      </c>
      <c r="U87" s="153">
        <f t="shared" si="14"/>
        <v>0</v>
      </c>
      <c r="W87" s="153">
        <f t="shared" ref="W87:Z88" si="15">+W35-W66-W69</f>
        <v>0</v>
      </c>
      <c r="X87" s="153">
        <f t="shared" si="15"/>
        <v>0</v>
      </c>
      <c r="Y87" s="153">
        <f t="shared" si="15"/>
        <v>0</v>
      </c>
      <c r="Z87" s="153">
        <f t="shared" si="15"/>
        <v>0</v>
      </c>
      <c r="AB87" s="153">
        <f t="shared" ref="AB87:AE88" si="16">+AB35-AB66-AB69</f>
        <v>0</v>
      </c>
      <c r="AC87" s="153">
        <f t="shared" si="16"/>
        <v>0</v>
      </c>
      <c r="AD87" s="153">
        <f t="shared" si="16"/>
        <v>0</v>
      </c>
      <c r="AE87" s="153">
        <f t="shared" si="16"/>
        <v>0</v>
      </c>
      <c r="AG87" s="153">
        <f t="shared" ref="AG87:AJ88" si="17">+AG35-AG66-AG69</f>
        <v>0</v>
      </c>
      <c r="AH87" s="153">
        <f t="shared" si="17"/>
        <v>0</v>
      </c>
      <c r="AI87" s="153">
        <f t="shared" si="17"/>
        <v>0</v>
      </c>
      <c r="AJ87" s="153">
        <f t="shared" si="17"/>
        <v>0</v>
      </c>
      <c r="AL87" s="153">
        <f t="shared" ref="AL87:AO88" si="18">+AL35-AL66-AL69</f>
        <v>0</v>
      </c>
      <c r="AM87" s="153">
        <f t="shared" si="18"/>
        <v>0</v>
      </c>
      <c r="AN87" s="153">
        <f t="shared" si="18"/>
        <v>0</v>
      </c>
      <c r="AO87" s="153">
        <f t="shared" si="18"/>
        <v>0</v>
      </c>
      <c r="AQ87" s="153">
        <f t="shared" ref="AQ87:AT88" si="19">+AQ35-AQ66-AQ69</f>
        <v>0</v>
      </c>
      <c r="AR87" s="153">
        <f t="shared" si="19"/>
        <v>0</v>
      </c>
      <c r="AS87" s="153">
        <f t="shared" si="19"/>
        <v>0</v>
      </c>
      <c r="AT87" s="153">
        <f t="shared" si="19"/>
        <v>0</v>
      </c>
      <c r="AV87" s="153">
        <f>+AV35-AV66-AV69</f>
        <v>0</v>
      </c>
      <c r="AW87" s="153">
        <f t="shared" ref="AW87:AX88" si="20">+AW35-AW66-AW69</f>
        <v>0</v>
      </c>
      <c r="AX87" s="153">
        <f t="shared" si="20"/>
        <v>0</v>
      </c>
      <c r="AY87" s="153">
        <f t="shared" ref="AY87:BA87" si="21">+AY35-AY66-AY69</f>
        <v>0</v>
      </c>
      <c r="AZ87" s="135"/>
      <c r="BA87" s="153">
        <f t="shared" si="21"/>
        <v>0</v>
      </c>
      <c r="BB87" s="153">
        <f>+BB35-BB66-BB69</f>
        <v>0</v>
      </c>
      <c r="BC87" s="153">
        <f t="shared" ref="BC87:BD88" si="22">+BC35-BC66-BC69</f>
        <v>0</v>
      </c>
      <c r="BD87" s="153">
        <f t="shared" si="22"/>
        <v>0</v>
      </c>
      <c r="BE87" s="135"/>
      <c r="BF87" s="153">
        <f t="shared" ref="BF87:BG87" si="23">+BF35-BF66-BF69</f>
        <v>0</v>
      </c>
      <c r="BG87" s="153">
        <f t="shared" si="23"/>
        <v>0</v>
      </c>
      <c r="BH87" s="153">
        <f t="shared" ref="BH87:BI87" si="24">+BH35-BH66-BH69</f>
        <v>0</v>
      </c>
      <c r="BI87" s="153">
        <f t="shared" si="24"/>
        <v>0</v>
      </c>
      <c r="BJ87" s="135"/>
      <c r="BK87" s="153">
        <f t="shared" ref="BK87:BL88" si="25">+BK35-BK66-BK69</f>
        <v>0</v>
      </c>
      <c r="BL87" s="153">
        <f t="shared" si="25"/>
        <v>0</v>
      </c>
      <c r="BM87" s="153">
        <f t="shared" ref="BM87" si="26">+BM35-BM66-BM69</f>
        <v>0</v>
      </c>
    </row>
    <row r="88" spans="1:69" ht="16.5" customHeight="1">
      <c r="C88" s="153">
        <f>+C36-C67-C70</f>
        <v>0</v>
      </c>
      <c r="E88" s="153">
        <f t="shared" si="12"/>
        <v>0</v>
      </c>
      <c r="F88" s="153">
        <f t="shared" si="12"/>
        <v>0</v>
      </c>
      <c r="G88" s="153">
        <f t="shared" si="12"/>
        <v>0</v>
      </c>
      <c r="H88" s="153">
        <f t="shared" si="12"/>
        <v>0</v>
      </c>
      <c r="I88" s="153"/>
      <c r="J88" s="153">
        <f t="shared" si="13"/>
        <v>0</v>
      </c>
      <c r="K88" s="153">
        <f t="shared" si="13"/>
        <v>0</v>
      </c>
      <c r="L88" s="153">
        <f t="shared" si="13"/>
        <v>0</v>
      </c>
      <c r="M88" s="153">
        <f t="shared" si="13"/>
        <v>0</v>
      </c>
      <c r="N88" s="153">
        <f t="shared" si="13"/>
        <v>0</v>
      </c>
      <c r="P88" s="153">
        <f t="shared" si="14"/>
        <v>0</v>
      </c>
      <c r="Q88" s="153">
        <f t="shared" si="14"/>
        <v>0</v>
      </c>
      <c r="R88" s="153">
        <f t="shared" si="14"/>
        <v>0</v>
      </c>
      <c r="S88" s="153">
        <f t="shared" si="14"/>
        <v>0</v>
      </c>
      <c r="T88" s="153">
        <f t="shared" si="14"/>
        <v>0</v>
      </c>
      <c r="U88" s="153">
        <f t="shared" si="14"/>
        <v>0</v>
      </c>
      <c r="W88" s="153">
        <f t="shared" si="15"/>
        <v>0</v>
      </c>
      <c r="X88" s="153">
        <f t="shared" si="15"/>
        <v>0</v>
      </c>
      <c r="Y88" s="153">
        <f t="shared" si="15"/>
        <v>0</v>
      </c>
      <c r="Z88" s="153">
        <f t="shared" si="15"/>
        <v>0</v>
      </c>
      <c r="AB88" s="153">
        <f t="shared" si="16"/>
        <v>0</v>
      </c>
      <c r="AC88" s="153">
        <f t="shared" si="16"/>
        <v>0</v>
      </c>
      <c r="AD88" s="153">
        <f t="shared" si="16"/>
        <v>0</v>
      </c>
      <c r="AE88" s="153">
        <f t="shared" si="16"/>
        <v>0</v>
      </c>
      <c r="AG88" s="153">
        <f t="shared" si="17"/>
        <v>0</v>
      </c>
      <c r="AH88" s="153">
        <f t="shared" si="17"/>
        <v>0</v>
      </c>
      <c r="AI88" s="153">
        <f t="shared" si="17"/>
        <v>0</v>
      </c>
      <c r="AJ88" s="153">
        <f t="shared" si="17"/>
        <v>0</v>
      </c>
      <c r="AL88" s="153">
        <f t="shared" si="18"/>
        <v>0</v>
      </c>
      <c r="AM88" s="153">
        <f t="shared" si="18"/>
        <v>0</v>
      </c>
      <c r="AN88" s="153">
        <f t="shared" si="18"/>
        <v>0</v>
      </c>
      <c r="AO88" s="153">
        <f t="shared" si="18"/>
        <v>0</v>
      </c>
      <c r="AQ88" s="153">
        <f t="shared" si="19"/>
        <v>0</v>
      </c>
      <c r="AR88" s="153">
        <f t="shared" si="19"/>
        <v>0</v>
      </c>
      <c r="AS88" s="153">
        <f t="shared" si="19"/>
        <v>0</v>
      </c>
      <c r="AT88" s="153">
        <f t="shared" si="19"/>
        <v>0</v>
      </c>
      <c r="AV88" s="153">
        <f>+AV36-AV67-AV70</f>
        <v>0</v>
      </c>
      <c r="AW88" s="153">
        <f t="shared" si="20"/>
        <v>0</v>
      </c>
      <c r="AX88" s="153">
        <f t="shared" si="20"/>
        <v>0</v>
      </c>
      <c r="AY88" s="153">
        <f t="shared" ref="AY88:BB88" si="27">+AY36-AY67-AY70</f>
        <v>0</v>
      </c>
      <c r="AZ88" s="135"/>
      <c r="BA88" s="153">
        <f t="shared" si="27"/>
        <v>0</v>
      </c>
      <c r="BB88" s="153">
        <f t="shared" si="27"/>
        <v>0</v>
      </c>
      <c r="BC88" s="153">
        <f t="shared" si="22"/>
        <v>0</v>
      </c>
      <c r="BD88" s="153">
        <f t="shared" si="22"/>
        <v>0</v>
      </c>
      <c r="BE88" s="135"/>
      <c r="BF88" s="153">
        <f t="shared" ref="BF88:BG88" si="28">+BF36-BF67-BF70</f>
        <v>0</v>
      </c>
      <c r="BG88" s="153">
        <f t="shared" si="28"/>
        <v>0</v>
      </c>
      <c r="BH88" s="153">
        <f t="shared" ref="BH88:BI88" si="29">+BH36-BH67-BH70</f>
        <v>0</v>
      </c>
      <c r="BI88" s="153">
        <f t="shared" si="29"/>
        <v>0</v>
      </c>
      <c r="BJ88" s="135"/>
      <c r="BK88" s="153">
        <f t="shared" si="25"/>
        <v>0</v>
      </c>
      <c r="BL88" s="153">
        <f t="shared" si="25"/>
        <v>0</v>
      </c>
      <c r="BM88" s="153">
        <f t="shared" ref="BM88" si="30">+BM36-BM67-BM70</f>
        <v>0</v>
      </c>
    </row>
    <row r="89" spans="1:69" ht="16.5" customHeight="1">
      <c r="A89" s="153"/>
      <c r="B89" s="153"/>
      <c r="C89" s="153"/>
      <c r="D89" s="135"/>
      <c r="E89" s="153"/>
      <c r="F89" s="153"/>
      <c r="G89" s="153"/>
      <c r="H89" s="153"/>
      <c r="I89" s="153"/>
      <c r="J89" s="153"/>
      <c r="K89" s="153"/>
      <c r="L89" s="153"/>
      <c r="M89" s="153"/>
      <c r="N89" s="153"/>
    </row>
    <row r="90" spans="1:69" ht="16.5" customHeight="1"/>
    <row r="91" spans="1:69" ht="16.5" customHeight="1"/>
    <row r="92" spans="1:69" ht="14.25" customHeight="1"/>
    <row r="93" spans="1:69" ht="16.5" customHeight="1"/>
    <row r="94" spans="1:69" ht="3.75" customHeight="1"/>
    <row r="95" spans="1:69" ht="16.5" customHeight="1"/>
    <row r="97" spans="2:8" ht="14.25" customHeight="1">
      <c r="B97" s="1197"/>
      <c r="C97" s="1197"/>
      <c r="D97" s="1197"/>
      <c r="E97" s="1197"/>
      <c r="F97" s="1197"/>
      <c r="G97" s="2"/>
      <c r="H97" s="2"/>
    </row>
    <row r="101" spans="2:8" ht="14.5">
      <c r="B101" s="45"/>
      <c r="C101" s="45"/>
      <c r="D101" s="45"/>
      <c r="E101" s="46"/>
      <c r="F101" s="46"/>
      <c r="G101" s="46"/>
      <c r="H101" s="46"/>
    </row>
    <row r="102" spans="2:8" ht="14.5">
      <c r="B102" s="47"/>
      <c r="C102" s="47"/>
      <c r="D102" s="47"/>
      <c r="E102" s="154"/>
      <c r="F102" s="155"/>
      <c r="G102" s="155"/>
      <c r="H102" s="155"/>
    </row>
    <row r="103" spans="2:8" ht="14.5">
      <c r="B103" s="47"/>
      <c r="C103" s="47"/>
      <c r="D103" s="47"/>
      <c r="E103" s="46"/>
      <c r="F103" s="48"/>
      <c r="G103" s="48"/>
      <c r="H103" s="48"/>
    </row>
    <row r="104" spans="2:8" ht="14.5">
      <c r="B104" s="47"/>
      <c r="C104" s="47"/>
      <c r="D104" s="47"/>
      <c r="E104" s="46"/>
      <c r="F104" s="48"/>
      <c r="G104" s="48"/>
      <c r="H104" s="48"/>
    </row>
    <row r="105" spans="2:8" ht="14.5">
      <c r="B105" s="47"/>
      <c r="C105" s="47"/>
      <c r="D105" s="47"/>
      <c r="E105" s="46"/>
      <c r="F105" s="48"/>
      <c r="G105" s="48"/>
      <c r="H105" s="48"/>
    </row>
    <row r="106" spans="2:8" ht="14.5">
      <c r="B106" s="47"/>
      <c r="C106" s="47"/>
      <c r="D106" s="47"/>
      <c r="E106" s="46"/>
      <c r="F106" s="48"/>
      <c r="G106" s="48"/>
      <c r="H106" s="48"/>
    </row>
    <row r="107" spans="2:8" ht="14.5">
      <c r="B107" s="47"/>
      <c r="C107" s="47"/>
      <c r="D107" s="47"/>
      <c r="E107" s="46"/>
      <c r="F107" s="48"/>
      <c r="G107" s="48"/>
      <c r="H107" s="48"/>
    </row>
    <row r="108" spans="2:8" ht="14.5">
      <c r="B108" s="47"/>
      <c r="C108" s="47"/>
      <c r="D108" s="47"/>
      <c r="E108" s="46"/>
      <c r="F108" s="48"/>
      <c r="G108" s="48"/>
      <c r="H108" s="48"/>
    </row>
    <row r="109" spans="2:8" ht="14.5">
      <c r="B109" s="47"/>
      <c r="C109" s="47"/>
      <c r="D109" s="47"/>
      <c r="E109" s="46"/>
      <c r="F109" s="48"/>
      <c r="G109" s="48"/>
      <c r="H109" s="48"/>
    </row>
    <row r="110" spans="2:8" ht="14.5">
      <c r="B110" s="47"/>
      <c r="C110" s="47"/>
      <c r="D110" s="47"/>
      <c r="E110" s="46"/>
      <c r="F110" s="48"/>
      <c r="G110" s="48"/>
      <c r="H110" s="48"/>
    </row>
    <row r="111" spans="2:8" ht="14.5">
      <c r="B111" s="45"/>
      <c r="C111" s="45"/>
      <c r="D111" s="45"/>
      <c r="E111" s="49"/>
      <c r="F111" s="49"/>
      <c r="G111" s="49"/>
      <c r="H111" s="49"/>
    </row>
  </sheetData>
  <mergeCells count="16">
    <mergeCell ref="BF6:BI6"/>
    <mergeCell ref="BA6:BD6"/>
    <mergeCell ref="AQ6:AT6"/>
    <mergeCell ref="AV6:AX6"/>
    <mergeCell ref="BK6:BM6"/>
    <mergeCell ref="B97:F97"/>
    <mergeCell ref="W6:Z6"/>
    <mergeCell ref="AB6:AE6"/>
    <mergeCell ref="AG6:AJ6"/>
    <mergeCell ref="AL6:AO6"/>
    <mergeCell ref="P6:U6"/>
    <mergeCell ref="B1:K1"/>
    <mergeCell ref="B2:K2"/>
    <mergeCell ref="B3:K3"/>
    <mergeCell ref="E6:H6"/>
    <mergeCell ref="J6:N6"/>
  </mergeCells>
  <pageMargins left="0.7" right="0.7" top="0.75" bottom="0.75" header="0.3" footer="0.3"/>
  <customProperties>
    <customPr name="EpmWorksheetKeyString_GUID" r:id="rId1"/>
  </customProperties>
  <ignoredErrors>
    <ignoredError sqref="BA6 BF6 BK6" numberStoredAsText="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6D56D-2147-41A1-9DC8-BDA1FE3E9D97}">
  <sheetPr codeName="Hoja1"/>
  <dimension ref="B1:BU79"/>
  <sheetViews>
    <sheetView showGridLines="0" zoomScale="88" zoomScaleNormal="88" workbookViewId="0">
      <pane xSplit="2" ySplit="9" topLeftCell="C56" activePane="bottomRight" state="frozen"/>
      <selection pane="topRight" activeCell="C1" sqref="C1"/>
      <selection pane="bottomLeft" activeCell="A10" sqref="A10"/>
      <selection pane="bottomRight" activeCell="BU57" sqref="BU57"/>
    </sheetView>
  </sheetViews>
  <sheetFormatPr baseColWidth="10" defaultColWidth="13" defaultRowHeight="14.5"/>
  <cols>
    <col min="1" max="1" width="2.26953125" style="51" customWidth="1"/>
    <col min="2" max="2" width="49.7265625" style="51" customWidth="1"/>
    <col min="3" max="3" width="9.54296875" style="51" hidden="1" customWidth="1"/>
    <col min="4" max="4" width="8.7265625" style="51" hidden="1" customWidth="1"/>
    <col min="5" max="6" width="8.54296875" style="51" hidden="1" customWidth="1"/>
    <col min="7" max="7" width="1.26953125" style="51" hidden="1" customWidth="1"/>
    <col min="8" max="11" width="8.54296875" style="51" hidden="1" customWidth="1"/>
    <col min="12" max="12" width="11.7265625" style="51" hidden="1" customWidth="1"/>
    <col min="13" max="13" width="1.26953125" style="51" hidden="1" customWidth="1"/>
    <col min="14" max="14" width="8.54296875" style="51" hidden="1" customWidth="1"/>
    <col min="15" max="15" width="12.453125" style="51" hidden="1" customWidth="1"/>
    <col min="16" max="16" width="8.54296875" style="51" hidden="1" customWidth="1"/>
    <col min="17" max="17" width="12.26953125" style="51" hidden="1" customWidth="1"/>
    <col min="18" max="18" width="8.54296875" style="51" hidden="1" customWidth="1"/>
    <col min="19" max="19" width="12.453125" style="51" hidden="1" customWidth="1"/>
    <col min="20" max="20" width="8.54296875" style="51" hidden="1" customWidth="1"/>
    <col min="21" max="21" width="0" style="51" hidden="1" customWidth="1"/>
    <col min="22" max="22" width="1.54296875" style="51" hidden="1" customWidth="1"/>
    <col min="23" max="24" width="8.54296875" style="51" hidden="1" customWidth="1"/>
    <col min="25" max="26" width="8.7265625" style="51" hidden="1" customWidth="1"/>
    <col min="27" max="28" width="8.54296875" style="156" hidden="1" customWidth="1"/>
    <col min="29" max="29" width="8.54296875" style="51" hidden="1" customWidth="1"/>
    <col min="30" max="30" width="4.81640625" style="51" hidden="1" customWidth="1"/>
    <col min="31" max="31" width="8.54296875" style="51" hidden="1" customWidth="1"/>
    <col min="32" max="32" width="8.7265625" style="51" hidden="1" customWidth="1"/>
    <col min="33" max="33" width="8.54296875" style="156" hidden="1" customWidth="1"/>
    <col min="34" max="34" width="8.54296875" style="51" hidden="1" customWidth="1"/>
    <col min="35" max="35" width="4.453125" style="51" hidden="1" customWidth="1"/>
    <col min="36" max="36" width="8.54296875" style="51" hidden="1" customWidth="1"/>
    <col min="37" max="37" width="8.7265625" style="51" hidden="1" customWidth="1"/>
    <col min="38" max="38" width="8.54296875" style="156" hidden="1" customWidth="1"/>
    <col min="39" max="39" width="8.54296875" style="51" hidden="1" customWidth="1"/>
    <col min="40" max="40" width="4.453125" style="51" hidden="1" customWidth="1"/>
    <col min="41" max="41" width="8.54296875" style="51" hidden="1" customWidth="1"/>
    <col min="42" max="42" width="8.7265625" style="51" hidden="1" customWidth="1"/>
    <col min="43" max="43" width="8.54296875" style="156" hidden="1" customWidth="1"/>
    <col min="44" max="44" width="10.1796875" style="51" hidden="1" customWidth="1"/>
    <col min="45" max="45" width="4.453125" style="51" hidden="1" customWidth="1"/>
    <col min="46" max="49" width="10.1796875" style="51" hidden="1" customWidth="1"/>
    <col min="50" max="50" width="4.453125" style="51" hidden="1" customWidth="1"/>
    <col min="51" max="54" width="10.1796875" style="51" hidden="1" customWidth="1"/>
    <col min="55" max="55" width="4.453125" style="51" hidden="1" customWidth="1"/>
    <col min="56" max="59" width="10.1796875" style="51" hidden="1" customWidth="1"/>
    <col min="60" max="60" width="1.36328125" style="51" hidden="1" customWidth="1"/>
    <col min="61" max="61" width="10.1796875" style="51" hidden="1" customWidth="1"/>
    <col min="62" max="62" width="10.1796875" style="51" customWidth="1"/>
    <col min="63" max="63" width="8.6328125" style="51" hidden="1" customWidth="1"/>
    <col min="64" max="64" width="10.1796875" style="51" customWidth="1"/>
    <col min="65" max="65" width="10.1796875" style="51" hidden="1" customWidth="1"/>
    <col min="66" max="66" width="10.1796875" style="51" customWidth="1"/>
    <col min="67" max="67" width="10.1796875" style="51" hidden="1" customWidth="1"/>
    <col min="68" max="68" width="1.26953125" style="51" customWidth="1"/>
    <col min="69" max="71" width="10.1796875" style="51" customWidth="1"/>
    <col min="72" max="16384" width="13" style="51"/>
  </cols>
  <sheetData>
    <row r="1" spans="2:73" ht="16.5" customHeight="1">
      <c r="B1" s="1201" t="s">
        <v>0</v>
      </c>
      <c r="C1" s="1201"/>
      <c r="D1" s="1201"/>
      <c r="E1" s="1201"/>
      <c r="F1" s="1201"/>
      <c r="G1" s="1201"/>
      <c r="H1" s="1201"/>
      <c r="I1" s="1201"/>
    </row>
    <row r="2" spans="2:73">
      <c r="B2" s="1201" t="s">
        <v>191</v>
      </c>
      <c r="C2" s="1201"/>
      <c r="D2" s="1201"/>
      <c r="E2" s="1201"/>
      <c r="F2" s="1201"/>
      <c r="G2" s="1201"/>
      <c r="H2" s="1201"/>
      <c r="I2" s="1201"/>
    </row>
    <row r="3" spans="2:73" ht="12.75" customHeight="1">
      <c r="B3" s="1217" t="s">
        <v>192</v>
      </c>
      <c r="C3" s="1217"/>
      <c r="D3" s="1217"/>
      <c r="E3" s="1217"/>
      <c r="F3" s="1217"/>
      <c r="G3" s="1217"/>
      <c r="H3" s="1217"/>
      <c r="I3" s="1217"/>
    </row>
    <row r="4" spans="2:73" ht="12.75" customHeight="1">
      <c r="B4" s="53"/>
      <c r="C4" s="53"/>
      <c r="D4" s="53"/>
      <c r="E4" s="53"/>
      <c r="F4" s="53"/>
    </row>
    <row r="5" spans="2:73" ht="12.75" customHeight="1" thickBot="1">
      <c r="B5" s="53"/>
      <c r="C5" s="53"/>
      <c r="D5" s="53"/>
      <c r="E5" s="53"/>
      <c r="F5" s="53"/>
      <c r="Z5" s="156"/>
      <c r="AF5" s="156"/>
      <c r="AK5" s="156"/>
      <c r="AP5" s="156"/>
      <c r="BI5" s="2"/>
      <c r="BJ5" s="2"/>
      <c r="BK5" s="2"/>
      <c r="BL5" s="2"/>
      <c r="BM5" s="2"/>
      <c r="BN5" s="2"/>
      <c r="BO5" s="2"/>
      <c r="BP5" s="2"/>
      <c r="BQ5" s="2"/>
      <c r="BR5" s="2"/>
      <c r="BS5" s="2"/>
    </row>
    <row r="6" spans="2:73" ht="23.25" customHeight="1" thickTop="1" thickBot="1">
      <c r="B6" s="53"/>
      <c r="C6" s="1218" t="s">
        <v>3</v>
      </c>
      <c r="D6" s="1219"/>
      <c r="E6" s="1219"/>
      <c r="F6" s="1220"/>
      <c r="G6" s="2"/>
      <c r="H6" s="1218" t="s">
        <v>4</v>
      </c>
      <c r="I6" s="1219"/>
      <c r="J6" s="1219"/>
      <c r="K6" s="1219"/>
      <c r="L6" s="1220"/>
      <c r="N6" s="1221" t="s">
        <v>5</v>
      </c>
      <c r="O6" s="1222"/>
      <c r="P6" s="1222"/>
      <c r="Q6" s="1222"/>
      <c r="R6" s="1222"/>
      <c r="S6" s="1222"/>
      <c r="T6" s="1222"/>
      <c r="U6" s="1223"/>
      <c r="W6" s="1211" t="s">
        <v>6</v>
      </c>
      <c r="X6" s="1212"/>
      <c r="Y6" s="1212"/>
      <c r="Z6" s="1212"/>
      <c r="AA6" s="1212"/>
      <c r="AB6" s="1212"/>
      <c r="AC6" s="1213"/>
      <c r="AE6" s="1211" t="s">
        <v>7</v>
      </c>
      <c r="AF6" s="1212"/>
      <c r="AG6" s="1212"/>
      <c r="AH6" s="1213"/>
      <c r="AJ6" s="1211" t="s">
        <v>8</v>
      </c>
      <c r="AK6" s="1212"/>
      <c r="AL6" s="1212"/>
      <c r="AM6" s="1213"/>
      <c r="AO6" s="1211" t="s">
        <v>71</v>
      </c>
      <c r="AP6" s="1212"/>
      <c r="AQ6" s="1212"/>
      <c r="AR6" s="1213"/>
      <c r="AT6" s="1211" t="s">
        <v>9</v>
      </c>
      <c r="AU6" s="1212"/>
      <c r="AV6" s="1212"/>
      <c r="AW6" s="1213"/>
      <c r="AX6" s="6"/>
      <c r="AY6" s="1200" t="s">
        <v>181</v>
      </c>
      <c r="AZ6" s="1199"/>
      <c r="BA6" s="1199"/>
      <c r="BB6" s="1199"/>
      <c r="BC6" s="6"/>
      <c r="BD6" s="1199" t="s">
        <v>438</v>
      </c>
      <c r="BE6" s="1199"/>
      <c r="BF6" s="1199"/>
      <c r="BG6" s="1199"/>
      <c r="BH6" s="6"/>
      <c r="BI6" s="1200" t="s">
        <v>480</v>
      </c>
      <c r="BJ6" s="1199"/>
      <c r="BK6" s="1199"/>
      <c r="BL6" s="1199"/>
      <c r="BM6" s="1199"/>
      <c r="BN6" s="1199"/>
      <c r="BO6" s="1199"/>
      <c r="BP6" s="6"/>
      <c r="BQ6" s="1200" t="s">
        <v>504</v>
      </c>
      <c r="BR6" s="1199"/>
      <c r="BS6" s="1199"/>
    </row>
    <row r="7" spans="2:73" ht="5.25" customHeight="1" thickTop="1" thickBot="1">
      <c r="B7" s="99"/>
      <c r="C7" s="55"/>
      <c r="D7" s="55"/>
      <c r="E7" s="55"/>
      <c r="F7" s="55"/>
      <c r="G7" s="55"/>
      <c r="H7" s="55"/>
      <c r="I7" s="55"/>
      <c r="N7" s="55"/>
      <c r="O7" s="55"/>
      <c r="AV7" s="156"/>
    </row>
    <row r="8" spans="2:73" ht="36.75" customHeight="1" thickTop="1" thickBot="1">
      <c r="C8" s="7" t="s">
        <v>72</v>
      </c>
      <c r="D8" s="7" t="s">
        <v>73</v>
      </c>
      <c r="E8" s="7" t="s">
        <v>74</v>
      </c>
      <c r="F8" s="7" t="s">
        <v>75</v>
      </c>
      <c r="H8" s="7" t="s">
        <v>76</v>
      </c>
      <c r="I8" s="7" t="s">
        <v>77</v>
      </c>
      <c r="J8" s="7" t="s">
        <v>78</v>
      </c>
      <c r="K8" s="7" t="s">
        <v>79</v>
      </c>
      <c r="L8" s="7" t="s">
        <v>80</v>
      </c>
      <c r="N8" s="7" t="s">
        <v>81</v>
      </c>
      <c r="O8" s="7" t="s">
        <v>82</v>
      </c>
      <c r="P8" s="7" t="s">
        <v>83</v>
      </c>
      <c r="Q8" s="7" t="s">
        <v>193</v>
      </c>
      <c r="R8" s="7" t="s">
        <v>85</v>
      </c>
      <c r="S8" s="7" t="s">
        <v>194</v>
      </c>
      <c r="T8" s="131" t="s">
        <v>87</v>
      </c>
      <c r="U8" s="131" t="s">
        <v>195</v>
      </c>
      <c r="W8" s="7" t="s">
        <v>89</v>
      </c>
      <c r="X8" s="7" t="s">
        <v>196</v>
      </c>
      <c r="Y8" s="131" t="s">
        <v>91</v>
      </c>
      <c r="Z8" s="131" t="s">
        <v>197</v>
      </c>
      <c r="AA8" s="131" t="s">
        <v>93</v>
      </c>
      <c r="AB8" s="131" t="s">
        <v>198</v>
      </c>
      <c r="AC8" s="131" t="s">
        <v>95</v>
      </c>
      <c r="AE8" s="7" t="s">
        <v>97</v>
      </c>
      <c r="AF8" s="131" t="s">
        <v>99</v>
      </c>
      <c r="AG8" s="131" t="s">
        <v>101</v>
      </c>
      <c r="AH8" s="131" t="s">
        <v>103</v>
      </c>
      <c r="AJ8" s="7" t="s">
        <v>105</v>
      </c>
      <c r="AK8" s="131" t="s">
        <v>199</v>
      </c>
      <c r="AL8" s="131" t="s">
        <v>200</v>
      </c>
      <c r="AM8" s="131" t="s">
        <v>201</v>
      </c>
      <c r="AO8" s="7" t="s">
        <v>202</v>
      </c>
      <c r="AP8" s="131" t="s">
        <v>203</v>
      </c>
      <c r="AQ8" s="131" t="s">
        <v>204</v>
      </c>
      <c r="AR8" s="131" t="s">
        <v>205</v>
      </c>
      <c r="AT8" s="7" t="s">
        <v>206</v>
      </c>
      <c r="AU8" s="131" t="s">
        <v>207</v>
      </c>
      <c r="AV8" s="131" t="s">
        <v>208</v>
      </c>
      <c r="AW8" s="131" t="s">
        <v>209</v>
      </c>
      <c r="AX8" s="8"/>
      <c r="AY8" s="7" t="s">
        <v>210</v>
      </c>
      <c r="AZ8" s="131" t="s">
        <v>211</v>
      </c>
      <c r="BA8" s="131" t="s">
        <v>212</v>
      </c>
      <c r="BB8" s="131" t="s">
        <v>427</v>
      </c>
      <c r="BC8" s="8"/>
      <c r="BD8" s="7" t="s">
        <v>481</v>
      </c>
      <c r="BE8" s="7" t="s">
        <v>482</v>
      </c>
      <c r="BF8" s="7" t="s">
        <v>483</v>
      </c>
      <c r="BG8" s="131" t="s">
        <v>473</v>
      </c>
      <c r="BH8" s="8"/>
      <c r="BI8" s="7" t="s">
        <v>506</v>
      </c>
      <c r="BJ8" s="7" t="s">
        <v>505</v>
      </c>
      <c r="BK8" s="7" t="s">
        <v>507</v>
      </c>
      <c r="BL8" s="7" t="s">
        <v>531</v>
      </c>
      <c r="BM8" s="7" t="s">
        <v>508</v>
      </c>
      <c r="BN8" s="7" t="s">
        <v>588</v>
      </c>
      <c r="BO8" s="7" t="s">
        <v>492</v>
      </c>
      <c r="BP8" s="8"/>
      <c r="BQ8" s="7" t="s">
        <v>509</v>
      </c>
      <c r="BR8" s="7" t="s">
        <v>532</v>
      </c>
      <c r="BS8" s="7" t="s">
        <v>607</v>
      </c>
    </row>
    <row r="9" spans="2:73" ht="9.75" customHeight="1" thickTop="1"/>
    <row r="10" spans="2:73" ht="16.5" customHeight="1">
      <c r="B10" s="56" t="s">
        <v>283</v>
      </c>
      <c r="C10" s="158">
        <f>SUM(C12:C14)</f>
        <v>235101</v>
      </c>
      <c r="D10" s="158">
        <f>SUM(D12:D14)</f>
        <v>209590</v>
      </c>
      <c r="E10" s="158">
        <f>SUM(E12:E14)</f>
        <v>117690</v>
      </c>
      <c r="F10" s="158">
        <f>SUM(F12:F14)</f>
        <v>73531</v>
      </c>
      <c r="G10" s="159"/>
      <c r="H10" s="158">
        <f>SUM(H12:H14)</f>
        <v>125842</v>
      </c>
      <c r="I10" s="158">
        <f>SUM(I12:I14)</f>
        <v>170893</v>
      </c>
      <c r="J10" s="158">
        <f>SUM(J12:J14)</f>
        <v>695413</v>
      </c>
      <c r="K10" s="158">
        <f>SUM(K12:K14)</f>
        <v>104633</v>
      </c>
      <c r="L10" s="158">
        <f>SUM(L12:L14)</f>
        <v>152209</v>
      </c>
      <c r="N10" s="158">
        <f t="shared" ref="N10:U10" si="0">SUM(N12:N14)</f>
        <v>167794</v>
      </c>
      <c r="O10" s="158">
        <f t="shared" si="0"/>
        <v>161658</v>
      </c>
      <c r="P10" s="158">
        <f t="shared" si="0"/>
        <v>114531</v>
      </c>
      <c r="Q10" s="158">
        <f t="shared" si="0"/>
        <v>120347</v>
      </c>
      <c r="R10" s="158">
        <f t="shared" si="0"/>
        <v>192922</v>
      </c>
      <c r="S10" s="158">
        <f t="shared" si="0"/>
        <v>213722</v>
      </c>
      <c r="T10" s="158">
        <f t="shared" si="0"/>
        <v>622176</v>
      </c>
      <c r="U10" s="158">
        <f t="shared" si="0"/>
        <v>615759</v>
      </c>
      <c r="W10" s="158">
        <f t="shared" ref="W10:AC10" si="1">SUM(W12:W14)</f>
        <v>175924</v>
      </c>
      <c r="X10" s="158">
        <f t="shared" si="1"/>
        <v>178603</v>
      </c>
      <c r="Y10" s="158">
        <f t="shared" si="1"/>
        <v>211148</v>
      </c>
      <c r="Z10" s="158">
        <f t="shared" si="1"/>
        <v>212572</v>
      </c>
      <c r="AA10" s="158">
        <f t="shared" si="1"/>
        <v>754550</v>
      </c>
      <c r="AB10" s="158">
        <f t="shared" si="1"/>
        <v>754879</v>
      </c>
      <c r="AC10" s="158">
        <f t="shared" si="1"/>
        <v>48575</v>
      </c>
      <c r="AD10" s="119"/>
      <c r="AE10" s="158">
        <f t="shared" ref="AE10:AH10" si="2">SUM(AE12:AE14)</f>
        <v>851032</v>
      </c>
      <c r="AF10" s="158">
        <f t="shared" si="2"/>
        <v>98531</v>
      </c>
      <c r="AG10" s="158">
        <f t="shared" si="2"/>
        <v>246268</v>
      </c>
      <c r="AH10" s="158">
        <f t="shared" si="2"/>
        <v>183871</v>
      </c>
      <c r="AI10" s="119"/>
      <c r="AJ10" s="158">
        <f t="shared" ref="AJ10:AM10" si="3">SUM(AJ12:AJ14)</f>
        <v>307663</v>
      </c>
      <c r="AK10" s="158">
        <f t="shared" si="3"/>
        <v>96284</v>
      </c>
      <c r="AL10" s="158">
        <f t="shared" si="3"/>
        <v>256360</v>
      </c>
      <c r="AM10" s="158">
        <f t="shared" si="3"/>
        <v>185302</v>
      </c>
      <c r="AN10" s="119"/>
      <c r="AO10" s="158">
        <f t="shared" ref="AO10:AQ10" si="4">SUM(AO12:AO14)</f>
        <v>200250</v>
      </c>
      <c r="AP10" s="158">
        <f t="shared" si="4"/>
        <v>28378</v>
      </c>
      <c r="AQ10" s="158">
        <f t="shared" si="4"/>
        <v>24164</v>
      </c>
      <c r="AR10" s="158">
        <f>SUM(AR12:AR14)</f>
        <v>3515</v>
      </c>
      <c r="AS10" s="119"/>
      <c r="AT10" s="158">
        <f t="shared" ref="AT10:AV10" si="5">SUM(AT12:AT14)</f>
        <v>189150</v>
      </c>
      <c r="AU10" s="158">
        <f t="shared" si="5"/>
        <v>219482</v>
      </c>
      <c r="AV10" s="158">
        <f t="shared" si="5"/>
        <v>170941</v>
      </c>
      <c r="AW10" s="158">
        <f>SUM(AW12:AW14)</f>
        <v>73187</v>
      </c>
      <c r="AX10" s="71"/>
      <c r="AY10" s="158">
        <f t="shared" ref="AY10:BA10" si="6">SUM(AY12:AY14)</f>
        <v>284711</v>
      </c>
      <c r="AZ10" s="158">
        <f t="shared" si="6"/>
        <v>172052</v>
      </c>
      <c r="BA10" s="158">
        <f t="shared" si="6"/>
        <v>166310</v>
      </c>
      <c r="BB10" s="158">
        <f>SUM(BB12:BB14)</f>
        <v>156113</v>
      </c>
      <c r="BC10" s="71"/>
      <c r="BD10" s="158">
        <f t="shared" ref="BD10" si="7">SUM(BD12:BD14)</f>
        <v>429027</v>
      </c>
      <c r="BE10" s="158">
        <f t="shared" ref="BE10" si="8">SUM(BE12:BE14)</f>
        <v>555170</v>
      </c>
      <c r="BF10" s="158">
        <f t="shared" ref="BF10" si="9">SUM(BF12:BF14)</f>
        <v>269786</v>
      </c>
      <c r="BG10" s="158">
        <f>SUM(BG12:BG14)</f>
        <v>173233</v>
      </c>
      <c r="BH10" s="71"/>
      <c r="BI10" s="71">
        <f t="shared" ref="BI10:BJ10" si="10">SUM(BI12:BI14)</f>
        <v>2973161</v>
      </c>
      <c r="BJ10" s="71">
        <f t="shared" si="10"/>
        <v>2740644</v>
      </c>
      <c r="BK10" s="158">
        <f t="shared" ref="BK10:BM10" si="11">SUM(BK12:BK14)</f>
        <v>218159</v>
      </c>
      <c r="BL10" s="158">
        <f t="shared" ref="BL10" si="12">SUM(BL12:BL14)</f>
        <v>195273</v>
      </c>
      <c r="BM10" s="158">
        <f t="shared" si="11"/>
        <v>217675</v>
      </c>
      <c r="BN10" s="158">
        <f t="shared" ref="BN10" si="13">SUM(BN12:BN14)</f>
        <v>217674</v>
      </c>
      <c r="BO10" s="158">
        <f>SUM(BO12:BO14)</f>
        <v>126665</v>
      </c>
      <c r="BP10" s="71"/>
      <c r="BQ10" s="158">
        <f>SUM(BQ12:BQ14)</f>
        <v>1355575</v>
      </c>
      <c r="BR10" s="158">
        <f>SUM(BR12:BR14)</f>
        <v>163817</v>
      </c>
      <c r="BS10" s="158">
        <f>SUM(BS12:BS14)</f>
        <v>315417</v>
      </c>
      <c r="BT10" s="977">
        <f>+BQ10+BR10+BS10-'ER GA separado Acum.'!C7</f>
        <v>0</v>
      </c>
      <c r="BU10" s="122">
        <f>BJ10+BL10+BN10-'ER GA separado Acum.'!E7</f>
        <v>0</v>
      </c>
    </row>
    <row r="11" spans="2:73" s="163" customFormat="1" ht="15.75" hidden="1" customHeight="1">
      <c r="B11" s="160" t="s">
        <v>35</v>
      </c>
      <c r="C11" s="161">
        <v>116</v>
      </c>
      <c r="D11" s="161">
        <v>113.54</v>
      </c>
      <c r="E11" s="161">
        <v>61.74</v>
      </c>
      <c r="F11" s="161">
        <v>32.630000000000003</v>
      </c>
      <c r="G11" s="162"/>
      <c r="H11" s="161">
        <v>47.65</v>
      </c>
      <c r="I11" s="161">
        <v>68.72</v>
      </c>
      <c r="J11" s="161">
        <v>230.82</v>
      </c>
      <c r="K11" s="161">
        <f>36.15-(3726/3244.51)</f>
        <v>35.001598546467726</v>
      </c>
      <c r="L11" s="161">
        <v>-347.18999999999994</v>
      </c>
      <c r="N11" s="161">
        <v>47.65</v>
      </c>
      <c r="O11" s="161">
        <v>47.65</v>
      </c>
      <c r="P11" s="161">
        <v>47.65</v>
      </c>
      <c r="Q11" s="161"/>
      <c r="R11" s="161">
        <v>47.65</v>
      </c>
      <c r="S11" s="161"/>
      <c r="T11" s="161">
        <v>47.65</v>
      </c>
      <c r="U11" s="161">
        <v>47.65</v>
      </c>
      <c r="W11" s="161">
        <v>47.65</v>
      </c>
      <c r="X11" s="161">
        <v>47.65</v>
      </c>
      <c r="AD11" s="119"/>
      <c r="AE11" s="161">
        <v>47.65</v>
      </c>
      <c r="AJ11" s="161">
        <v>47.65</v>
      </c>
      <c r="AO11" s="161">
        <v>47.65</v>
      </c>
      <c r="AT11" s="161">
        <v>47.65</v>
      </c>
      <c r="AY11" s="161">
        <v>47.65</v>
      </c>
      <c r="BD11" s="161"/>
      <c r="BI11" s="176"/>
      <c r="BJ11" s="176"/>
      <c r="BT11" s="164"/>
      <c r="BU11" s="164"/>
    </row>
    <row r="12" spans="2:73" ht="16.5" customHeight="1">
      <c r="B12" s="64" t="s">
        <v>123</v>
      </c>
      <c r="C12" s="119">
        <v>129401</v>
      </c>
      <c r="D12" s="119">
        <v>100450</v>
      </c>
      <c r="E12" s="119">
        <v>80766</v>
      </c>
      <c r="F12" s="119">
        <f>31086-61+1</f>
        <v>31026</v>
      </c>
      <c r="H12" s="119">
        <v>106670</v>
      </c>
      <c r="I12" s="119">
        <v>88091</v>
      </c>
      <c r="J12" s="119">
        <v>602770</v>
      </c>
      <c r="K12" s="119">
        <v>536</v>
      </c>
      <c r="L12" s="119">
        <v>536</v>
      </c>
      <c r="N12" s="119">
        <v>88813</v>
      </c>
      <c r="O12" s="119">
        <v>88813</v>
      </c>
      <c r="P12" s="119">
        <v>77</v>
      </c>
      <c r="Q12" s="119">
        <v>77</v>
      </c>
      <c r="R12" s="119">
        <v>85637</v>
      </c>
      <c r="S12" s="119">
        <v>85637</v>
      </c>
      <c r="T12" s="119">
        <v>369974</v>
      </c>
      <c r="U12" s="119">
        <v>369974</v>
      </c>
      <c r="W12" s="119">
        <v>87695</v>
      </c>
      <c r="X12" s="119">
        <v>87695</v>
      </c>
      <c r="Y12" s="165">
        <v>66801</v>
      </c>
      <c r="Z12" s="165">
        <v>66802</v>
      </c>
      <c r="AA12" s="119">
        <v>505036</v>
      </c>
      <c r="AB12" s="119">
        <f>505036-1</f>
        <v>505035</v>
      </c>
      <c r="AC12" s="165">
        <v>0</v>
      </c>
      <c r="AD12" s="119"/>
      <c r="AE12" s="119">
        <v>748656</v>
      </c>
      <c r="AF12" s="165">
        <v>0</v>
      </c>
      <c r="AG12" s="165">
        <v>0</v>
      </c>
      <c r="AH12" s="165">
        <v>2807</v>
      </c>
      <c r="AI12" s="119"/>
      <c r="AJ12" s="119">
        <v>222023</v>
      </c>
      <c r="AK12" s="165">
        <v>0</v>
      </c>
      <c r="AL12" s="165">
        <v>0</v>
      </c>
      <c r="AM12" s="165">
        <v>0</v>
      </c>
      <c r="AN12" s="119"/>
      <c r="AO12" s="119">
        <v>148038</v>
      </c>
      <c r="AP12" s="165">
        <v>49</v>
      </c>
      <c r="AQ12" s="165">
        <v>835</v>
      </c>
      <c r="AR12" s="165">
        <v>-835</v>
      </c>
      <c r="AS12" s="119"/>
      <c r="AT12" s="119">
        <v>110035</v>
      </c>
      <c r="AU12" s="165">
        <v>1194</v>
      </c>
      <c r="AV12" s="165">
        <v>0</v>
      </c>
      <c r="AW12" s="165">
        <v>10</v>
      </c>
      <c r="AX12" s="166"/>
      <c r="AY12" s="119">
        <v>142382</v>
      </c>
      <c r="AZ12" s="165">
        <v>72</v>
      </c>
      <c r="BA12" s="165">
        <v>0</v>
      </c>
      <c r="BB12" s="165">
        <v>0</v>
      </c>
      <c r="BC12" s="166"/>
      <c r="BD12" s="119">
        <v>223757</v>
      </c>
      <c r="BE12" s="165">
        <v>274588</v>
      </c>
      <c r="BF12" s="165">
        <v>0</v>
      </c>
      <c r="BG12" s="165">
        <v>119877</v>
      </c>
      <c r="BH12" s="166"/>
      <c r="BI12" s="166">
        <v>237406</v>
      </c>
      <c r="BJ12" s="166">
        <v>4889</v>
      </c>
      <c r="BK12" s="165">
        <v>22929</v>
      </c>
      <c r="BL12" s="165">
        <v>43</v>
      </c>
      <c r="BM12" s="165">
        <v>-1841</v>
      </c>
      <c r="BN12" s="165">
        <f>-1841-1</f>
        <v>-1842</v>
      </c>
      <c r="BO12" s="165">
        <v>7229</v>
      </c>
      <c r="BP12" s="166"/>
      <c r="BQ12" s="165">
        <v>7519</v>
      </c>
      <c r="BR12" s="165">
        <v>0</v>
      </c>
      <c r="BS12" s="165">
        <v>7825</v>
      </c>
      <c r="BT12" s="977">
        <f>+BQ12+BR12+BS12-'ER GA separado Acum.'!C10</f>
        <v>0</v>
      </c>
      <c r="BU12" s="122">
        <f>BJ12+BL12+BN12-'ER GA separado Acum.'!E10</f>
        <v>0</v>
      </c>
    </row>
    <row r="13" spans="2:73" ht="16.5" customHeight="1">
      <c r="B13" s="64" t="s">
        <v>124</v>
      </c>
      <c r="C13" s="119">
        <v>28577</v>
      </c>
      <c r="D13" s="119">
        <v>15304</v>
      </c>
      <c r="E13" s="119">
        <v>7054</v>
      </c>
      <c r="F13" s="119">
        <v>18409</v>
      </c>
      <c r="G13" s="56"/>
      <c r="H13" s="119">
        <f>12337+1</f>
        <v>12338</v>
      </c>
      <c r="I13" s="119">
        <f>17460-1</f>
        <v>17459</v>
      </c>
      <c r="J13" s="119">
        <v>46930</v>
      </c>
      <c r="K13" s="119">
        <v>53873</v>
      </c>
      <c r="L13" s="119">
        <v>98620</v>
      </c>
      <c r="N13" s="119">
        <v>38513</v>
      </c>
      <c r="O13" s="119">
        <v>38513</v>
      </c>
      <c r="P13" s="119">
        <v>8075</v>
      </c>
      <c r="Q13" s="119">
        <v>8075</v>
      </c>
      <c r="R13" s="119">
        <v>29910</v>
      </c>
      <c r="S13" s="119">
        <v>29910</v>
      </c>
      <c r="T13" s="119">
        <v>123584</v>
      </c>
      <c r="U13" s="119">
        <f>123584+7228</f>
        <v>130812</v>
      </c>
      <c r="W13" s="119">
        <v>2628</v>
      </c>
      <c r="X13" s="119">
        <v>2680</v>
      </c>
      <c r="Y13" s="165">
        <v>43623</v>
      </c>
      <c r="Z13" s="165">
        <f>43623+528</f>
        <v>44151</v>
      </c>
      <c r="AA13" s="119">
        <v>174327</v>
      </c>
      <c r="AB13" s="119">
        <f>174327+5135</f>
        <v>179462</v>
      </c>
      <c r="AC13" s="119">
        <v>39876</v>
      </c>
      <c r="AD13" s="119"/>
      <c r="AE13" s="119">
        <v>26678</v>
      </c>
      <c r="AF13" s="165">
        <v>29779</v>
      </c>
      <c r="AG13" s="165">
        <v>30591</v>
      </c>
      <c r="AH13" s="165">
        <v>105122</v>
      </c>
      <c r="AI13" s="119"/>
      <c r="AJ13" s="119">
        <v>29099</v>
      </c>
      <c r="AK13" s="165">
        <v>30889</v>
      </c>
      <c r="AL13" s="165">
        <v>43447</v>
      </c>
      <c r="AM13" s="165">
        <v>86250</v>
      </c>
      <c r="AN13" s="119"/>
      <c r="AO13" s="119">
        <v>38335</v>
      </c>
      <c r="AP13" s="165">
        <v>46479</v>
      </c>
      <c r="AQ13" s="165">
        <v>13191</v>
      </c>
      <c r="AR13" s="165">
        <v>44139</v>
      </c>
      <c r="AS13" s="119"/>
      <c r="AT13" s="119">
        <v>29032</v>
      </c>
      <c r="AU13" s="165">
        <v>111698</v>
      </c>
      <c r="AV13" s="165">
        <v>42829</v>
      </c>
      <c r="AW13" s="165">
        <v>54925</v>
      </c>
      <c r="AX13" s="166"/>
      <c r="AY13" s="119">
        <v>75266</v>
      </c>
      <c r="AZ13" s="165">
        <v>89821</v>
      </c>
      <c r="BA13" s="165">
        <v>35219</v>
      </c>
      <c r="BB13" s="165">
        <v>98545</v>
      </c>
      <c r="BC13" s="166"/>
      <c r="BD13" s="119">
        <v>115264</v>
      </c>
      <c r="BE13" s="165">
        <v>47454</v>
      </c>
      <c r="BF13" s="165">
        <v>75740</v>
      </c>
      <c r="BG13" s="165">
        <v>68322</v>
      </c>
      <c r="BH13" s="166"/>
      <c r="BI13" s="166">
        <v>-38862</v>
      </c>
      <c r="BJ13" s="166">
        <v>-38862</v>
      </c>
      <c r="BK13" s="165">
        <v>62113</v>
      </c>
      <c r="BL13" s="165">
        <v>62113</v>
      </c>
      <c r="BM13" s="165">
        <v>46840</v>
      </c>
      <c r="BN13" s="165">
        <v>46840</v>
      </c>
      <c r="BO13" s="165">
        <v>119098</v>
      </c>
      <c r="BP13" s="166"/>
      <c r="BQ13" s="165">
        <v>63412</v>
      </c>
      <c r="BR13" s="165">
        <v>54831</v>
      </c>
      <c r="BS13" s="165">
        <v>61724</v>
      </c>
      <c r="BT13" s="977">
        <f>+BQ13+BR13+BS13-'ER GA separado Acum.'!C11</f>
        <v>0</v>
      </c>
      <c r="BU13" s="122">
        <f>BJ13+BL13+BN13-'ER GA separado Acum.'!E11</f>
        <v>0</v>
      </c>
    </row>
    <row r="14" spans="2:73" ht="12.5">
      <c r="B14" s="64" t="s">
        <v>213</v>
      </c>
      <c r="C14" s="119">
        <v>77123</v>
      </c>
      <c r="D14" s="119">
        <v>93836</v>
      </c>
      <c r="E14" s="119">
        <v>29870</v>
      </c>
      <c r="F14" s="119">
        <v>24096</v>
      </c>
      <c r="H14" s="119">
        <f>6835-1</f>
        <v>6834</v>
      </c>
      <c r="I14" s="119">
        <f>65342+1</f>
        <v>65343</v>
      </c>
      <c r="J14" s="119">
        <v>45713</v>
      </c>
      <c r="K14" s="119">
        <f>53950-3726</f>
        <v>50224</v>
      </c>
      <c r="L14" s="119">
        <v>53053</v>
      </c>
      <c r="N14" s="119">
        <v>40468</v>
      </c>
      <c r="O14" s="119">
        <v>34332</v>
      </c>
      <c r="P14" s="119">
        <v>106379</v>
      </c>
      <c r="Q14" s="119">
        <v>112195</v>
      </c>
      <c r="R14" s="119">
        <v>77375</v>
      </c>
      <c r="S14" s="119">
        <v>98175</v>
      </c>
      <c r="T14" s="119">
        <v>128618</v>
      </c>
      <c r="U14" s="119">
        <f>108138-1229-4483+12547</f>
        <v>114973</v>
      </c>
      <c r="W14" s="119">
        <v>85601</v>
      </c>
      <c r="X14" s="119">
        <v>88228</v>
      </c>
      <c r="Y14" s="165">
        <v>100724</v>
      </c>
      <c r="Z14" s="165">
        <f>100724+895</f>
        <v>101619</v>
      </c>
      <c r="AA14" s="119">
        <v>75187</v>
      </c>
      <c r="AB14" s="119">
        <f>75187-4805</f>
        <v>70382</v>
      </c>
      <c r="AC14" s="119">
        <v>8699</v>
      </c>
      <c r="AD14" s="119"/>
      <c r="AE14" s="119">
        <v>75698</v>
      </c>
      <c r="AF14" s="165">
        <v>68752</v>
      </c>
      <c r="AG14" s="165">
        <f>198108+17569</f>
        <v>215677</v>
      </c>
      <c r="AH14" s="165">
        <v>75942</v>
      </c>
      <c r="AI14" s="119"/>
      <c r="AJ14" s="119">
        <v>56541</v>
      </c>
      <c r="AK14" s="165">
        <v>65395</v>
      </c>
      <c r="AL14" s="165">
        <v>212913</v>
      </c>
      <c r="AM14" s="166">
        <f>99053-1</f>
        <v>99052</v>
      </c>
      <c r="AN14" s="119"/>
      <c r="AO14" s="119">
        <v>13877</v>
      </c>
      <c r="AP14" s="166">
        <v>-18150</v>
      </c>
      <c r="AQ14" s="166">
        <v>10138</v>
      </c>
      <c r="AR14" s="166">
        <f>-48101+555+4929+2828</f>
        <v>-39789</v>
      </c>
      <c r="AS14" s="119"/>
      <c r="AT14" s="119">
        <v>50083</v>
      </c>
      <c r="AU14" s="166">
        <v>106590</v>
      </c>
      <c r="AV14" s="166">
        <v>128112</v>
      </c>
      <c r="AW14" s="166">
        <v>18252</v>
      </c>
      <c r="AX14" s="166"/>
      <c r="AY14" s="119">
        <v>67063</v>
      </c>
      <c r="AZ14" s="166">
        <v>82159</v>
      </c>
      <c r="BA14" s="166">
        <v>131091</v>
      </c>
      <c r="BB14" s="166">
        <v>57568</v>
      </c>
      <c r="BC14" s="166"/>
      <c r="BD14" s="119">
        <v>90006</v>
      </c>
      <c r="BE14" s="166">
        <v>233128</v>
      </c>
      <c r="BF14" s="166">
        <v>194046</v>
      </c>
      <c r="BG14" s="166">
        <v>-14966</v>
      </c>
      <c r="BH14" s="166"/>
      <c r="BI14" s="166">
        <v>2774617</v>
      </c>
      <c r="BJ14" s="166">
        <v>2774617</v>
      </c>
      <c r="BK14" s="166">
        <v>133117</v>
      </c>
      <c r="BL14" s="166">
        <v>133117</v>
      </c>
      <c r="BM14" s="166">
        <v>172676</v>
      </c>
      <c r="BN14" s="166">
        <v>172676</v>
      </c>
      <c r="BO14" s="166">
        <v>338</v>
      </c>
      <c r="BP14" s="166"/>
      <c r="BQ14" s="166">
        <v>1284644</v>
      </c>
      <c r="BR14" s="166">
        <v>108986</v>
      </c>
      <c r="BS14" s="166">
        <f>245869-1</f>
        <v>245868</v>
      </c>
      <c r="BT14" s="977">
        <f>+BQ14+BR14+BS14-'ER GA separado Acum.'!C12</f>
        <v>0</v>
      </c>
      <c r="BU14" s="122">
        <f>BJ14+BL14+BN14-'ER GA separado Acum.'!E12</f>
        <v>0</v>
      </c>
    </row>
    <row r="15" spans="2:73" ht="8.25" customHeight="1">
      <c r="C15" s="167"/>
      <c r="D15" s="167"/>
      <c r="E15" s="167"/>
      <c r="F15" s="167"/>
      <c r="H15" s="167"/>
      <c r="I15" s="167"/>
      <c r="J15" s="167"/>
      <c r="K15" s="167"/>
      <c r="L15" s="167"/>
      <c r="N15" s="167"/>
      <c r="O15" s="167"/>
      <c r="P15" s="167"/>
      <c r="Q15" s="167"/>
      <c r="R15" s="167"/>
      <c r="S15" s="167"/>
      <c r="T15" s="167"/>
      <c r="U15" s="167"/>
      <c r="W15" s="167"/>
      <c r="X15" s="167"/>
      <c r="AC15" s="165"/>
      <c r="AD15" s="119"/>
      <c r="AE15" s="167"/>
      <c r="AF15" s="165"/>
      <c r="AG15" s="165"/>
      <c r="AH15" s="165"/>
      <c r="AI15" s="119"/>
      <c r="AJ15" s="167"/>
      <c r="AK15" s="165"/>
      <c r="AL15" s="165"/>
      <c r="AM15" s="165"/>
      <c r="AN15" s="119"/>
      <c r="AO15" s="167"/>
      <c r="AP15" s="165"/>
      <c r="AQ15" s="165"/>
      <c r="AR15" s="165"/>
      <c r="AS15" s="119"/>
      <c r="AT15" s="167"/>
      <c r="AU15" s="165"/>
      <c r="AV15" s="165"/>
      <c r="AW15" s="165"/>
      <c r="AX15" s="166"/>
      <c r="AY15" s="167"/>
      <c r="AZ15" s="165"/>
      <c r="BA15" s="165"/>
      <c r="BB15" s="165"/>
      <c r="BC15" s="166"/>
      <c r="BD15" s="167"/>
      <c r="BE15" s="165"/>
      <c r="BF15" s="165"/>
      <c r="BG15" s="165"/>
      <c r="BH15" s="166"/>
      <c r="BI15" s="167"/>
      <c r="BJ15" s="167"/>
      <c r="BK15" s="165"/>
      <c r="BL15" s="165"/>
      <c r="BM15" s="165"/>
      <c r="BN15" s="165"/>
      <c r="BO15" s="165"/>
      <c r="BP15" s="166"/>
      <c r="BQ15" s="165"/>
      <c r="BR15" s="165"/>
      <c r="BS15" s="165"/>
      <c r="BT15" s="122"/>
      <c r="BU15" s="122"/>
    </row>
    <row r="16" spans="2:73" ht="16.5" customHeight="1">
      <c r="B16" s="56" t="s">
        <v>127</v>
      </c>
      <c r="C16" s="71">
        <f>SUM(C17:C18)</f>
        <v>43387</v>
      </c>
      <c r="D16" s="71">
        <f>SUM(D17:D18)</f>
        <v>118045</v>
      </c>
      <c r="E16" s="71">
        <f>SUM(E17:E18)</f>
        <v>66308</v>
      </c>
      <c r="F16" s="71">
        <f>SUM(F17:F18)</f>
        <v>55712</v>
      </c>
      <c r="H16" s="71">
        <f>SUM(H17:H18)</f>
        <v>883</v>
      </c>
      <c r="I16" s="71">
        <f>SUM(I17:I18)</f>
        <v>45227</v>
      </c>
      <c r="J16" s="71">
        <f>SUM(J17:J18)</f>
        <v>331494</v>
      </c>
      <c r="K16" s="71">
        <f>SUM(K17:K18)</f>
        <v>92559</v>
      </c>
      <c r="L16" s="71">
        <f t="shared" ref="L16:U16" si="14">SUM(L17:L18)</f>
        <v>94234</v>
      </c>
      <c r="M16" s="71">
        <f t="shared" si="14"/>
        <v>0</v>
      </c>
      <c r="N16" s="71">
        <f t="shared" si="14"/>
        <v>2687</v>
      </c>
      <c r="O16" s="71">
        <f t="shared" si="14"/>
        <v>2687</v>
      </c>
      <c r="P16" s="71">
        <f t="shared" si="14"/>
        <v>67</v>
      </c>
      <c r="Q16" s="71">
        <f t="shared" si="14"/>
        <v>67</v>
      </c>
      <c r="R16" s="71">
        <f t="shared" si="14"/>
        <v>77774</v>
      </c>
      <c r="S16" s="71">
        <f t="shared" si="14"/>
        <v>77774</v>
      </c>
      <c r="T16" s="71">
        <f t="shared" si="14"/>
        <v>378153</v>
      </c>
      <c r="U16" s="71">
        <f t="shared" si="14"/>
        <v>378153</v>
      </c>
      <c r="W16" s="71">
        <f t="shared" ref="W16:AC16" si="15">SUM(W17:W18)</f>
        <v>492</v>
      </c>
      <c r="X16" s="71">
        <f t="shared" si="15"/>
        <v>492</v>
      </c>
      <c r="Y16" s="71">
        <f t="shared" si="15"/>
        <v>94127</v>
      </c>
      <c r="Z16" s="71">
        <f t="shared" si="15"/>
        <v>94127</v>
      </c>
      <c r="AA16" s="71">
        <f t="shared" si="15"/>
        <v>296662</v>
      </c>
      <c r="AB16" s="71">
        <f t="shared" si="15"/>
        <v>296662</v>
      </c>
      <c r="AC16" s="71">
        <f t="shared" si="15"/>
        <v>6252</v>
      </c>
      <c r="AD16" s="119"/>
      <c r="AE16" s="71">
        <f t="shared" ref="AE16:AH16" si="16">SUM(AE17:AE18)</f>
        <v>295651</v>
      </c>
      <c r="AF16" s="71">
        <f t="shared" si="16"/>
        <v>937</v>
      </c>
      <c r="AG16" s="71">
        <f t="shared" si="16"/>
        <v>811</v>
      </c>
      <c r="AH16" s="71">
        <f t="shared" si="16"/>
        <v>10997</v>
      </c>
      <c r="AI16" s="119"/>
      <c r="AJ16" s="71">
        <f t="shared" ref="AJ16:AM16" si="17">SUM(AJ17:AJ18)</f>
        <v>59008</v>
      </c>
      <c r="AK16" s="71">
        <f t="shared" si="17"/>
        <v>1000</v>
      </c>
      <c r="AL16" s="71">
        <f t="shared" si="17"/>
        <v>1652</v>
      </c>
      <c r="AM16" s="71">
        <f t="shared" si="17"/>
        <v>37820</v>
      </c>
      <c r="AN16" s="119"/>
      <c r="AO16" s="71">
        <f t="shared" ref="AO16:AR16" si="18">SUM(AO17:AO18)</f>
        <v>23386</v>
      </c>
      <c r="AP16" s="71">
        <f t="shared" si="18"/>
        <v>10243</v>
      </c>
      <c r="AQ16" s="71">
        <f t="shared" si="18"/>
        <v>1856</v>
      </c>
      <c r="AR16" s="71">
        <f t="shared" si="18"/>
        <v>19618</v>
      </c>
      <c r="AS16" s="119"/>
      <c r="AT16" s="71">
        <f t="shared" ref="AT16:AW16" si="19">SUM(AT17:AT18)</f>
        <v>1999</v>
      </c>
      <c r="AU16" s="71">
        <f t="shared" si="19"/>
        <v>60307</v>
      </c>
      <c r="AV16" s="71">
        <f t="shared" si="19"/>
        <v>15452</v>
      </c>
      <c r="AW16" s="71">
        <f t="shared" si="19"/>
        <v>25738</v>
      </c>
      <c r="AX16" s="71"/>
      <c r="AY16" s="71">
        <f t="shared" ref="AY16:BB16" si="20">SUM(AY17:AY18)</f>
        <v>22530</v>
      </c>
      <c r="AZ16" s="71">
        <f t="shared" si="20"/>
        <v>14721</v>
      </c>
      <c r="BA16" s="71">
        <f t="shared" si="20"/>
        <v>24046</v>
      </c>
      <c r="BB16" s="71">
        <f t="shared" si="20"/>
        <v>51658</v>
      </c>
      <c r="BC16" s="71"/>
      <c r="BD16" s="71">
        <f t="shared" ref="BD16" si="21">SUM(BD17:BD18)</f>
        <v>21750</v>
      </c>
      <c r="BE16" s="71">
        <f t="shared" ref="BE16:BG16" si="22">SUM(BE17:BE18)</f>
        <v>111418</v>
      </c>
      <c r="BF16" s="71">
        <f t="shared" si="22"/>
        <v>51725</v>
      </c>
      <c r="BG16" s="71">
        <f t="shared" si="22"/>
        <v>113946</v>
      </c>
      <c r="BH16" s="71"/>
      <c r="BI16" s="71">
        <f t="shared" ref="BI16:BJ16" si="23">SUM(BI17:BI18)</f>
        <v>16349</v>
      </c>
      <c r="BJ16" s="71">
        <f t="shared" si="23"/>
        <v>16349</v>
      </c>
      <c r="BK16" s="71">
        <f t="shared" ref="BK16:BM16" si="24">SUM(BK17:BK18)</f>
        <v>37622</v>
      </c>
      <c r="BL16" s="71">
        <f t="shared" ref="BL16" si="25">SUM(BL17:BL18)</f>
        <v>24277</v>
      </c>
      <c r="BM16" s="71">
        <f t="shared" si="24"/>
        <v>22583</v>
      </c>
      <c r="BN16" s="71">
        <f t="shared" ref="BN16" si="26">SUM(BN17:BN18)</f>
        <v>22583</v>
      </c>
      <c r="BO16" s="71">
        <f t="shared" ref="BO16:BQ16" si="27">SUM(BO17:BO18)</f>
        <v>106995</v>
      </c>
      <c r="BP16" s="71"/>
      <c r="BQ16" s="71">
        <f t="shared" si="27"/>
        <v>18364</v>
      </c>
      <c r="BR16" s="71">
        <f t="shared" ref="BR16:BS16" si="28">SUM(BR17:BR18)</f>
        <v>16663</v>
      </c>
      <c r="BS16" s="71">
        <f t="shared" si="28"/>
        <v>25202</v>
      </c>
      <c r="BT16" s="977">
        <f>+BQ16+BR16+BS16-'ER GA separado Acum.'!C14</f>
        <v>0</v>
      </c>
      <c r="BU16" s="122">
        <f>BJ16+BL16+BN16-'ER GA separado Acum.'!E14</f>
        <v>0</v>
      </c>
    </row>
    <row r="17" spans="2:73" ht="16.5" customHeight="1">
      <c r="B17" s="64" t="s">
        <v>130</v>
      </c>
      <c r="C17" s="167">
        <v>32888</v>
      </c>
      <c r="D17" s="167">
        <v>116153</v>
      </c>
      <c r="E17" s="167">
        <v>65351</v>
      </c>
      <c r="F17" s="167">
        <v>41882</v>
      </c>
      <c r="H17" s="167"/>
      <c r="I17" s="167">
        <v>42075</v>
      </c>
      <c r="J17" s="167">
        <v>313850</v>
      </c>
      <c r="K17" s="167">
        <v>57364</v>
      </c>
      <c r="L17" s="167">
        <v>57365</v>
      </c>
      <c r="N17" s="68">
        <v>0</v>
      </c>
      <c r="O17" s="68">
        <v>0</v>
      </c>
      <c r="P17" s="167">
        <v>67</v>
      </c>
      <c r="Q17" s="167">
        <v>67</v>
      </c>
      <c r="R17" s="167">
        <v>77774</v>
      </c>
      <c r="S17" s="167">
        <v>77774</v>
      </c>
      <c r="T17" s="167">
        <v>357713</v>
      </c>
      <c r="U17" s="119">
        <v>357713</v>
      </c>
      <c r="W17" s="68">
        <v>0</v>
      </c>
      <c r="X17" s="68">
        <v>0</v>
      </c>
      <c r="Y17" s="165">
        <v>66801</v>
      </c>
      <c r="Z17" s="165">
        <v>66801</v>
      </c>
      <c r="AA17" s="119">
        <v>284261</v>
      </c>
      <c r="AB17" s="119">
        <v>284261</v>
      </c>
      <c r="AC17" s="168">
        <v>0</v>
      </c>
      <c r="AD17" s="119"/>
      <c r="AE17" s="68">
        <v>294773</v>
      </c>
      <c r="AF17" s="165">
        <v>0</v>
      </c>
      <c r="AG17" s="165">
        <v>0</v>
      </c>
      <c r="AH17" s="165">
        <v>382</v>
      </c>
      <c r="AI17" s="119"/>
      <c r="AJ17" s="68">
        <v>58454</v>
      </c>
      <c r="AK17" s="165">
        <v>0</v>
      </c>
      <c r="AL17" s="165">
        <v>0</v>
      </c>
      <c r="AM17" s="165">
        <v>0</v>
      </c>
      <c r="AN17" s="119"/>
      <c r="AO17" s="68">
        <v>22954</v>
      </c>
      <c r="AP17" s="165">
        <v>1</v>
      </c>
      <c r="AQ17" s="165">
        <v>835</v>
      </c>
      <c r="AR17" s="166">
        <v>-835</v>
      </c>
      <c r="AS17" s="119"/>
      <c r="AT17" s="68">
        <v>0</v>
      </c>
      <c r="AU17" s="165">
        <v>1148</v>
      </c>
      <c r="AV17" s="165"/>
      <c r="AW17" s="166">
        <v>0</v>
      </c>
      <c r="AX17" s="166"/>
      <c r="AY17" s="68">
        <v>0</v>
      </c>
      <c r="AZ17" s="165">
        <v>0</v>
      </c>
      <c r="BA17" s="165">
        <v>0</v>
      </c>
      <c r="BB17" s="166"/>
      <c r="BC17" s="166"/>
      <c r="BD17" s="68">
        <v>0</v>
      </c>
      <c r="BE17" s="165">
        <v>91327</v>
      </c>
      <c r="BF17" s="165">
        <v>0</v>
      </c>
      <c r="BG17" s="166">
        <v>46583</v>
      </c>
      <c r="BH17" s="166"/>
      <c r="BI17" s="68">
        <v>0</v>
      </c>
      <c r="BJ17" s="68">
        <v>0</v>
      </c>
      <c r="BK17" s="165">
        <v>13345</v>
      </c>
      <c r="BL17" s="165">
        <v>0</v>
      </c>
      <c r="BM17" s="165">
        <v>0</v>
      </c>
      <c r="BN17" s="165">
        <v>0</v>
      </c>
      <c r="BO17" s="165">
        <v>0</v>
      </c>
      <c r="BP17" s="166"/>
      <c r="BQ17" s="165">
        <v>7490</v>
      </c>
      <c r="BR17" s="165">
        <v>0</v>
      </c>
      <c r="BS17" s="165">
        <v>7825</v>
      </c>
      <c r="BT17" s="977">
        <f>+BQ17+BR17+BS17-'ER GA separado Acum.'!C15</f>
        <v>0</v>
      </c>
      <c r="BU17" s="122">
        <f>BJ17+BL17+BN17-'ER GA separado Acum.'!E15</f>
        <v>0</v>
      </c>
    </row>
    <row r="18" spans="2:73" ht="16.5" customHeight="1">
      <c r="B18" s="64" t="s">
        <v>214</v>
      </c>
      <c r="C18" s="167">
        <v>10499</v>
      </c>
      <c r="D18" s="167">
        <v>1892</v>
      </c>
      <c r="E18" s="167">
        <v>957</v>
      </c>
      <c r="F18" s="167">
        <v>13830</v>
      </c>
      <c r="H18" s="167">
        <v>883</v>
      </c>
      <c r="I18" s="167">
        <v>3152</v>
      </c>
      <c r="J18" s="167">
        <v>17644</v>
      </c>
      <c r="K18" s="167">
        <v>35195</v>
      </c>
      <c r="L18" s="167">
        <v>36869</v>
      </c>
      <c r="N18" s="167">
        <v>2687</v>
      </c>
      <c r="O18" s="167">
        <v>2687</v>
      </c>
      <c r="P18" s="68">
        <v>0</v>
      </c>
      <c r="Q18" s="68">
        <v>0</v>
      </c>
      <c r="R18" s="68">
        <v>0</v>
      </c>
      <c r="S18" s="68">
        <v>0</v>
      </c>
      <c r="T18" s="68">
        <v>20440</v>
      </c>
      <c r="U18" s="119">
        <v>20440</v>
      </c>
      <c r="W18" s="167">
        <v>492</v>
      </c>
      <c r="X18" s="167">
        <v>492</v>
      </c>
      <c r="Y18" s="165">
        <v>27326</v>
      </c>
      <c r="Z18" s="165">
        <v>27326</v>
      </c>
      <c r="AA18" s="119">
        <v>12401</v>
      </c>
      <c r="AB18" s="119">
        <v>12401</v>
      </c>
      <c r="AC18" s="165">
        <v>6252</v>
      </c>
      <c r="AD18" s="119"/>
      <c r="AE18" s="167">
        <v>878</v>
      </c>
      <c r="AF18" s="165">
        <v>937</v>
      </c>
      <c r="AG18" s="165">
        <v>811</v>
      </c>
      <c r="AH18" s="165">
        <v>10615</v>
      </c>
      <c r="AI18" s="119"/>
      <c r="AJ18" s="167">
        <v>554</v>
      </c>
      <c r="AK18" s="165">
        <v>1000</v>
      </c>
      <c r="AL18" s="165">
        <v>1652</v>
      </c>
      <c r="AM18" s="166">
        <v>37820</v>
      </c>
      <c r="AN18" s="119"/>
      <c r="AO18" s="167">
        <v>432</v>
      </c>
      <c r="AP18" s="165">
        <v>10242</v>
      </c>
      <c r="AQ18" s="165">
        <v>1021</v>
      </c>
      <c r="AR18" s="165">
        <v>20453</v>
      </c>
      <c r="AS18" s="119"/>
      <c r="AT18" s="167">
        <v>1999</v>
      </c>
      <c r="AU18" s="165">
        <v>59159</v>
      </c>
      <c r="AV18" s="165">
        <v>15452</v>
      </c>
      <c r="AW18" s="165">
        <v>25738</v>
      </c>
      <c r="AX18" s="166"/>
      <c r="AY18" s="167">
        <v>22530</v>
      </c>
      <c r="AZ18" s="165">
        <v>14721</v>
      </c>
      <c r="BA18" s="165">
        <v>24046</v>
      </c>
      <c r="BB18" s="165">
        <v>51658</v>
      </c>
      <c r="BC18" s="166"/>
      <c r="BD18" s="167">
        <v>21750</v>
      </c>
      <c r="BE18" s="165">
        <v>20091</v>
      </c>
      <c r="BF18" s="165">
        <v>51725</v>
      </c>
      <c r="BG18" s="165">
        <v>67363</v>
      </c>
      <c r="BH18" s="166"/>
      <c r="BI18" s="167">
        <v>16349</v>
      </c>
      <c r="BJ18" s="167">
        <v>16349</v>
      </c>
      <c r="BK18" s="165">
        <v>24277</v>
      </c>
      <c r="BL18" s="165">
        <v>24277</v>
      </c>
      <c r="BM18" s="165">
        <v>22583</v>
      </c>
      <c r="BN18" s="165">
        <v>22583</v>
      </c>
      <c r="BO18" s="165">
        <v>106995</v>
      </c>
      <c r="BP18" s="166"/>
      <c r="BQ18" s="165">
        <v>10874</v>
      </c>
      <c r="BR18" s="165">
        <f>16664-1</f>
        <v>16663</v>
      </c>
      <c r="BS18" s="165">
        <f>17376+1</f>
        <v>17377</v>
      </c>
      <c r="BT18" s="977">
        <f>+BQ18+BR18+BS18-'ER GA separado Acum.'!C16</f>
        <v>0</v>
      </c>
      <c r="BU18" s="122">
        <f>BJ18+BL18+BN18-'ER GA separado Acum.'!E16</f>
        <v>0</v>
      </c>
    </row>
    <row r="19" spans="2:73" ht="3.75" customHeight="1">
      <c r="C19" s="167"/>
      <c r="D19" s="167"/>
      <c r="E19" s="167"/>
      <c r="F19" s="167"/>
      <c r="H19" s="167"/>
      <c r="I19" s="167"/>
      <c r="J19" s="167"/>
      <c r="K19" s="167"/>
      <c r="L19" s="167"/>
      <c r="N19" s="167"/>
      <c r="O19" s="167"/>
      <c r="P19" s="167"/>
      <c r="Q19" s="167"/>
      <c r="R19" s="167"/>
      <c r="S19" s="167"/>
      <c r="T19" s="167"/>
      <c r="U19" s="167"/>
      <c r="W19" s="167"/>
      <c r="X19" s="167"/>
      <c r="AD19" s="119"/>
      <c r="AE19" s="167"/>
      <c r="AI19" s="119"/>
      <c r="AJ19" s="167"/>
      <c r="AN19" s="119"/>
      <c r="AO19" s="167"/>
      <c r="AS19" s="119"/>
      <c r="AT19" s="167"/>
      <c r="AV19"/>
      <c r="AY19" s="167"/>
      <c r="BD19" s="167"/>
      <c r="BF19"/>
      <c r="BI19" s="167"/>
      <c r="BJ19" s="167"/>
      <c r="BT19" s="122"/>
      <c r="BU19" s="122"/>
    </row>
    <row r="20" spans="2:73" s="56" customFormat="1" ht="16.5" customHeight="1">
      <c r="B20" s="56" t="s">
        <v>132</v>
      </c>
      <c r="C20" s="71">
        <f>+C10-C16</f>
        <v>191714</v>
      </c>
      <c r="D20" s="71">
        <f>+D10-D16</f>
        <v>91545</v>
      </c>
      <c r="E20" s="71">
        <f>+E10-E16</f>
        <v>51382</v>
      </c>
      <c r="F20" s="71">
        <f>+F10-F16</f>
        <v>17819</v>
      </c>
      <c r="H20" s="71">
        <f>+H10-H16</f>
        <v>124959</v>
      </c>
      <c r="I20" s="71">
        <f>+I10-I16</f>
        <v>125666</v>
      </c>
      <c r="J20" s="71">
        <f>+J10-J16</f>
        <v>363919</v>
      </c>
      <c r="K20" s="71">
        <f>+K10-K16</f>
        <v>12074</v>
      </c>
      <c r="L20" s="71">
        <f>+L10-L16</f>
        <v>57975</v>
      </c>
      <c r="N20" s="71">
        <f t="shared" ref="N20:U20" si="29">+N10-N16</f>
        <v>165107</v>
      </c>
      <c r="O20" s="71">
        <f t="shared" si="29"/>
        <v>158971</v>
      </c>
      <c r="P20" s="71">
        <f t="shared" si="29"/>
        <v>114464</v>
      </c>
      <c r="Q20" s="71">
        <f t="shared" si="29"/>
        <v>120280</v>
      </c>
      <c r="R20" s="71">
        <f t="shared" si="29"/>
        <v>115148</v>
      </c>
      <c r="S20" s="71">
        <f t="shared" si="29"/>
        <v>135948</v>
      </c>
      <c r="T20" s="71">
        <f t="shared" si="29"/>
        <v>244023</v>
      </c>
      <c r="U20" s="71">
        <f t="shared" si="29"/>
        <v>237606</v>
      </c>
      <c r="W20" s="71">
        <f t="shared" ref="W20:AC20" si="30">+W10-W16</f>
        <v>175432</v>
      </c>
      <c r="X20" s="71">
        <f t="shared" si="30"/>
        <v>178111</v>
      </c>
      <c r="Y20" s="71">
        <f t="shared" si="30"/>
        <v>117021</v>
      </c>
      <c r="Z20" s="71">
        <f t="shared" si="30"/>
        <v>118445</v>
      </c>
      <c r="AA20" s="71">
        <f t="shared" si="30"/>
        <v>457888</v>
      </c>
      <c r="AB20" s="71">
        <f t="shared" si="30"/>
        <v>458217</v>
      </c>
      <c r="AC20" s="71">
        <f t="shared" si="30"/>
        <v>42323</v>
      </c>
      <c r="AD20" s="119"/>
      <c r="AE20" s="71">
        <f t="shared" ref="AE20:AH20" si="31">+AE10-AE16</f>
        <v>555381</v>
      </c>
      <c r="AF20" s="71">
        <f t="shared" si="31"/>
        <v>97594</v>
      </c>
      <c r="AG20" s="71">
        <f t="shared" si="31"/>
        <v>245457</v>
      </c>
      <c r="AH20" s="71">
        <f t="shared" si="31"/>
        <v>172874</v>
      </c>
      <c r="AI20" s="119"/>
      <c r="AJ20" s="71">
        <f t="shared" ref="AJ20:AM20" si="32">+AJ10-AJ16</f>
        <v>248655</v>
      </c>
      <c r="AK20" s="71">
        <f t="shared" si="32"/>
        <v>95284</v>
      </c>
      <c r="AL20" s="71">
        <f t="shared" si="32"/>
        <v>254708</v>
      </c>
      <c r="AM20" s="71">
        <f t="shared" si="32"/>
        <v>147482</v>
      </c>
      <c r="AN20" s="119"/>
      <c r="AO20" s="71">
        <f t="shared" ref="AO20:AR20" si="33">+AO10-AO16</f>
        <v>176864</v>
      </c>
      <c r="AP20" s="71">
        <f t="shared" si="33"/>
        <v>18135</v>
      </c>
      <c r="AQ20" s="71">
        <f t="shared" si="33"/>
        <v>22308</v>
      </c>
      <c r="AR20" s="71">
        <f t="shared" si="33"/>
        <v>-16103</v>
      </c>
      <c r="AS20" s="119"/>
      <c r="AT20" s="71">
        <f t="shared" ref="AT20:AW20" si="34">+AT10-AT16</f>
        <v>187151</v>
      </c>
      <c r="AU20" s="71">
        <f t="shared" si="34"/>
        <v>159175</v>
      </c>
      <c r="AV20" s="71">
        <f t="shared" si="34"/>
        <v>155489</v>
      </c>
      <c r="AW20" s="71">
        <f t="shared" si="34"/>
        <v>47449</v>
      </c>
      <c r="AX20" s="71"/>
      <c r="AY20" s="71">
        <f t="shared" ref="AY20:BB20" si="35">+AY10-AY16</f>
        <v>262181</v>
      </c>
      <c r="AZ20" s="71">
        <f t="shared" si="35"/>
        <v>157331</v>
      </c>
      <c r="BA20" s="71">
        <f t="shared" si="35"/>
        <v>142264</v>
      </c>
      <c r="BB20" s="71">
        <f t="shared" si="35"/>
        <v>104455</v>
      </c>
      <c r="BC20" s="71"/>
      <c r="BD20" s="71">
        <f t="shared" ref="BD20:BG20" si="36">+BD10-BD16</f>
        <v>407277</v>
      </c>
      <c r="BE20" s="71">
        <f t="shared" si="36"/>
        <v>443752</v>
      </c>
      <c r="BF20" s="71">
        <f t="shared" si="36"/>
        <v>218061</v>
      </c>
      <c r="BG20" s="71">
        <f t="shared" si="36"/>
        <v>59287</v>
      </c>
      <c r="BH20" s="71"/>
      <c r="BI20" s="71">
        <f t="shared" ref="BI20:BO20" si="37">+BI10-BI16</f>
        <v>2956812</v>
      </c>
      <c r="BJ20" s="71">
        <f t="shared" ref="BJ20" si="38">+BJ10-BJ16</f>
        <v>2724295</v>
      </c>
      <c r="BK20" s="71">
        <f t="shared" si="37"/>
        <v>180537</v>
      </c>
      <c r="BL20" s="71">
        <f t="shared" ref="BL20" si="39">+BL10-BL16</f>
        <v>170996</v>
      </c>
      <c r="BM20" s="71">
        <f t="shared" si="37"/>
        <v>195092</v>
      </c>
      <c r="BN20" s="71">
        <f t="shared" ref="BN20" si="40">+BN10-BN16</f>
        <v>195091</v>
      </c>
      <c r="BO20" s="71">
        <f t="shared" si="37"/>
        <v>19670</v>
      </c>
      <c r="BP20" s="71"/>
      <c r="BQ20" s="71">
        <f t="shared" ref="BQ20:BR20" si="41">+BQ10-BQ16</f>
        <v>1337211</v>
      </c>
      <c r="BR20" s="71">
        <f t="shared" si="41"/>
        <v>147154</v>
      </c>
      <c r="BS20" s="71">
        <f t="shared" ref="BS20" si="42">+BS10-BS16</f>
        <v>290215</v>
      </c>
      <c r="BT20" s="977">
        <f>+BQ20+BR20+BS20-'ER GA separado Acum.'!C18</f>
        <v>0</v>
      </c>
      <c r="BU20" s="122">
        <f>BJ20+BL20+BN20-'ER GA separado Acum.'!E18</f>
        <v>0</v>
      </c>
    </row>
    <row r="21" spans="2:73" ht="16.5" customHeight="1">
      <c r="B21" s="100" t="s">
        <v>133</v>
      </c>
      <c r="C21" s="169">
        <f>+C20/C$10</f>
        <v>0.81545378369296595</v>
      </c>
      <c r="D21" s="169">
        <f>+D20/D$10</f>
        <v>0.43678133498735627</v>
      </c>
      <c r="E21" s="169">
        <f>+E20/E$10</f>
        <v>0.43658764550938906</v>
      </c>
      <c r="F21" s="169">
        <f>+F20/F$10</f>
        <v>0.24233316560362297</v>
      </c>
      <c r="H21" s="169">
        <f>+H20/H$10</f>
        <v>0.99298326472878684</v>
      </c>
      <c r="I21" s="169">
        <f>+I20/I$10</f>
        <v>0.73534901956194809</v>
      </c>
      <c r="J21" s="169">
        <f>+J20/J$10</f>
        <v>0.52331348421729251</v>
      </c>
      <c r="K21" s="169">
        <f t="shared" ref="K21:L21" si="43">+K20/K$10</f>
        <v>0.1153938050137146</v>
      </c>
      <c r="L21" s="169">
        <f t="shared" si="43"/>
        <v>0.38089074890446689</v>
      </c>
      <c r="N21" s="169">
        <f t="shared" ref="N21:U21" si="44">+N20/N$10</f>
        <v>0.98398631655482316</v>
      </c>
      <c r="O21" s="169">
        <f t="shared" si="44"/>
        <v>0.98337849039329939</v>
      </c>
      <c r="P21" s="169">
        <f t="shared" si="44"/>
        <v>0.99941500554435048</v>
      </c>
      <c r="Q21" s="169">
        <f t="shared" si="44"/>
        <v>0.99944327652538079</v>
      </c>
      <c r="R21" s="169">
        <f t="shared" si="44"/>
        <v>0.59686298089383272</v>
      </c>
      <c r="S21" s="169">
        <f t="shared" si="44"/>
        <v>0.63609736012202767</v>
      </c>
      <c r="T21" s="169">
        <f t="shared" si="44"/>
        <v>0.39220895695108782</v>
      </c>
      <c r="U21" s="169">
        <f t="shared" si="44"/>
        <v>0.38587499330095054</v>
      </c>
      <c r="W21" s="169">
        <f t="shared" ref="W21:AC21" si="45">+W20/W$10</f>
        <v>0.99720333780496129</v>
      </c>
      <c r="X21" s="169">
        <f t="shared" si="45"/>
        <v>0.99724528703325255</v>
      </c>
      <c r="Y21" s="169">
        <f t="shared" si="45"/>
        <v>0.55421315854282305</v>
      </c>
      <c r="Z21" s="169">
        <f t="shared" si="45"/>
        <v>0.55719944301225</v>
      </c>
      <c r="AA21" s="169">
        <f t="shared" si="45"/>
        <v>0.60683586243456367</v>
      </c>
      <c r="AB21" s="169">
        <f t="shared" si="45"/>
        <v>0.60700721572596406</v>
      </c>
      <c r="AC21" s="169">
        <f t="shared" si="45"/>
        <v>0.87129181677817813</v>
      </c>
      <c r="AD21" s="119"/>
      <c r="AE21" s="169">
        <f t="shared" ref="AE21:AH21" si="46">+AE20/AE$10</f>
        <v>0.65259708213087164</v>
      </c>
      <c r="AF21" s="169">
        <f t="shared" si="46"/>
        <v>0.99049030254437687</v>
      </c>
      <c r="AG21" s="169">
        <f t="shared" si="46"/>
        <v>0.99670683970308771</v>
      </c>
      <c r="AH21" s="169">
        <f t="shared" si="46"/>
        <v>0.94019176487863776</v>
      </c>
      <c r="AI21" s="119"/>
      <c r="AJ21" s="169">
        <f t="shared" ref="AJ21:AM21" si="47">+AJ20/AJ$10</f>
        <v>0.80820573159593456</v>
      </c>
      <c r="AK21" s="169">
        <f t="shared" si="47"/>
        <v>0.98961405841053551</v>
      </c>
      <c r="AL21" s="169">
        <f t="shared" si="47"/>
        <v>0.99355593696364486</v>
      </c>
      <c r="AM21" s="169">
        <f t="shared" si="47"/>
        <v>0.79590074580954329</v>
      </c>
      <c r="AN21" s="119"/>
      <c r="AO21" s="169">
        <f t="shared" ref="AO21:AR21" si="48">+AO20/AO$10</f>
        <v>0.88321598002496882</v>
      </c>
      <c r="AP21" s="169">
        <f t="shared" si="48"/>
        <v>0.6390513778278949</v>
      </c>
      <c r="AQ21" s="169">
        <f t="shared" si="48"/>
        <v>0.9231915245820228</v>
      </c>
      <c r="AR21" s="169">
        <f t="shared" si="48"/>
        <v>-4.5812233285917499</v>
      </c>
      <c r="AS21" s="119"/>
      <c r="AT21" s="169">
        <f t="shared" ref="AT21:AW21" si="49">+AT20/AT$10</f>
        <v>0.98943166798836901</v>
      </c>
      <c r="AU21" s="169">
        <f t="shared" si="49"/>
        <v>0.72523031501444313</v>
      </c>
      <c r="AV21" s="169">
        <f t="shared" si="49"/>
        <v>0.90960623840974375</v>
      </c>
      <c r="AW21" s="169">
        <f t="shared" si="49"/>
        <v>0.64832552229221041</v>
      </c>
      <c r="AX21" s="169"/>
      <c r="AY21" s="169">
        <f t="shared" ref="AY21:BB21" si="50">+AY20/AY$10</f>
        <v>0.92086712490911837</v>
      </c>
      <c r="AZ21" s="169">
        <f t="shared" si="50"/>
        <v>0.91443865808011526</v>
      </c>
      <c r="BA21" s="169">
        <f t="shared" si="50"/>
        <v>0.85541458721664365</v>
      </c>
      <c r="BB21" s="169">
        <f t="shared" si="50"/>
        <v>0.66909866571009458</v>
      </c>
      <c r="BC21" s="169"/>
      <c r="BD21" s="169">
        <f t="shared" ref="BD21:BG21" si="51">+BD20/BD$10</f>
        <v>0.94930388996496728</v>
      </c>
      <c r="BE21" s="169">
        <f t="shared" si="51"/>
        <v>0.79930831997406204</v>
      </c>
      <c r="BF21" s="169">
        <f t="shared" si="51"/>
        <v>0.80827396529100848</v>
      </c>
      <c r="BG21" s="169">
        <f t="shared" si="51"/>
        <v>0.34223848804788926</v>
      </c>
      <c r="BH21" s="169"/>
      <c r="BI21" s="169">
        <f t="shared" ref="BI21:BO21" si="52">+BI20/BI$10</f>
        <v>0.99450113868707413</v>
      </c>
      <c r="BJ21" s="169">
        <f t="shared" ref="BJ21" si="53">+BJ20/BJ$10</f>
        <v>0.99403461376231284</v>
      </c>
      <c r="BK21" s="169">
        <f t="shared" si="52"/>
        <v>0.8275477977071769</v>
      </c>
      <c r="BL21" s="169">
        <f t="shared" ref="BL21" si="54">+BL20/BL$10</f>
        <v>0.87567661683898956</v>
      </c>
      <c r="BM21" s="169">
        <f t="shared" si="52"/>
        <v>0.89625358906626851</v>
      </c>
      <c r="BN21" s="169">
        <f t="shared" ref="BN21" si="55">+BN20/BN$10</f>
        <v>0.89625311245256667</v>
      </c>
      <c r="BO21" s="169">
        <f t="shared" si="52"/>
        <v>0.15529151699364466</v>
      </c>
      <c r="BP21" s="169"/>
      <c r="BQ21" s="169">
        <f t="shared" ref="BQ21:BR21" si="56">+BQ20/BQ$10</f>
        <v>0.98645298120723679</v>
      </c>
      <c r="BR21" s="169">
        <f t="shared" si="56"/>
        <v>0.89828283999829073</v>
      </c>
      <c r="BS21" s="169">
        <f t="shared" ref="BS21" si="57">+BS20/BS$10</f>
        <v>0.92009942393720057</v>
      </c>
      <c r="BT21" s="122"/>
      <c r="BU21" s="122"/>
    </row>
    <row r="22" spans="2:73" ht="4.5" customHeight="1">
      <c r="C22" s="167"/>
      <c r="D22" s="167"/>
      <c r="E22" s="167"/>
      <c r="F22" s="167"/>
      <c r="H22" s="167"/>
      <c r="I22" s="167"/>
      <c r="J22" s="167"/>
      <c r="K22" s="167"/>
      <c r="L22" s="167"/>
      <c r="N22" s="167"/>
      <c r="O22" s="167"/>
      <c r="P22" s="167"/>
      <c r="Q22" s="167"/>
      <c r="R22" s="167"/>
      <c r="S22" s="167"/>
      <c r="T22" s="167"/>
      <c r="U22" s="167"/>
      <c r="W22" s="167"/>
      <c r="X22" s="167"/>
      <c r="AD22" s="119"/>
      <c r="AE22" s="167"/>
      <c r="AI22" s="119"/>
      <c r="AJ22" s="167"/>
      <c r="AN22" s="119"/>
      <c r="AO22" s="167"/>
      <c r="AS22" s="119"/>
      <c r="AT22" s="167"/>
      <c r="AV22"/>
      <c r="AY22" s="167"/>
      <c r="BD22" s="167"/>
      <c r="BF22"/>
      <c r="BI22" s="167"/>
      <c r="BJ22" s="167"/>
      <c r="BT22" s="122"/>
      <c r="BU22" s="122"/>
    </row>
    <row r="23" spans="2:73" ht="15" customHeight="1">
      <c r="B23" s="56" t="s">
        <v>134</v>
      </c>
      <c r="C23" s="71">
        <f>SUM(C24:C27)</f>
        <v>23088</v>
      </c>
      <c r="D23" s="71">
        <f>SUM(D24:D27)</f>
        <v>18094</v>
      </c>
      <c r="E23" s="71">
        <f>SUM(E24:E27)</f>
        <v>19160</v>
      </c>
      <c r="F23" s="71">
        <f>SUM(F24:F27)</f>
        <v>78138</v>
      </c>
      <c r="H23" s="71">
        <f>SUM(H24:H27)</f>
        <v>34292</v>
      </c>
      <c r="I23" s="71">
        <f>SUM(I24:I27)</f>
        <v>21254</v>
      </c>
      <c r="J23" s="71">
        <f>SUM(J24:J27)</f>
        <v>18619</v>
      </c>
      <c r="K23" s="71">
        <f>SUM(K24:K27)</f>
        <v>44058</v>
      </c>
      <c r="L23" s="71">
        <f>SUM(L24:L27)</f>
        <v>43755</v>
      </c>
      <c r="N23" s="71">
        <f t="shared" ref="N23:U23" si="58">SUM(N24:N27)</f>
        <v>47851</v>
      </c>
      <c r="O23" s="71">
        <f t="shared" si="58"/>
        <v>47851</v>
      </c>
      <c r="P23" s="71">
        <f t="shared" si="58"/>
        <v>18821</v>
      </c>
      <c r="Q23" s="71">
        <f t="shared" si="58"/>
        <v>18821</v>
      </c>
      <c r="R23" s="71">
        <f t="shared" si="58"/>
        <v>23564</v>
      </c>
      <c r="S23" s="71">
        <f t="shared" si="58"/>
        <v>23558</v>
      </c>
      <c r="T23" s="71">
        <f t="shared" si="58"/>
        <v>38991</v>
      </c>
      <c r="U23" s="71">
        <f t="shared" si="58"/>
        <v>43613</v>
      </c>
      <c r="W23" s="71">
        <f t="shared" ref="W23:AC23" si="59">SUM(W24:W27)</f>
        <v>47563</v>
      </c>
      <c r="X23" s="71">
        <f t="shared" si="59"/>
        <v>49395</v>
      </c>
      <c r="Y23" s="71">
        <f t="shared" si="59"/>
        <v>22303</v>
      </c>
      <c r="Z23" s="71">
        <f t="shared" si="59"/>
        <v>22674</v>
      </c>
      <c r="AA23" s="71">
        <f t="shared" si="59"/>
        <v>45457</v>
      </c>
      <c r="AB23" s="71">
        <f t="shared" si="59"/>
        <v>45604</v>
      </c>
      <c r="AC23" s="71">
        <f t="shared" si="59"/>
        <v>49794</v>
      </c>
      <c r="AD23" s="119"/>
      <c r="AE23" s="71">
        <f t="shared" ref="AE23:AH23" si="60">SUM(AE24:AE27)</f>
        <v>45456</v>
      </c>
      <c r="AF23" s="71">
        <f t="shared" si="60"/>
        <v>27219</v>
      </c>
      <c r="AG23" s="71">
        <f t="shared" si="60"/>
        <v>19719</v>
      </c>
      <c r="AH23" s="71">
        <f t="shared" si="60"/>
        <v>48937</v>
      </c>
      <c r="AI23" s="119"/>
      <c r="AJ23" s="71">
        <f t="shared" ref="AJ23:AM23" si="61">SUM(AJ24:AJ27)</f>
        <v>51547</v>
      </c>
      <c r="AK23" s="71">
        <f t="shared" si="61"/>
        <v>27075</v>
      </c>
      <c r="AL23" s="71">
        <f t="shared" si="61"/>
        <v>24394</v>
      </c>
      <c r="AM23" s="71">
        <f t="shared" si="61"/>
        <v>39979</v>
      </c>
      <c r="AN23" s="119"/>
      <c r="AO23" s="71">
        <f t="shared" ref="AO23:AR23" si="62">SUM(AO24:AO27)</f>
        <v>47477</v>
      </c>
      <c r="AP23" s="71">
        <f t="shared" si="62"/>
        <v>23540</v>
      </c>
      <c r="AQ23" s="71">
        <f t="shared" si="62"/>
        <v>27382</v>
      </c>
      <c r="AR23" s="71">
        <f t="shared" si="62"/>
        <v>30223</v>
      </c>
      <c r="AS23" s="119"/>
      <c r="AT23" s="71">
        <f t="shared" ref="AT23:AW23" si="63">SUM(AT24:AT27)</f>
        <v>49349</v>
      </c>
      <c r="AU23" s="71">
        <f t="shared" si="63"/>
        <v>28021</v>
      </c>
      <c r="AV23" s="71">
        <f t="shared" si="63"/>
        <v>23816</v>
      </c>
      <c r="AW23" s="71">
        <f t="shared" si="63"/>
        <v>35005</v>
      </c>
      <c r="AX23" s="71"/>
      <c r="AY23" s="71">
        <f t="shared" ref="AY23:BB23" si="64">SUM(AY24:AY27)</f>
        <v>65029</v>
      </c>
      <c r="AZ23" s="71">
        <f t="shared" si="64"/>
        <v>36613</v>
      </c>
      <c r="BA23" s="71">
        <f t="shared" si="64"/>
        <v>28901</v>
      </c>
      <c r="BB23" s="71">
        <f t="shared" si="64"/>
        <v>60267</v>
      </c>
      <c r="BC23" s="71"/>
      <c r="BD23" s="71">
        <f t="shared" ref="BD23" si="65">SUM(BD24:BD27)</f>
        <v>49432</v>
      </c>
      <c r="BE23" s="71">
        <f t="shared" ref="BE23:BG23" si="66">SUM(BE24:BE27)</f>
        <v>32349</v>
      </c>
      <c r="BF23" s="71">
        <f t="shared" si="66"/>
        <v>46885.595300000001</v>
      </c>
      <c r="BG23" s="71">
        <f t="shared" si="66"/>
        <v>42460.404699999999</v>
      </c>
      <c r="BH23" s="71"/>
      <c r="BI23" s="71">
        <f t="shared" ref="BI23:BJ23" si="67">SUM(BI24:BI27)</f>
        <v>69847</v>
      </c>
      <c r="BJ23" s="71">
        <f t="shared" si="67"/>
        <v>69847</v>
      </c>
      <c r="BK23" s="71">
        <f t="shared" ref="BK23:BO23" si="68">SUM(BK24:BK27)</f>
        <v>45105</v>
      </c>
      <c r="BL23" s="71">
        <f t="shared" ref="BL23" si="69">SUM(BL24:BL27)</f>
        <v>44900</v>
      </c>
      <c r="BM23" s="71">
        <f t="shared" si="68"/>
        <v>31752</v>
      </c>
      <c r="BN23" s="71">
        <f t="shared" ref="BN23" si="70">SUM(BN24:BN27)</f>
        <v>29540</v>
      </c>
      <c r="BO23" s="71">
        <f t="shared" si="68"/>
        <v>43306</v>
      </c>
      <c r="BP23" s="71"/>
      <c r="BQ23" s="71">
        <f t="shared" ref="BQ23:BR23" si="71">SUM(BQ24:BQ27)</f>
        <v>60745</v>
      </c>
      <c r="BR23" s="71">
        <f t="shared" si="71"/>
        <v>42631</v>
      </c>
      <c r="BS23" s="71">
        <f t="shared" ref="BS23" si="72">SUM(BS24:BS27)</f>
        <v>30260</v>
      </c>
      <c r="BT23" s="977">
        <f>+BQ23+BR23+BS23-'ER GA separado Acum.'!C21</f>
        <v>0</v>
      </c>
      <c r="BU23" s="122">
        <f>BJ23+BL23+BN23-'ER GA separado Acum.'!E21</f>
        <v>0</v>
      </c>
    </row>
    <row r="24" spans="2:73" ht="16.5" customHeight="1">
      <c r="B24" s="64" t="s">
        <v>135</v>
      </c>
      <c r="C24" s="167">
        <v>20350</v>
      </c>
      <c r="D24" s="167">
        <v>19225</v>
      </c>
      <c r="E24" s="167">
        <v>18455</v>
      </c>
      <c r="F24" s="167">
        <f>77024+1</f>
        <v>77025</v>
      </c>
      <c r="H24" s="167">
        <v>33611</v>
      </c>
      <c r="I24" s="167">
        <f>20155-1</f>
        <v>20154</v>
      </c>
      <c r="J24" s="167">
        <v>17000</v>
      </c>
      <c r="K24" s="167">
        <v>40674</v>
      </c>
      <c r="L24" s="167">
        <v>40674</v>
      </c>
      <c r="N24" s="167">
        <v>46839</v>
      </c>
      <c r="O24" s="167">
        <v>46839</v>
      </c>
      <c r="P24" s="167">
        <v>17259</v>
      </c>
      <c r="Q24" s="167">
        <v>17259</v>
      </c>
      <c r="R24" s="167">
        <v>22068</v>
      </c>
      <c r="S24" s="167">
        <v>22068</v>
      </c>
      <c r="T24" s="167">
        <v>37606</v>
      </c>
      <c r="U24" s="119">
        <f>37606+4442</f>
        <v>42048</v>
      </c>
      <c r="W24" s="167">
        <v>46472</v>
      </c>
      <c r="X24" s="167">
        <v>48282</v>
      </c>
      <c r="Y24" s="167">
        <v>21224</v>
      </c>
      <c r="Z24" s="167">
        <f>21224+350</f>
        <v>21574</v>
      </c>
      <c r="AA24" s="167">
        <v>28780</v>
      </c>
      <c r="AB24" s="167">
        <f>28780+126</f>
        <v>28906</v>
      </c>
      <c r="AC24" s="167">
        <v>47878</v>
      </c>
      <c r="AD24" s="119"/>
      <c r="AE24" s="167">
        <v>44399</v>
      </c>
      <c r="AF24" s="167">
        <f>25935+215</f>
        <v>26150</v>
      </c>
      <c r="AG24" s="167">
        <f>18658-30</f>
        <v>18628</v>
      </c>
      <c r="AH24" s="167">
        <v>28471</v>
      </c>
      <c r="AI24" s="119"/>
      <c r="AJ24" s="167">
        <v>47238</v>
      </c>
      <c r="AK24" s="167">
        <v>22925</v>
      </c>
      <c r="AL24" s="167">
        <v>20214</v>
      </c>
      <c r="AM24" s="167">
        <v>34994</v>
      </c>
      <c r="AN24" s="119"/>
      <c r="AO24" s="167">
        <v>43364</v>
      </c>
      <c r="AP24" s="167">
        <v>18939</v>
      </c>
      <c r="AQ24" s="167">
        <v>21509</v>
      </c>
      <c r="AR24" s="167">
        <v>25288</v>
      </c>
      <c r="AS24" s="119"/>
      <c r="AT24" s="167">
        <v>44772</v>
      </c>
      <c r="AU24" s="167">
        <v>23139</v>
      </c>
      <c r="AV24" s="167">
        <v>19316</v>
      </c>
      <c r="AW24" s="167">
        <v>29808</v>
      </c>
      <c r="AX24" s="167"/>
      <c r="AY24" s="167">
        <v>60366</v>
      </c>
      <c r="AZ24" s="167">
        <v>31630</v>
      </c>
      <c r="BA24" s="167">
        <v>23980</v>
      </c>
      <c r="BB24" s="167">
        <v>58697</v>
      </c>
      <c r="BC24" s="167"/>
      <c r="BD24" s="167">
        <v>48106</v>
      </c>
      <c r="BE24" s="167">
        <v>31845</v>
      </c>
      <c r="BF24" s="167">
        <v>45544.595300000001</v>
      </c>
      <c r="BG24" s="167">
        <v>41945.404699999999</v>
      </c>
      <c r="BH24" s="167"/>
      <c r="BI24" s="167">
        <v>68819</v>
      </c>
      <c r="BJ24" s="167">
        <v>68819</v>
      </c>
      <c r="BK24" s="167">
        <v>44143</v>
      </c>
      <c r="BL24" s="167">
        <v>43938</v>
      </c>
      <c r="BM24" s="167">
        <v>30720</v>
      </c>
      <c r="BN24" s="167">
        <v>28508</v>
      </c>
      <c r="BO24" s="167">
        <v>41412</v>
      </c>
      <c r="BP24" s="167"/>
      <c r="BQ24" s="167">
        <v>59623</v>
      </c>
      <c r="BR24" s="167">
        <v>41585</v>
      </c>
      <c r="BS24" s="167">
        <f>29240-1</f>
        <v>29239</v>
      </c>
      <c r="BT24" s="977">
        <f>+BQ24+BR24+BS24-'ER GA separado Acum.'!C22</f>
        <v>0</v>
      </c>
      <c r="BU24" s="122">
        <f>BJ24+BL24+BN24-'ER GA separado Acum.'!E22</f>
        <v>0</v>
      </c>
    </row>
    <row r="25" spans="2:73" ht="12.5">
      <c r="B25" s="64" t="s">
        <v>215</v>
      </c>
      <c r="C25" s="167">
        <v>28</v>
      </c>
      <c r="D25" s="167">
        <v>28</v>
      </c>
      <c r="E25" s="167">
        <v>95</v>
      </c>
      <c r="F25" s="167">
        <v>2308</v>
      </c>
      <c r="H25" s="167">
        <v>681</v>
      </c>
      <c r="I25" s="167">
        <v>681</v>
      </c>
      <c r="J25" s="167">
        <v>795</v>
      </c>
      <c r="K25" s="167">
        <v>739</v>
      </c>
      <c r="L25" s="167">
        <v>436</v>
      </c>
      <c r="N25" s="167">
        <v>874</v>
      </c>
      <c r="O25" s="167">
        <v>874</v>
      </c>
      <c r="P25" s="167">
        <v>866</v>
      </c>
      <c r="Q25" s="167">
        <v>866</v>
      </c>
      <c r="R25" s="167">
        <v>866</v>
      </c>
      <c r="S25" s="167">
        <v>860</v>
      </c>
      <c r="T25" s="167">
        <v>806</v>
      </c>
      <c r="U25" s="119">
        <f>812+87</f>
        <v>899</v>
      </c>
      <c r="W25" s="167">
        <v>674</v>
      </c>
      <c r="X25" s="167">
        <v>695</v>
      </c>
      <c r="Y25" s="51">
        <v>672</v>
      </c>
      <c r="Z25" s="51">
        <f>672+21</f>
        <v>693</v>
      </c>
      <c r="AA25" s="167">
        <v>16171</v>
      </c>
      <c r="AB25" s="167">
        <f>16171+22</f>
        <v>16193</v>
      </c>
      <c r="AC25" s="165">
        <v>933</v>
      </c>
      <c r="AD25" s="119"/>
      <c r="AE25" s="167">
        <v>888</v>
      </c>
      <c r="AF25" s="167">
        <v>890</v>
      </c>
      <c r="AG25" s="167">
        <v>889</v>
      </c>
      <c r="AH25" s="167">
        <v>19436</v>
      </c>
      <c r="AI25" s="119"/>
      <c r="AJ25" s="167">
        <v>4088</v>
      </c>
      <c r="AK25" s="167">
        <v>3973</v>
      </c>
      <c r="AL25" s="167">
        <v>3999</v>
      </c>
      <c r="AM25" s="167">
        <v>4330</v>
      </c>
      <c r="AN25" s="119"/>
      <c r="AO25" s="167">
        <v>3760</v>
      </c>
      <c r="AP25" s="167">
        <v>4352</v>
      </c>
      <c r="AQ25" s="167">
        <v>5711</v>
      </c>
      <c r="AR25" s="167">
        <v>4555</v>
      </c>
      <c r="AS25" s="119"/>
      <c r="AT25" s="167">
        <v>4400</v>
      </c>
      <c r="AU25" s="167">
        <v>4364</v>
      </c>
      <c r="AV25" s="167">
        <v>4350</v>
      </c>
      <c r="AW25" s="167">
        <v>4372</v>
      </c>
      <c r="AX25" s="167"/>
      <c r="AY25" s="167">
        <v>4412</v>
      </c>
      <c r="AZ25" s="167">
        <v>4426</v>
      </c>
      <c r="BA25" s="167">
        <v>4421</v>
      </c>
      <c r="BB25" s="167">
        <v>599</v>
      </c>
      <c r="BC25" s="167"/>
      <c r="BD25" s="167">
        <v>606</v>
      </c>
      <c r="BE25" s="167">
        <v>583</v>
      </c>
      <c r="BF25" s="167">
        <v>686</v>
      </c>
      <c r="BG25" s="167">
        <v>556</v>
      </c>
      <c r="BH25" s="167"/>
      <c r="BI25" s="167">
        <v>701</v>
      </c>
      <c r="BJ25" s="167">
        <v>701</v>
      </c>
      <c r="BK25" s="167">
        <v>657</v>
      </c>
      <c r="BL25" s="167">
        <v>657</v>
      </c>
      <c r="BM25" s="167">
        <v>758</v>
      </c>
      <c r="BN25" s="167">
        <v>758</v>
      </c>
      <c r="BO25" s="167">
        <v>668</v>
      </c>
      <c r="BP25" s="167"/>
      <c r="BQ25" s="167">
        <v>666</v>
      </c>
      <c r="BR25" s="167">
        <v>681</v>
      </c>
      <c r="BS25" s="167">
        <v>581</v>
      </c>
      <c r="BT25" s="977">
        <f>+BQ25+BR25+BS25-'ER GA separado Acum.'!C23</f>
        <v>0</v>
      </c>
      <c r="BU25" s="122">
        <f>BJ25+BL25+BN25-'ER GA separado Acum.'!E23</f>
        <v>0</v>
      </c>
    </row>
    <row r="26" spans="2:73" ht="14.25" customHeight="1">
      <c r="B26" s="64" t="s">
        <v>137</v>
      </c>
      <c r="C26" s="167">
        <v>2710</v>
      </c>
      <c r="D26" s="167">
        <v>-1159</v>
      </c>
      <c r="E26" s="167">
        <v>610</v>
      </c>
      <c r="F26" s="167">
        <v>-1195</v>
      </c>
      <c r="H26" s="170">
        <v>0</v>
      </c>
      <c r="I26" s="167">
        <v>419</v>
      </c>
      <c r="J26" s="167">
        <v>824</v>
      </c>
      <c r="K26" s="167">
        <v>2645</v>
      </c>
      <c r="L26" s="167">
        <v>2645</v>
      </c>
      <c r="N26" s="167">
        <v>138</v>
      </c>
      <c r="O26" s="167">
        <v>138</v>
      </c>
      <c r="P26" s="167">
        <v>696</v>
      </c>
      <c r="Q26" s="167">
        <v>696</v>
      </c>
      <c r="R26" s="167">
        <v>630</v>
      </c>
      <c r="S26" s="167">
        <v>630</v>
      </c>
      <c r="T26" s="167">
        <v>579</v>
      </c>
      <c r="U26" s="119">
        <f>579+87</f>
        <v>666</v>
      </c>
      <c r="W26" s="167">
        <v>417</v>
      </c>
      <c r="X26" s="167">
        <v>418</v>
      </c>
      <c r="Y26" s="51">
        <v>407</v>
      </c>
      <c r="Z26" s="51">
        <v>407</v>
      </c>
      <c r="AA26" s="167">
        <v>506</v>
      </c>
      <c r="AB26" s="167">
        <f>506-1</f>
        <v>505</v>
      </c>
      <c r="AC26" s="165">
        <v>983</v>
      </c>
      <c r="AD26" s="119"/>
      <c r="AE26" s="167">
        <v>169</v>
      </c>
      <c r="AF26" s="167">
        <v>179</v>
      </c>
      <c r="AG26" s="167">
        <v>202</v>
      </c>
      <c r="AH26" s="167">
        <v>1030</v>
      </c>
      <c r="AI26" s="119"/>
      <c r="AJ26" s="167">
        <v>221</v>
      </c>
      <c r="AK26" s="167">
        <v>177</v>
      </c>
      <c r="AL26" s="167">
        <v>181</v>
      </c>
      <c r="AM26" s="167">
        <v>655</v>
      </c>
      <c r="AN26" s="119"/>
      <c r="AO26" s="167">
        <v>353</v>
      </c>
      <c r="AP26" s="167">
        <v>249</v>
      </c>
      <c r="AQ26" s="167">
        <v>162</v>
      </c>
      <c r="AR26" s="167">
        <v>380</v>
      </c>
      <c r="AS26" s="119"/>
      <c r="AT26" s="167">
        <v>177</v>
      </c>
      <c r="AU26" s="167">
        <v>518</v>
      </c>
      <c r="AV26" s="167">
        <v>150</v>
      </c>
      <c r="AW26" s="167">
        <v>825</v>
      </c>
      <c r="AX26" s="167"/>
      <c r="AY26" s="167">
        <v>251</v>
      </c>
      <c r="AZ26" s="167">
        <v>557</v>
      </c>
      <c r="BA26" s="167">
        <v>500</v>
      </c>
      <c r="BB26" s="167">
        <v>971</v>
      </c>
      <c r="BC26" s="167"/>
      <c r="BD26" s="167">
        <v>720</v>
      </c>
      <c r="BE26" s="167">
        <v>-79</v>
      </c>
      <c r="BF26" s="167">
        <v>655</v>
      </c>
      <c r="BG26" s="167">
        <v>-41</v>
      </c>
      <c r="BH26" s="167"/>
      <c r="BI26" s="167">
        <v>327</v>
      </c>
      <c r="BJ26" s="167">
        <v>327</v>
      </c>
      <c r="BK26" s="167">
        <v>305</v>
      </c>
      <c r="BL26" s="167">
        <v>305</v>
      </c>
      <c r="BM26" s="167">
        <v>274</v>
      </c>
      <c r="BN26" s="167">
        <v>274</v>
      </c>
      <c r="BO26" s="167">
        <v>1226</v>
      </c>
      <c r="BP26" s="167"/>
      <c r="BQ26" s="167">
        <v>456</v>
      </c>
      <c r="BR26" s="167">
        <f>364+1</f>
        <v>365</v>
      </c>
      <c r="BS26" s="167">
        <v>440</v>
      </c>
      <c r="BT26" s="977">
        <f>+BQ26+BR26+BS26-'ER GA separado Acum.'!C24</f>
        <v>0</v>
      </c>
      <c r="BU26" s="122">
        <f>BJ26+BL26+BN26-'ER GA separado Acum.'!E24</f>
        <v>0</v>
      </c>
    </row>
    <row r="27" spans="2:73" ht="11.25" hidden="1" customHeight="1">
      <c r="B27" s="64" t="s">
        <v>216</v>
      </c>
      <c r="C27" s="167"/>
      <c r="D27" s="167"/>
      <c r="E27" s="167"/>
      <c r="F27" s="167"/>
      <c r="H27" s="167">
        <v>0</v>
      </c>
      <c r="I27" s="167"/>
      <c r="J27" s="167"/>
      <c r="K27" s="167"/>
      <c r="L27" s="167">
        <v>0</v>
      </c>
      <c r="N27" s="167">
        <v>0</v>
      </c>
      <c r="O27" s="167">
        <v>0</v>
      </c>
      <c r="P27" s="167">
        <v>0</v>
      </c>
      <c r="Q27" s="167"/>
      <c r="R27" s="167">
        <v>0</v>
      </c>
      <c r="S27" s="167"/>
      <c r="T27" s="167">
        <v>0</v>
      </c>
      <c r="U27" s="167">
        <v>0</v>
      </c>
      <c r="W27" s="167">
        <v>0</v>
      </c>
      <c r="X27" s="167">
        <v>0</v>
      </c>
      <c r="AD27" s="119"/>
      <c r="AE27" s="167">
        <v>0</v>
      </c>
      <c r="AI27" s="119"/>
      <c r="AJ27" s="167">
        <v>0</v>
      </c>
      <c r="AN27" s="119"/>
      <c r="AO27" s="167">
        <v>0</v>
      </c>
      <c r="AS27" s="119"/>
      <c r="AT27" s="167">
        <v>0</v>
      </c>
      <c r="AV27"/>
      <c r="AY27" s="167">
        <v>0</v>
      </c>
      <c r="BD27" s="167"/>
      <c r="BF27"/>
      <c r="BI27" s="167"/>
      <c r="BJ27" s="167"/>
      <c r="BT27" s="122">
        <f>BD27-'ER GA separado Acum.'!C25</f>
        <v>0</v>
      </c>
      <c r="BU27" s="122">
        <f>AY27+AZ27-'ER GA separado Acum.'!E25</f>
        <v>0</v>
      </c>
    </row>
    <row r="28" spans="2:73" ht="6" customHeight="1">
      <c r="C28" s="167"/>
      <c r="D28" s="167"/>
      <c r="E28" s="167"/>
      <c r="F28" s="167"/>
      <c r="H28" s="167"/>
      <c r="I28" s="167"/>
      <c r="J28" s="167"/>
      <c r="K28" s="167"/>
      <c r="L28" s="167"/>
      <c r="N28" s="167"/>
      <c r="O28" s="167"/>
      <c r="P28" s="167"/>
      <c r="Q28" s="167"/>
      <c r="R28" s="167"/>
      <c r="S28" s="167"/>
      <c r="T28" s="167"/>
      <c r="U28" s="167"/>
      <c r="W28" s="167"/>
      <c r="X28" s="167"/>
      <c r="AD28" s="119"/>
      <c r="AE28" s="167"/>
      <c r="AI28" s="119"/>
      <c r="AJ28" s="167"/>
      <c r="AN28" s="119"/>
      <c r="AO28" s="167"/>
      <c r="AS28" s="119"/>
      <c r="AT28" s="167"/>
      <c r="AV28"/>
      <c r="AY28" s="167"/>
      <c r="BD28" s="167"/>
      <c r="BF28"/>
      <c r="BI28" s="167"/>
      <c r="BJ28" s="167"/>
      <c r="BT28" s="122"/>
      <c r="BU28" s="122"/>
    </row>
    <row r="29" spans="2:73" ht="15" customHeight="1">
      <c r="B29" s="56" t="s">
        <v>139</v>
      </c>
      <c r="C29" s="115">
        <f>+C30-C31-C32</f>
        <v>-11300</v>
      </c>
      <c r="D29" s="115">
        <f>+D30-D31-D32</f>
        <v>-4277</v>
      </c>
      <c r="E29" s="115">
        <f>+E30-E31-E32</f>
        <v>-211</v>
      </c>
      <c r="F29" s="115">
        <f>+F30-F31-F32</f>
        <v>23907</v>
      </c>
      <c r="H29" s="115">
        <f>+H30-H31-H32</f>
        <v>-13615</v>
      </c>
      <c r="I29" s="115">
        <f>+I30-I31-I32</f>
        <v>8228</v>
      </c>
      <c r="J29" s="115">
        <f>+J30-J31-J32</f>
        <v>-13502</v>
      </c>
      <c r="K29" s="115">
        <f>+K30-K31-K32</f>
        <v>15800</v>
      </c>
      <c r="L29" s="115">
        <f>+L30-L31-L32</f>
        <v>-4429</v>
      </c>
      <c r="N29" s="115">
        <f t="shared" ref="N29:U29" si="73">+N30-N31-N32</f>
        <v>-12460</v>
      </c>
      <c r="O29" s="115">
        <f t="shared" si="73"/>
        <v>7476</v>
      </c>
      <c r="P29" s="115">
        <f t="shared" si="73"/>
        <v>1158</v>
      </c>
      <c r="Q29" s="115">
        <f t="shared" si="73"/>
        <v>1158</v>
      </c>
      <c r="R29" s="115">
        <f t="shared" si="73"/>
        <v>-2137</v>
      </c>
      <c r="S29" s="115">
        <f t="shared" si="73"/>
        <v>-2137</v>
      </c>
      <c r="T29" s="115">
        <f t="shared" si="73"/>
        <v>8879</v>
      </c>
      <c r="U29" s="115">
        <f t="shared" si="73"/>
        <v>9621</v>
      </c>
      <c r="V29" s="115"/>
      <c r="W29" s="115">
        <f t="shared" ref="W29:AC29" si="74">+W30-W31-W32</f>
        <v>-7807</v>
      </c>
      <c r="X29" s="115">
        <f t="shared" si="74"/>
        <v>-7813</v>
      </c>
      <c r="Y29" s="115">
        <f t="shared" si="74"/>
        <v>-129</v>
      </c>
      <c r="Z29" s="115">
        <f t="shared" si="74"/>
        <v>-116</v>
      </c>
      <c r="AA29" s="115">
        <f t="shared" si="74"/>
        <v>-8214</v>
      </c>
      <c r="AB29" s="115">
        <f t="shared" si="74"/>
        <v>-8269</v>
      </c>
      <c r="AC29" s="115">
        <f t="shared" si="74"/>
        <v>-3683</v>
      </c>
      <c r="AD29" s="119"/>
      <c r="AE29" s="115">
        <f>+AE30-AE31-AE32</f>
        <v>2756</v>
      </c>
      <c r="AF29" s="115">
        <f>+AF30-AF31-AF32</f>
        <v>-545</v>
      </c>
      <c r="AG29" s="115">
        <f>+AG30-AG31-AG32</f>
        <v>-4024</v>
      </c>
      <c r="AH29" s="115">
        <f>+AH30-AH31-AH32</f>
        <v>29563</v>
      </c>
      <c r="AI29" s="119"/>
      <c r="AJ29" s="115">
        <f>+AJ30-AJ31-AJ32</f>
        <v>-1269</v>
      </c>
      <c r="AK29" s="115">
        <f>+AK30-AK31-AK32</f>
        <v>-5827</v>
      </c>
      <c r="AL29" s="115">
        <f>+AL30-AL31-AL32</f>
        <v>4012</v>
      </c>
      <c r="AM29" s="115">
        <f>+AM30-AM31-AM32</f>
        <v>-1397</v>
      </c>
      <c r="AN29" s="119"/>
      <c r="AO29" s="115">
        <f>+AO30-AO31-AO32</f>
        <v>-930</v>
      </c>
      <c r="AP29" s="115">
        <f t="shared" ref="AP29:AR29" si="75">+AP30-AP31-AP32</f>
        <v>-6152</v>
      </c>
      <c r="AQ29" s="115">
        <f t="shared" si="75"/>
        <v>-644</v>
      </c>
      <c r="AR29" s="115">
        <f t="shared" si="75"/>
        <v>-151</v>
      </c>
      <c r="AS29" s="119"/>
      <c r="AT29" s="115">
        <f>+AT30-AT31-AT32</f>
        <v>-559</v>
      </c>
      <c r="AU29" s="115">
        <f t="shared" ref="AU29:AW29" si="76">+AU30-AU31-AU32</f>
        <v>-2081</v>
      </c>
      <c r="AV29" s="115">
        <f t="shared" si="76"/>
        <v>-35</v>
      </c>
      <c r="AW29" s="115">
        <f t="shared" si="76"/>
        <v>-8025</v>
      </c>
      <c r="AX29" s="115"/>
      <c r="AY29" s="115">
        <f>+AY30-AY31-AY32</f>
        <v>-2798</v>
      </c>
      <c r="AZ29" s="115">
        <f t="shared" ref="AZ29:BB29" si="77">+AZ30-AZ31-AZ32</f>
        <v>140</v>
      </c>
      <c r="BA29" s="115">
        <f t="shared" si="77"/>
        <v>-4542</v>
      </c>
      <c r="BB29" s="115">
        <f t="shared" si="77"/>
        <v>-6222</v>
      </c>
      <c r="BC29" s="115"/>
      <c r="BD29" s="115">
        <f>+BD30-BD31-BD32</f>
        <v>-4386</v>
      </c>
      <c r="BE29" s="115">
        <f t="shared" ref="BE29:BG29" si="78">+BE30-BE31-BE32</f>
        <v>-2762</v>
      </c>
      <c r="BF29" s="115">
        <f t="shared" si="78"/>
        <v>-4871</v>
      </c>
      <c r="BG29" s="115">
        <f t="shared" si="78"/>
        <v>-3006</v>
      </c>
      <c r="BH29" s="115"/>
      <c r="BI29" s="115">
        <f>+BI30-BI31-BI32</f>
        <v>49439</v>
      </c>
      <c r="BJ29" s="115">
        <f>+BJ30-BJ31-BJ32</f>
        <v>49439</v>
      </c>
      <c r="BK29" s="115">
        <f t="shared" ref="BK29:BO29" si="79">+BK30-BK31-BK32</f>
        <v>18380</v>
      </c>
      <c r="BL29" s="115">
        <f t="shared" ref="BL29" si="80">+BL30-BL31-BL32</f>
        <v>18380</v>
      </c>
      <c r="BM29" s="115">
        <f t="shared" si="79"/>
        <v>-3750</v>
      </c>
      <c r="BN29" s="115">
        <f t="shared" ref="BN29" si="81">+BN30-BN31-BN32</f>
        <v>-3750</v>
      </c>
      <c r="BO29" s="115">
        <f t="shared" si="79"/>
        <v>-5899</v>
      </c>
      <c r="BP29" s="115"/>
      <c r="BQ29" s="115">
        <f t="shared" ref="BQ29:BR29" si="82">+BQ30-BQ31-BQ32</f>
        <v>-277</v>
      </c>
      <c r="BR29" s="115">
        <f t="shared" si="82"/>
        <v>-4777</v>
      </c>
      <c r="BS29" s="115">
        <f t="shared" ref="BS29" si="83">+BS30-BS31-BS32</f>
        <v>-8935</v>
      </c>
      <c r="BT29" s="977">
        <f>+BQ29+BR29+BS29-'ER GA separado Acum.'!C27</f>
        <v>0</v>
      </c>
      <c r="BU29" s="122">
        <f>BJ29+BL29+BN29-'ER GA separado Acum.'!E27</f>
        <v>0</v>
      </c>
    </row>
    <row r="30" spans="2:73" ht="15" customHeight="1">
      <c r="B30" s="74" t="s">
        <v>140</v>
      </c>
      <c r="C30" s="167">
        <v>25</v>
      </c>
      <c r="D30" s="167">
        <v>170</v>
      </c>
      <c r="E30" s="167">
        <v>4873</v>
      </c>
      <c r="F30" s="167">
        <v>22881</v>
      </c>
      <c r="H30" s="167">
        <f>374+1</f>
        <v>375</v>
      </c>
      <c r="I30" s="167">
        <f>11002-2</f>
        <v>11000</v>
      </c>
      <c r="J30" s="167">
        <v>572</v>
      </c>
      <c r="K30" s="167">
        <v>19451</v>
      </c>
      <c r="L30" s="167">
        <v>19491</v>
      </c>
      <c r="N30" s="167">
        <v>495</v>
      </c>
      <c r="O30" s="167">
        <v>495</v>
      </c>
      <c r="P30" s="167">
        <v>3909</v>
      </c>
      <c r="Q30" s="167">
        <v>3909</v>
      </c>
      <c r="R30" s="167">
        <v>255</v>
      </c>
      <c r="S30" s="167">
        <v>255</v>
      </c>
      <c r="T30" s="167">
        <v>19179</v>
      </c>
      <c r="U30" s="119">
        <f>19179+939</f>
        <v>20118</v>
      </c>
      <c r="W30" s="167">
        <v>168</v>
      </c>
      <c r="X30" s="167">
        <v>175</v>
      </c>
      <c r="Y30" s="165">
        <v>7236</v>
      </c>
      <c r="Z30" s="165">
        <f>7236+14</f>
        <v>7250</v>
      </c>
      <c r="AA30" s="167">
        <v>131</v>
      </c>
      <c r="AB30" s="167">
        <f>131+97</f>
        <v>228</v>
      </c>
      <c r="AC30" s="165">
        <v>3706</v>
      </c>
      <c r="AD30" s="119"/>
      <c r="AE30" s="167">
        <v>7414</v>
      </c>
      <c r="AF30" s="165">
        <v>1826</v>
      </c>
      <c r="AG30" s="165">
        <v>2789</v>
      </c>
      <c r="AH30" s="165">
        <v>31561</v>
      </c>
      <c r="AI30" s="119"/>
      <c r="AJ30" s="167">
        <v>200</v>
      </c>
      <c r="AK30" s="165">
        <v>464</v>
      </c>
      <c r="AL30" s="165">
        <v>5315</v>
      </c>
      <c r="AM30" s="165">
        <v>1043</v>
      </c>
      <c r="AN30" s="119"/>
      <c r="AO30" s="167">
        <v>593</v>
      </c>
      <c r="AP30" s="165">
        <v>64</v>
      </c>
      <c r="AQ30" s="165">
        <v>212</v>
      </c>
      <c r="AR30" s="165">
        <v>2269</v>
      </c>
      <c r="AS30" s="119"/>
      <c r="AT30" s="167">
        <v>241</v>
      </c>
      <c r="AU30" s="165">
        <v>5433</v>
      </c>
      <c r="AV30" s="165">
        <v>399</v>
      </c>
      <c r="AW30" s="165">
        <v>1944</v>
      </c>
      <c r="AX30" s="166"/>
      <c r="AY30" s="167">
        <v>128</v>
      </c>
      <c r="AZ30" s="165">
        <v>1021</v>
      </c>
      <c r="BA30" s="165">
        <v>599</v>
      </c>
      <c r="BB30" s="165">
        <v>235</v>
      </c>
      <c r="BC30" s="166"/>
      <c r="BD30" s="167">
        <v>514</v>
      </c>
      <c r="BE30" s="165">
        <v>807</v>
      </c>
      <c r="BF30" s="165">
        <v>-38</v>
      </c>
      <c r="BG30" s="165">
        <v>41</v>
      </c>
      <c r="BH30" s="166"/>
      <c r="BI30" s="167">
        <v>53277</v>
      </c>
      <c r="BJ30" s="167">
        <v>53277</v>
      </c>
      <c r="BK30" s="165">
        <v>22839</v>
      </c>
      <c r="BL30" s="165">
        <v>22839</v>
      </c>
      <c r="BM30" s="165">
        <v>623</v>
      </c>
      <c r="BN30" s="165">
        <v>623</v>
      </c>
      <c r="BO30" s="165">
        <v>2983</v>
      </c>
      <c r="BP30" s="166"/>
      <c r="BQ30" s="165">
        <v>831</v>
      </c>
      <c r="BR30" s="165">
        <v>314</v>
      </c>
      <c r="BS30" s="165">
        <v>3009</v>
      </c>
      <c r="BT30" s="977">
        <f>+BQ30+BR30+BS30-'ER GA separado Acum.'!C28</f>
        <v>0</v>
      </c>
      <c r="BU30" s="122">
        <f>BJ30+BL30+BN30-'ER GA separado Acum.'!E28</f>
        <v>0</v>
      </c>
    </row>
    <row r="31" spans="2:73" s="172" customFormat="1" ht="15" customHeight="1">
      <c r="B31" s="74" t="s">
        <v>141</v>
      </c>
      <c r="C31" s="171">
        <v>11325</v>
      </c>
      <c r="D31" s="171">
        <v>4447</v>
      </c>
      <c r="E31" s="171">
        <v>5084</v>
      </c>
      <c r="F31" s="171">
        <v>-1026</v>
      </c>
      <c r="G31" s="171"/>
      <c r="H31" s="171">
        <v>3874</v>
      </c>
      <c r="I31" s="171">
        <f>3221-1</f>
        <v>3220</v>
      </c>
      <c r="J31" s="171">
        <v>14074</v>
      </c>
      <c r="K31" s="171">
        <v>3651</v>
      </c>
      <c r="L31" s="171">
        <v>23920</v>
      </c>
      <c r="M31" s="171"/>
      <c r="N31" s="171">
        <v>2987</v>
      </c>
      <c r="O31" s="171">
        <v>2987</v>
      </c>
      <c r="P31" s="171">
        <v>2751</v>
      </c>
      <c r="Q31" s="171">
        <v>2751</v>
      </c>
      <c r="R31" s="171">
        <v>2392</v>
      </c>
      <c r="S31" s="171">
        <v>2392</v>
      </c>
      <c r="T31" s="171">
        <v>10300</v>
      </c>
      <c r="U31" s="171">
        <f>10300+197</f>
        <v>10497</v>
      </c>
      <c r="W31" s="171">
        <v>4640</v>
      </c>
      <c r="X31" s="171">
        <v>4653</v>
      </c>
      <c r="Y31" s="173">
        <v>7291</v>
      </c>
      <c r="Z31" s="173">
        <v>7291</v>
      </c>
      <c r="AA31" s="173">
        <v>8344</v>
      </c>
      <c r="AB31" s="173">
        <f>8344+153</f>
        <v>8497</v>
      </c>
      <c r="AC31" s="173">
        <v>7389</v>
      </c>
      <c r="AD31" s="174"/>
      <c r="AE31" s="171">
        <v>4658</v>
      </c>
      <c r="AF31" s="173">
        <v>2371</v>
      </c>
      <c r="AG31" s="173">
        <v>6813</v>
      </c>
      <c r="AH31" s="173">
        <v>1998</v>
      </c>
      <c r="AI31" s="174"/>
      <c r="AJ31" s="171">
        <v>1469</v>
      </c>
      <c r="AK31" s="173">
        <v>6291</v>
      </c>
      <c r="AL31" s="173">
        <v>1303</v>
      </c>
      <c r="AM31" s="173">
        <v>2440</v>
      </c>
      <c r="AN31" s="174"/>
      <c r="AO31" s="171">
        <v>1523</v>
      </c>
      <c r="AP31" s="173">
        <v>6216</v>
      </c>
      <c r="AQ31" s="173">
        <v>856</v>
      </c>
      <c r="AR31" s="173">
        <v>2420</v>
      </c>
      <c r="AS31" s="174"/>
      <c r="AT31" s="171">
        <v>800</v>
      </c>
      <c r="AU31" s="173">
        <v>7514</v>
      </c>
      <c r="AV31" s="173">
        <v>434</v>
      </c>
      <c r="AW31" s="173">
        <v>9969</v>
      </c>
      <c r="AX31" s="173"/>
      <c r="AY31" s="171">
        <v>2926</v>
      </c>
      <c r="AZ31" s="173">
        <v>881</v>
      </c>
      <c r="BA31" s="173">
        <v>5141</v>
      </c>
      <c r="BB31" s="173">
        <v>6457</v>
      </c>
      <c r="BC31" s="173"/>
      <c r="BD31" s="171">
        <v>4900</v>
      </c>
      <c r="BE31" s="173">
        <v>3569</v>
      </c>
      <c r="BF31" s="173">
        <v>4833</v>
      </c>
      <c r="BG31" s="173">
        <v>3047</v>
      </c>
      <c r="BH31" s="173"/>
      <c r="BI31" s="171">
        <v>3838</v>
      </c>
      <c r="BJ31" s="171">
        <v>3838</v>
      </c>
      <c r="BK31" s="173">
        <v>4459</v>
      </c>
      <c r="BL31" s="173">
        <v>4459</v>
      </c>
      <c r="BM31" s="173">
        <v>4373</v>
      </c>
      <c r="BN31" s="173">
        <v>4373</v>
      </c>
      <c r="BO31" s="173">
        <v>8882</v>
      </c>
      <c r="BP31" s="173"/>
      <c r="BQ31" s="173">
        <v>1108</v>
      </c>
      <c r="BR31" s="173">
        <v>5091</v>
      </c>
      <c r="BS31" s="173">
        <f>11943+1</f>
        <v>11944</v>
      </c>
      <c r="BT31" s="977">
        <f>+BQ31+BR31+BS31-'ER GA separado Acum.'!C29</f>
        <v>0</v>
      </c>
      <c r="BU31" s="122">
        <f>BJ31+BL31+BN31-'ER GA separado Acum.'!E29</f>
        <v>0</v>
      </c>
    </row>
    <row r="32" spans="2:73" ht="12.5" hidden="1">
      <c r="B32" s="64" t="s">
        <v>142</v>
      </c>
      <c r="C32" s="170">
        <v>0</v>
      </c>
      <c r="D32" s="170">
        <v>0</v>
      </c>
      <c r="E32" s="170">
        <v>0</v>
      </c>
      <c r="F32" s="170">
        <v>0</v>
      </c>
      <c r="G32" s="95"/>
      <c r="H32" s="114">
        <v>10116</v>
      </c>
      <c r="I32" s="114">
        <v>-448</v>
      </c>
      <c r="J32" s="170">
        <v>0</v>
      </c>
      <c r="K32" s="170">
        <v>0</v>
      </c>
      <c r="L32" s="170">
        <v>0</v>
      </c>
      <c r="N32" s="114">
        <v>9968</v>
      </c>
      <c r="O32" s="114">
        <v>-9968</v>
      </c>
      <c r="P32" s="114">
        <v>0</v>
      </c>
      <c r="Q32" s="114">
        <v>0</v>
      </c>
      <c r="R32" s="114">
        <v>0</v>
      </c>
      <c r="S32" s="114">
        <v>0</v>
      </c>
      <c r="T32" s="114"/>
      <c r="U32" s="114"/>
      <c r="W32" s="114">
        <v>3335</v>
      </c>
      <c r="X32" s="114">
        <v>3335</v>
      </c>
      <c r="Y32" s="165">
        <v>74</v>
      </c>
      <c r="Z32" s="165">
        <v>75</v>
      </c>
      <c r="AA32" s="165">
        <v>1</v>
      </c>
      <c r="AB32" s="165">
        <f>-1+1</f>
        <v>0</v>
      </c>
      <c r="AC32" s="168">
        <v>0</v>
      </c>
      <c r="AD32" s="119"/>
      <c r="AE32" s="114">
        <v>0</v>
      </c>
      <c r="AF32" s="165">
        <v>0</v>
      </c>
      <c r="AG32" s="165">
        <v>0</v>
      </c>
      <c r="AH32" s="165">
        <v>0</v>
      </c>
      <c r="AI32" s="119"/>
      <c r="AJ32" s="114">
        <v>0</v>
      </c>
      <c r="AK32" s="165">
        <v>0</v>
      </c>
      <c r="AL32" s="165">
        <v>0</v>
      </c>
      <c r="AM32" s="165">
        <v>0</v>
      </c>
      <c r="AN32" s="119"/>
      <c r="AO32" s="114">
        <v>0</v>
      </c>
      <c r="AP32" s="165"/>
      <c r="AQ32" s="165"/>
      <c r="AR32" s="165"/>
      <c r="AS32" s="119"/>
      <c r="AT32" s="114">
        <v>0</v>
      </c>
      <c r="AU32" s="165"/>
      <c r="AV32" s="165"/>
      <c r="AW32" s="165"/>
      <c r="AX32" s="166"/>
      <c r="AY32" s="114">
        <v>0</v>
      </c>
      <c r="AZ32" s="114">
        <v>0</v>
      </c>
      <c r="BA32" s="114">
        <v>0</v>
      </c>
      <c r="BB32" s="114">
        <v>0</v>
      </c>
      <c r="BC32" s="166"/>
      <c r="BD32" s="114">
        <v>0</v>
      </c>
      <c r="BE32" s="114">
        <v>0</v>
      </c>
      <c r="BF32" s="114">
        <v>0</v>
      </c>
      <c r="BG32" s="114">
        <v>0</v>
      </c>
      <c r="BH32" s="114"/>
      <c r="BI32" s="114">
        <v>0</v>
      </c>
      <c r="BJ32" s="114">
        <v>0</v>
      </c>
      <c r="BK32" s="114">
        <v>0</v>
      </c>
      <c r="BL32" s="114">
        <v>0</v>
      </c>
      <c r="BM32" s="114">
        <v>0</v>
      </c>
      <c r="BN32" s="114">
        <v>0</v>
      </c>
      <c r="BO32" s="114">
        <v>0</v>
      </c>
      <c r="BP32" s="114"/>
      <c r="BQ32" s="114">
        <v>0</v>
      </c>
      <c r="BR32" s="114">
        <v>0</v>
      </c>
      <c r="BS32" s="114">
        <v>0</v>
      </c>
      <c r="BT32" s="977">
        <f>+BQ32+BR32-'ER GA separado Acum.'!C30</f>
        <v>0</v>
      </c>
      <c r="BU32" s="122">
        <f>BJ32+BL32-'ER GA separado Acum.'!E30</f>
        <v>0</v>
      </c>
    </row>
    <row r="33" spans="2:73" ht="1.5" customHeight="1">
      <c r="C33" s="167"/>
      <c r="D33" s="167"/>
      <c r="E33" s="167"/>
      <c r="F33" s="167"/>
      <c r="H33" s="167"/>
      <c r="I33" s="167"/>
      <c r="J33" s="167"/>
      <c r="K33" s="167"/>
      <c r="L33" s="167"/>
      <c r="N33" s="167"/>
      <c r="O33" s="167"/>
      <c r="P33" s="167"/>
      <c r="Q33" s="167"/>
      <c r="R33" s="167"/>
      <c r="S33" s="167"/>
      <c r="T33" s="167"/>
      <c r="U33" s="167"/>
      <c r="W33" s="167"/>
      <c r="X33" s="167"/>
      <c r="AD33" s="119"/>
      <c r="AE33" s="167"/>
      <c r="AI33" s="119"/>
      <c r="AJ33" s="167"/>
      <c r="AN33" s="119"/>
      <c r="AO33" s="167"/>
      <c r="AS33" s="119"/>
      <c r="AT33" s="167"/>
      <c r="AV33"/>
      <c r="AY33" s="167"/>
      <c r="BD33" s="167"/>
      <c r="BF33"/>
      <c r="BI33" s="167"/>
      <c r="BJ33" s="167"/>
      <c r="BT33" s="977"/>
      <c r="BU33" s="122">
        <f>AY33+AZ33+BA33-'ER GA separado Acum.'!E31</f>
        <v>0</v>
      </c>
    </row>
    <row r="34" spans="2:73" ht="1.5" customHeight="1">
      <c r="C34" s="167"/>
      <c r="D34" s="167"/>
      <c r="E34" s="167"/>
      <c r="F34" s="167"/>
      <c r="H34" s="167"/>
      <c r="I34" s="167"/>
      <c r="J34" s="167"/>
      <c r="K34" s="167"/>
      <c r="L34" s="167">
        <v>0</v>
      </c>
      <c r="N34" s="167"/>
      <c r="O34" s="167"/>
      <c r="P34" s="167"/>
      <c r="Q34" s="167"/>
      <c r="R34" s="167"/>
      <c r="S34" s="167"/>
      <c r="T34" s="167"/>
      <c r="U34" s="167"/>
      <c r="W34" s="167"/>
      <c r="X34" s="167"/>
      <c r="AD34" s="119"/>
      <c r="AE34" s="167"/>
      <c r="AI34" s="119"/>
      <c r="AJ34" s="167"/>
      <c r="AN34" s="119"/>
      <c r="AO34" s="167"/>
      <c r="AS34" s="119"/>
      <c r="AT34" s="167"/>
      <c r="AV34"/>
      <c r="AY34" s="167"/>
      <c r="BD34" s="167"/>
      <c r="BF34"/>
      <c r="BI34" s="167"/>
      <c r="BJ34" s="167"/>
      <c r="BT34" s="122">
        <f>AY34+AZ34+BA34+BB34-'ER GA separado Acum.'!C31</f>
        <v>0</v>
      </c>
      <c r="BU34" s="122"/>
    </row>
    <row r="35" spans="2:73" s="56" customFormat="1" ht="16.5" customHeight="1">
      <c r="B35" s="56" t="s">
        <v>143</v>
      </c>
      <c r="C35" s="71">
        <f>+C20-C23+C29</f>
        <v>157326</v>
      </c>
      <c r="D35" s="71">
        <f>+D20-D23+D29</f>
        <v>69174</v>
      </c>
      <c r="E35" s="71">
        <f>+E20-E23+E29</f>
        <v>32011</v>
      </c>
      <c r="F35" s="115">
        <f>+F20-F23+F29</f>
        <v>-36412</v>
      </c>
      <c r="H35" s="71">
        <f>+H20-H23+H29</f>
        <v>77052</v>
      </c>
      <c r="I35" s="71">
        <f>+I20-I23+I29</f>
        <v>112640</v>
      </c>
      <c r="J35" s="71">
        <f>+J20-J23+J29</f>
        <v>331798</v>
      </c>
      <c r="K35" s="115">
        <f>+K20-K23+K29</f>
        <v>-16184</v>
      </c>
      <c r="L35" s="115">
        <f>+L20-L23+L29</f>
        <v>9791</v>
      </c>
      <c r="N35" s="71">
        <f t="shared" ref="N35:U35" si="84">+N20-N23+N29</f>
        <v>104796</v>
      </c>
      <c r="O35" s="71">
        <f t="shared" si="84"/>
        <v>118596</v>
      </c>
      <c r="P35" s="71">
        <f t="shared" si="84"/>
        <v>96801</v>
      </c>
      <c r="Q35" s="71">
        <f t="shared" si="84"/>
        <v>102617</v>
      </c>
      <c r="R35" s="71">
        <f t="shared" si="84"/>
        <v>89447</v>
      </c>
      <c r="S35" s="71">
        <f t="shared" si="84"/>
        <v>110253</v>
      </c>
      <c r="T35" s="71">
        <f t="shared" si="84"/>
        <v>213911</v>
      </c>
      <c r="U35" s="71">
        <f t="shared" si="84"/>
        <v>203614</v>
      </c>
      <c r="W35" s="71">
        <f t="shared" ref="W35:AC35" si="85">+W20-W23+W29</f>
        <v>120062</v>
      </c>
      <c r="X35" s="71">
        <f t="shared" si="85"/>
        <v>120903</v>
      </c>
      <c r="Y35" s="71">
        <f t="shared" si="85"/>
        <v>94589</v>
      </c>
      <c r="Z35" s="71">
        <f t="shared" si="85"/>
        <v>95655</v>
      </c>
      <c r="AA35" s="71">
        <f t="shared" si="85"/>
        <v>404217</v>
      </c>
      <c r="AB35" s="71">
        <f t="shared" si="85"/>
        <v>404344</v>
      </c>
      <c r="AC35" s="115">
        <f t="shared" si="85"/>
        <v>-11154</v>
      </c>
      <c r="AD35" s="119"/>
      <c r="AE35" s="71">
        <f t="shared" ref="AE35:AH35" si="86">+AE20-AE23+AE29</f>
        <v>512681</v>
      </c>
      <c r="AF35" s="71">
        <f t="shared" si="86"/>
        <v>69830</v>
      </c>
      <c r="AG35" s="71">
        <f t="shared" si="86"/>
        <v>221714</v>
      </c>
      <c r="AH35" s="115">
        <f t="shared" si="86"/>
        <v>153500</v>
      </c>
      <c r="AI35" s="119"/>
      <c r="AJ35" s="71">
        <f t="shared" ref="AJ35:AM35" si="87">+AJ20-AJ23+AJ29</f>
        <v>195839</v>
      </c>
      <c r="AK35" s="71">
        <f t="shared" si="87"/>
        <v>62382</v>
      </c>
      <c r="AL35" s="71">
        <f t="shared" si="87"/>
        <v>234326</v>
      </c>
      <c r="AM35" s="115">
        <f t="shared" si="87"/>
        <v>106106</v>
      </c>
      <c r="AN35" s="119"/>
      <c r="AO35" s="71">
        <f>+AO20-AO23+AO29</f>
        <v>128457</v>
      </c>
      <c r="AP35" s="71">
        <f t="shared" ref="AP35:AR35" si="88">+AP20-AP23+AP29</f>
        <v>-11557</v>
      </c>
      <c r="AQ35" s="71">
        <f t="shared" si="88"/>
        <v>-5718</v>
      </c>
      <c r="AR35" s="115">
        <f t="shared" si="88"/>
        <v>-46477</v>
      </c>
      <c r="AS35" s="119"/>
      <c r="AT35" s="71">
        <f>+AT20-AT23+AT29</f>
        <v>137243</v>
      </c>
      <c r="AU35" s="71">
        <f t="shared" ref="AU35:AW35" si="89">+AU20-AU23+AU29</f>
        <v>129073</v>
      </c>
      <c r="AV35" s="71">
        <f t="shared" si="89"/>
        <v>131638</v>
      </c>
      <c r="AW35" s="115">
        <f t="shared" si="89"/>
        <v>4419</v>
      </c>
      <c r="AX35" s="115"/>
      <c r="AY35" s="71">
        <f>+AY20-AY23+AY29</f>
        <v>194354</v>
      </c>
      <c r="AZ35" s="71">
        <f t="shared" ref="AZ35:BB35" si="90">+AZ20-AZ23+AZ29</f>
        <v>120858</v>
      </c>
      <c r="BA35" s="71">
        <f t="shared" si="90"/>
        <v>108821</v>
      </c>
      <c r="BB35" s="115">
        <f t="shared" si="90"/>
        <v>37966</v>
      </c>
      <c r="BC35" s="115"/>
      <c r="BD35" s="71">
        <f>+BD20-BD23+BD29</f>
        <v>353459</v>
      </c>
      <c r="BE35" s="71">
        <f t="shared" ref="BE35:BG35" si="91">+BE20-BE23+BE29</f>
        <v>408641</v>
      </c>
      <c r="BF35" s="71">
        <f t="shared" si="91"/>
        <v>166304.40470000001</v>
      </c>
      <c r="BG35" s="115">
        <f t="shared" si="91"/>
        <v>13820.595300000001</v>
      </c>
      <c r="BH35" s="115"/>
      <c r="BI35" s="71">
        <f>+BI20-BI23+BI29</f>
        <v>2936404</v>
      </c>
      <c r="BJ35" s="71">
        <f>+BJ20-BJ23+BJ29</f>
        <v>2703887</v>
      </c>
      <c r="BK35" s="71">
        <f t="shared" ref="BK35:BO35" si="92">+BK20-BK23+BK29</f>
        <v>153812</v>
      </c>
      <c r="BL35" s="71">
        <f t="shared" ref="BL35" si="93">+BL20-BL23+BL29</f>
        <v>144476</v>
      </c>
      <c r="BM35" s="71">
        <f t="shared" si="92"/>
        <v>159590</v>
      </c>
      <c r="BN35" s="71">
        <f t="shared" ref="BN35" si="94">+BN20-BN23+BN29</f>
        <v>161801</v>
      </c>
      <c r="BO35" s="71">
        <f t="shared" si="92"/>
        <v>-29535</v>
      </c>
      <c r="BP35" s="71"/>
      <c r="BQ35" s="71">
        <f t="shared" ref="BQ35:BR35" si="95">+BQ20-BQ23+BQ29</f>
        <v>1276189</v>
      </c>
      <c r="BR35" s="71">
        <f t="shared" si="95"/>
        <v>99746</v>
      </c>
      <c r="BS35" s="71">
        <f t="shared" ref="BS35" si="96">+BS20-BS23+BS29</f>
        <v>251020</v>
      </c>
      <c r="BT35" s="977">
        <f>+BQ35+BR35+BS35-'ER GA separado Acum.'!C32</f>
        <v>0</v>
      </c>
      <c r="BU35" s="122">
        <f>BJ35+BL35+BN35-'ER GA separado Acum.'!E32</f>
        <v>0</v>
      </c>
    </row>
    <row r="36" spans="2:73" s="177" customFormat="1" ht="17.25" hidden="1" customHeight="1">
      <c r="B36" s="175" t="s">
        <v>35</v>
      </c>
      <c r="C36" s="176">
        <v>77.680000000000007</v>
      </c>
      <c r="D36" s="176">
        <v>38.21</v>
      </c>
      <c r="E36" s="176">
        <v>16.28</v>
      </c>
      <c r="F36" s="176">
        <v>-14.13</v>
      </c>
      <c r="H36" s="176">
        <v>31.93</v>
      </c>
      <c r="I36" s="176">
        <v>45.33</v>
      </c>
      <c r="J36" s="176">
        <v>110.33</v>
      </c>
      <c r="K36" s="176">
        <f>-2.52-(3726/3244.51)</f>
        <v>-3.6684014535322742</v>
      </c>
      <c r="L36" s="176">
        <v>-187.59</v>
      </c>
      <c r="N36" s="176">
        <v>31.93</v>
      </c>
      <c r="O36" s="176">
        <v>31.93</v>
      </c>
      <c r="P36" s="176">
        <v>31.93</v>
      </c>
      <c r="Q36" s="176"/>
      <c r="R36" s="176">
        <v>31.93</v>
      </c>
      <c r="S36" s="176"/>
      <c r="T36" s="176">
        <v>32.93</v>
      </c>
      <c r="U36" s="176">
        <v>32.93</v>
      </c>
      <c r="W36" s="176">
        <v>31.93</v>
      </c>
      <c r="X36" s="176">
        <v>31.93</v>
      </c>
      <c r="AD36" s="119"/>
      <c r="AE36" s="176">
        <v>31.93</v>
      </c>
      <c r="AI36" s="119"/>
      <c r="AJ36" s="176">
        <v>31.93</v>
      </c>
      <c r="AN36" s="119"/>
      <c r="AO36" s="176">
        <v>31.93</v>
      </c>
      <c r="AS36" s="119"/>
      <c r="AT36" s="176">
        <v>31.93</v>
      </c>
      <c r="AY36" s="176">
        <v>31.93</v>
      </c>
      <c r="BD36" s="176">
        <v>31.93</v>
      </c>
      <c r="BI36" s="177">
        <v>31.93</v>
      </c>
      <c r="BJ36" s="177">
        <v>31.93</v>
      </c>
      <c r="BT36" s="122">
        <f>AY36+AZ36+BA36+BB36-'ER GA separado Acum.'!C33</f>
        <v>-117.26999999999998</v>
      </c>
      <c r="BU36" s="122">
        <f>AY36+AZ36-'ER GA separado Acum.'!E34</f>
        <v>30.975480533144594</v>
      </c>
    </row>
    <row r="37" spans="2:73" ht="15.75" customHeight="1">
      <c r="B37" s="100" t="s">
        <v>144</v>
      </c>
      <c r="C37" s="169">
        <f>+C35/C$10</f>
        <v>0.66918473336991335</v>
      </c>
      <c r="D37" s="169">
        <f>+D35/D$10</f>
        <v>0.33004437234600886</v>
      </c>
      <c r="E37" s="169">
        <f>+E35/E$10</f>
        <v>0.27199422210893026</v>
      </c>
      <c r="F37" s="169">
        <f>+F35/F$10</f>
        <v>-0.49519250384191704</v>
      </c>
      <c r="H37" s="169">
        <f>+H35/H$10</f>
        <v>0.61229160375709224</v>
      </c>
      <c r="I37" s="169">
        <f>+I35/I$10</f>
        <v>0.65912588578818321</v>
      </c>
      <c r="J37" s="169">
        <f>+J35/J$10</f>
        <v>0.47712366608044426</v>
      </c>
      <c r="K37" s="169">
        <f t="shared" ref="K37:L37" si="97">+K35/K$10</f>
        <v>-0.15467395563541139</v>
      </c>
      <c r="L37" s="169">
        <f t="shared" si="97"/>
        <v>6.4326025399286502E-2</v>
      </c>
      <c r="N37" s="169">
        <f t="shared" ref="N37:U37" si="98">+N35/N$10</f>
        <v>0.62455153342789371</v>
      </c>
      <c r="O37" s="169">
        <f t="shared" si="98"/>
        <v>0.73362283338900647</v>
      </c>
      <c r="P37" s="169">
        <f t="shared" si="98"/>
        <v>0.84519475076616812</v>
      </c>
      <c r="Q37" s="169">
        <f t="shared" si="98"/>
        <v>0.85267601186568842</v>
      </c>
      <c r="R37" s="169">
        <f t="shared" si="98"/>
        <v>0.46364333772198091</v>
      </c>
      <c r="S37" s="169">
        <f t="shared" si="98"/>
        <v>0.51587108486725741</v>
      </c>
      <c r="T37" s="169">
        <f t="shared" si="98"/>
        <v>0.34381107596564314</v>
      </c>
      <c r="U37" s="169">
        <f t="shared" si="98"/>
        <v>0.33067157767892957</v>
      </c>
      <c r="W37" s="169">
        <f t="shared" ref="W37:AC37" si="99">+W35/W$10</f>
        <v>0.68246515540801711</v>
      </c>
      <c r="X37" s="169">
        <f t="shared" si="99"/>
        <v>0.67693711751762287</v>
      </c>
      <c r="Y37" s="169">
        <f t="shared" si="99"/>
        <v>0.44797488017883191</v>
      </c>
      <c r="Z37" s="169">
        <f t="shared" si="99"/>
        <v>0.44998870970776961</v>
      </c>
      <c r="AA37" s="169">
        <f t="shared" si="99"/>
        <v>0.53570604996355442</v>
      </c>
      <c r="AB37" s="169">
        <f t="shared" si="99"/>
        <v>0.53564081130883223</v>
      </c>
      <c r="AC37" s="169">
        <f t="shared" si="99"/>
        <v>-0.22962429233144621</v>
      </c>
      <c r="AD37" s="119"/>
      <c r="AE37" s="169">
        <f t="shared" ref="AE37:AH37" si="100">+AE35/AE$10</f>
        <v>0.60242270560918976</v>
      </c>
      <c r="AF37" s="169">
        <f t="shared" si="100"/>
        <v>0.70871096406207179</v>
      </c>
      <c r="AG37" s="169">
        <f t="shared" si="100"/>
        <v>0.90029561290951321</v>
      </c>
      <c r="AH37" s="169">
        <f t="shared" si="100"/>
        <v>0.83482441494308512</v>
      </c>
      <c r="AI37" s="119"/>
      <c r="AJ37" s="169">
        <f t="shared" ref="AJ37:AM37" si="101">+AJ35/AJ$10</f>
        <v>0.63653738018546269</v>
      </c>
      <c r="AK37" s="169">
        <f t="shared" si="101"/>
        <v>0.64789580823397452</v>
      </c>
      <c r="AL37" s="169">
        <f t="shared" si="101"/>
        <v>0.91405055390856604</v>
      </c>
      <c r="AM37" s="169">
        <f t="shared" si="101"/>
        <v>0.57261119685702255</v>
      </c>
      <c r="AN37" s="119"/>
      <c r="AO37" s="169">
        <f t="shared" ref="AO37:AR37" si="102">+AO35/AO$10</f>
        <v>0.64148314606741574</v>
      </c>
      <c r="AP37" s="169">
        <f t="shared" si="102"/>
        <v>-0.40725209669462259</v>
      </c>
      <c r="AQ37" s="169">
        <f t="shared" si="102"/>
        <v>-0.23663300778016885</v>
      </c>
      <c r="AR37" s="169">
        <f t="shared" si="102"/>
        <v>-13.222475106685634</v>
      </c>
      <c r="AS37" s="119"/>
      <c r="AT37" s="169">
        <f t="shared" ref="AT37:AW37" si="103">+AT35/AT$10</f>
        <v>0.72557758392809935</v>
      </c>
      <c r="AU37" s="169">
        <f t="shared" si="103"/>
        <v>0.58808011590927733</v>
      </c>
      <c r="AV37" s="169">
        <f t="shared" si="103"/>
        <v>0.77007856511895922</v>
      </c>
      <c r="AW37" s="169">
        <f t="shared" si="103"/>
        <v>6.0379575607689889E-2</v>
      </c>
      <c r="AX37" s="169"/>
      <c r="AY37" s="169">
        <f t="shared" ref="AY37:BB37" si="104">+AY35/AY$10</f>
        <v>0.68263607658292091</v>
      </c>
      <c r="AZ37" s="169">
        <f t="shared" si="104"/>
        <v>0.70245042196545227</v>
      </c>
      <c r="BA37" s="169">
        <f t="shared" si="104"/>
        <v>0.65432625819253198</v>
      </c>
      <c r="BB37" s="169">
        <f t="shared" si="104"/>
        <v>0.24319563393183144</v>
      </c>
      <c r="BC37" s="169"/>
      <c r="BD37" s="169">
        <f t="shared" ref="BD37:BG37" si="105">+BD35/BD$10</f>
        <v>0.82386190146540894</v>
      </c>
      <c r="BE37" s="169">
        <f t="shared" si="105"/>
        <v>0.73606462885242363</v>
      </c>
      <c r="BF37" s="169">
        <f t="shared" si="105"/>
        <v>0.61643081812992528</v>
      </c>
      <c r="BG37" s="169">
        <f t="shared" si="105"/>
        <v>7.9780384222405673E-2</v>
      </c>
      <c r="BH37" s="169"/>
      <c r="BI37" s="169">
        <f t="shared" ref="BI37:BO37" si="106">+BI35/BI$10</f>
        <v>0.98763706371770654</v>
      </c>
      <c r="BJ37" s="169">
        <f t="shared" ref="BJ37" si="107">+BJ35/BJ$10</f>
        <v>0.98658818876147358</v>
      </c>
      <c r="BK37" s="169">
        <f t="shared" si="106"/>
        <v>0.70504540266502869</v>
      </c>
      <c r="BL37" s="169">
        <f t="shared" ref="BL37" si="108">+BL35/BL$10</f>
        <v>0.73986675065165175</v>
      </c>
      <c r="BM37" s="169">
        <f t="shared" si="106"/>
        <v>0.73315722981509135</v>
      </c>
      <c r="BN37" s="169">
        <f t="shared" ref="BN37" si="109">+BN35/BN$10</f>
        <v>0.74331798928673154</v>
      </c>
      <c r="BO37" s="970">
        <f t="shared" si="106"/>
        <v>-0.23317412071211463</v>
      </c>
      <c r="BP37" s="970"/>
      <c r="BQ37" s="970">
        <f t="shared" ref="BQ37:BR37" si="110">+BQ35/BQ$10</f>
        <v>0.94143739741438137</v>
      </c>
      <c r="BR37" s="970">
        <f t="shared" si="110"/>
        <v>0.60888674557585598</v>
      </c>
      <c r="BS37" s="970">
        <f t="shared" ref="BS37" si="111">+BS35/BS$10</f>
        <v>0.79583535446726084</v>
      </c>
      <c r="BT37" s="122"/>
      <c r="BU37" s="122"/>
    </row>
    <row r="38" spans="2:73" ht="3.75" customHeight="1">
      <c r="B38" s="64"/>
      <c r="C38" s="167"/>
      <c r="D38" s="167"/>
      <c r="E38" s="167"/>
      <c r="F38" s="167"/>
      <c r="H38" s="167"/>
      <c r="I38" s="167"/>
      <c r="J38" s="167"/>
      <c r="K38" s="167"/>
      <c r="L38" s="167"/>
      <c r="N38" s="167"/>
      <c r="O38" s="167"/>
      <c r="P38" s="167"/>
      <c r="Q38" s="167"/>
      <c r="R38" s="167"/>
      <c r="S38" s="167"/>
      <c r="T38" s="167"/>
      <c r="U38" s="167"/>
      <c r="W38" s="167"/>
      <c r="X38" s="167"/>
      <c r="AD38" s="119"/>
      <c r="AE38" s="167"/>
      <c r="AI38" s="119"/>
      <c r="AJ38" s="167"/>
      <c r="AN38" s="119"/>
      <c r="AO38" s="167"/>
      <c r="AS38" s="119"/>
      <c r="AT38" s="167"/>
      <c r="AV38"/>
      <c r="AY38" s="167"/>
      <c r="BD38" s="167"/>
      <c r="BF38"/>
      <c r="BT38" s="122"/>
      <c r="BU38" s="122"/>
    </row>
    <row r="39" spans="2:73" s="56" customFormat="1" ht="16.5" customHeight="1">
      <c r="B39" s="83" t="s">
        <v>145</v>
      </c>
      <c r="C39" s="158">
        <f>+C35+C25+C27-C32</f>
        <v>157354</v>
      </c>
      <c r="D39" s="158">
        <f>+D35+D25+D27-D32</f>
        <v>69202</v>
      </c>
      <c r="E39" s="158">
        <f>+E35+E25+E27-E32</f>
        <v>32106</v>
      </c>
      <c r="F39" s="158">
        <f>+F35+F25+F27-F32</f>
        <v>-34104</v>
      </c>
      <c r="G39" s="113"/>
      <c r="H39" s="158">
        <f>+H35+H25+H27-H32</f>
        <v>67617</v>
      </c>
      <c r="I39" s="158">
        <f>+I35+I25+I27-I32</f>
        <v>113769</v>
      </c>
      <c r="J39" s="158">
        <f>+J35+J25+J27-J32</f>
        <v>332593</v>
      </c>
      <c r="K39" s="158">
        <f>+K35+K25+K27-K32</f>
        <v>-15445</v>
      </c>
      <c r="L39" s="158">
        <f>+L35+L25+L27-L32</f>
        <v>10227</v>
      </c>
      <c r="N39" s="158">
        <f t="shared" ref="N39:U39" si="112">+N35+N25+N27-N32</f>
        <v>95702</v>
      </c>
      <c r="O39" s="158">
        <f t="shared" si="112"/>
        <v>129438</v>
      </c>
      <c r="P39" s="158">
        <f t="shared" si="112"/>
        <v>97667</v>
      </c>
      <c r="Q39" s="158">
        <f t="shared" si="112"/>
        <v>103483</v>
      </c>
      <c r="R39" s="158">
        <f t="shared" si="112"/>
        <v>90313</v>
      </c>
      <c r="S39" s="158">
        <f t="shared" si="112"/>
        <v>111113</v>
      </c>
      <c r="T39" s="158">
        <f t="shared" si="112"/>
        <v>214717</v>
      </c>
      <c r="U39" s="158">
        <f t="shared" si="112"/>
        <v>204513</v>
      </c>
      <c r="W39" s="158">
        <f t="shared" ref="W39:AC39" si="113">+W35+W25+W27-W32</f>
        <v>117401</v>
      </c>
      <c r="X39" s="158">
        <f t="shared" si="113"/>
        <v>118263</v>
      </c>
      <c r="Y39" s="158">
        <f t="shared" si="113"/>
        <v>95187</v>
      </c>
      <c r="Z39" s="158">
        <f t="shared" si="113"/>
        <v>96273</v>
      </c>
      <c r="AA39" s="158">
        <f t="shared" si="113"/>
        <v>420387</v>
      </c>
      <c r="AB39" s="158">
        <f t="shared" si="113"/>
        <v>420537</v>
      </c>
      <c r="AC39" s="178">
        <f t="shared" si="113"/>
        <v>-10221</v>
      </c>
      <c r="AD39" s="119"/>
      <c r="AE39" s="158">
        <f t="shared" ref="AE39:AH39" si="114">+AE35+AE25+AE27-AE32</f>
        <v>513569</v>
      </c>
      <c r="AF39" s="158">
        <f t="shared" si="114"/>
        <v>70720</v>
      </c>
      <c r="AG39" s="158">
        <f t="shared" si="114"/>
        <v>222603</v>
      </c>
      <c r="AH39" s="178">
        <f t="shared" si="114"/>
        <v>172936</v>
      </c>
      <c r="AI39" s="119"/>
      <c r="AJ39" s="158">
        <f t="shared" ref="AJ39:AM39" si="115">+AJ35+AJ25+AJ27-AJ32</f>
        <v>199927</v>
      </c>
      <c r="AK39" s="158">
        <f t="shared" si="115"/>
        <v>66355</v>
      </c>
      <c r="AL39" s="158">
        <f t="shared" si="115"/>
        <v>238325</v>
      </c>
      <c r="AM39" s="178">
        <f t="shared" si="115"/>
        <v>110436</v>
      </c>
      <c r="AN39" s="119"/>
      <c r="AO39" s="158">
        <f t="shared" ref="AO39:AR39" si="116">+AO35+AO25+AO27-AO32</f>
        <v>132217</v>
      </c>
      <c r="AP39" s="158">
        <f t="shared" si="116"/>
        <v>-7205</v>
      </c>
      <c r="AQ39" s="158">
        <f>+AQ35+AQ25+AQ27-AQ32</f>
        <v>-7</v>
      </c>
      <c r="AR39" s="178">
        <f t="shared" si="116"/>
        <v>-41922</v>
      </c>
      <c r="AS39" s="119"/>
      <c r="AT39" s="158">
        <f t="shared" ref="AT39:AU39" si="117">+AT35+AT25+AT27-AT32</f>
        <v>141643</v>
      </c>
      <c r="AU39" s="158">
        <f t="shared" si="117"/>
        <v>133437</v>
      </c>
      <c r="AV39" s="158">
        <f>+AV35+AV25+AV27-AV32</f>
        <v>135988</v>
      </c>
      <c r="AW39" s="178">
        <f t="shared" ref="AW39" si="118">+AW35+AW25+AW27-AW32</f>
        <v>8791</v>
      </c>
      <c r="AX39" s="115"/>
      <c r="AY39" s="158">
        <f t="shared" ref="AY39:BB39" si="119">+AY35+AY25+AY27-AY32</f>
        <v>198766</v>
      </c>
      <c r="AZ39" s="158">
        <f t="shared" si="119"/>
        <v>125284</v>
      </c>
      <c r="BA39" s="158">
        <f t="shared" si="119"/>
        <v>113242</v>
      </c>
      <c r="BB39" s="178">
        <f t="shared" si="119"/>
        <v>38565</v>
      </c>
      <c r="BC39" s="115"/>
      <c r="BD39" s="158">
        <f t="shared" ref="BD39:BE39" si="120">+BD35+BD25+BD27-BD32</f>
        <v>354065</v>
      </c>
      <c r="BE39" s="158">
        <f t="shared" si="120"/>
        <v>409224</v>
      </c>
      <c r="BF39" s="158">
        <f>+BF35+BF25+BF27-BF32</f>
        <v>166990.40470000001</v>
      </c>
      <c r="BG39" s="178">
        <f t="shared" ref="BG39" si="121">+BG35+BG25+BG27-BG32</f>
        <v>14376.595300000001</v>
      </c>
      <c r="BH39" s="115"/>
      <c r="BI39" s="158">
        <f t="shared" ref="BI39:BO39" si="122">+BI35+BI25+BI27-BI32</f>
        <v>2937105</v>
      </c>
      <c r="BJ39" s="158">
        <f t="shared" ref="BJ39" si="123">+BJ35+BJ25+BJ27-BJ32</f>
        <v>2704588</v>
      </c>
      <c r="BK39" s="158">
        <f t="shared" si="122"/>
        <v>154469</v>
      </c>
      <c r="BL39" s="158">
        <f t="shared" ref="BL39" si="124">+BL35+BL25+BL27-BL32</f>
        <v>145133</v>
      </c>
      <c r="BM39" s="158">
        <f t="shared" si="122"/>
        <v>160348</v>
      </c>
      <c r="BN39" s="158">
        <f t="shared" ref="BN39" si="125">+BN35+BN25+BN27-BN32</f>
        <v>162559</v>
      </c>
      <c r="BO39" s="158">
        <f t="shared" si="122"/>
        <v>-28867</v>
      </c>
      <c r="BP39" s="71"/>
      <c r="BQ39" s="158">
        <f t="shared" ref="BQ39:BR39" si="126">+BQ35+BQ25+BQ27-BQ32</f>
        <v>1276855</v>
      </c>
      <c r="BR39" s="158">
        <f t="shared" si="126"/>
        <v>100427</v>
      </c>
      <c r="BS39" s="158">
        <f t="shared" ref="BS39" si="127">+BS35+BS25+BS27-BS32</f>
        <v>251601</v>
      </c>
      <c r="BT39" s="977">
        <f>+BQ39+BR39+BS39-'ER GA separado Acum.'!C36</f>
        <v>0</v>
      </c>
      <c r="BU39" s="122">
        <f>BJ39+BL39+BN39-'ER GA separado Acum.'!E36</f>
        <v>0</v>
      </c>
    </row>
    <row r="40" spans="2:73" s="177" customFormat="1" ht="17.25" hidden="1" customHeight="1">
      <c r="B40" s="179" t="s">
        <v>35</v>
      </c>
      <c r="C40" s="161">
        <v>77.69</v>
      </c>
      <c r="D40" s="161">
        <v>38.22</v>
      </c>
      <c r="E40" s="161">
        <v>16.329999999999998</v>
      </c>
      <c r="F40" s="161">
        <v>-13.14</v>
      </c>
      <c r="G40" s="180"/>
      <c r="H40" s="161">
        <v>32.21</v>
      </c>
      <c r="I40" s="161">
        <v>45.6</v>
      </c>
      <c r="J40" s="161">
        <v>110.6</v>
      </c>
      <c r="K40" s="161">
        <f>-2.28-(3726/3244.51)</f>
        <v>-3.428401453532274</v>
      </c>
      <c r="L40" s="161">
        <v>-188.41</v>
      </c>
      <c r="N40" s="161">
        <v>32.21</v>
      </c>
      <c r="O40" s="161">
        <v>32.21</v>
      </c>
      <c r="P40" s="161">
        <v>32.21</v>
      </c>
      <c r="Q40" s="161"/>
      <c r="R40" s="161">
        <v>32.21</v>
      </c>
      <c r="S40" s="161"/>
      <c r="T40" s="161">
        <v>33.21</v>
      </c>
      <c r="U40" s="161">
        <v>33.21</v>
      </c>
      <c r="W40" s="161">
        <v>32.21</v>
      </c>
      <c r="X40" s="161">
        <v>32.21</v>
      </c>
      <c r="AD40" s="119"/>
      <c r="AE40" s="161">
        <v>32.21</v>
      </c>
      <c r="AI40" s="119"/>
      <c r="AJ40" s="161">
        <v>32.21</v>
      </c>
      <c r="AN40" s="119"/>
      <c r="AO40" s="161">
        <v>32.21</v>
      </c>
      <c r="AS40" s="119"/>
      <c r="AT40" s="161">
        <v>32.21</v>
      </c>
      <c r="AY40" s="161">
        <v>32.21</v>
      </c>
      <c r="BD40" s="161"/>
      <c r="BI40" s="161"/>
      <c r="BJ40" s="161"/>
      <c r="BT40" s="122">
        <f>AY40+AZ40+BA40+BB40-'ER GA separado Acum.'!C37</f>
        <v>-117.78999999999999</v>
      </c>
      <c r="BU40" s="122">
        <f>AY40+AZ40-'ER GA separado Acum.'!E38</f>
        <v>31.254809552031318</v>
      </c>
    </row>
    <row r="41" spans="2:73" s="56" customFormat="1" ht="13">
      <c r="B41" s="181" t="s">
        <v>146</v>
      </c>
      <c r="C41" s="182">
        <f>+C39/C$10</f>
        <v>0.66930383111939129</v>
      </c>
      <c r="D41" s="182">
        <f>+D39/D$10</f>
        <v>0.33017796650603559</v>
      </c>
      <c r="E41" s="182">
        <f>+E39/E$10</f>
        <v>0.27280142747897018</v>
      </c>
      <c r="F41" s="182">
        <f>+F39/F$10</f>
        <v>-0.46380438182535255</v>
      </c>
      <c r="G41" s="113"/>
      <c r="H41" s="182">
        <f>+H39/H$10</f>
        <v>0.53731663514565886</v>
      </c>
      <c r="I41" s="182">
        <f>+I39/I$10</f>
        <v>0.66573235884442317</v>
      </c>
      <c r="J41" s="182">
        <f>+J39/J$10</f>
        <v>0.47826687162880188</v>
      </c>
      <c r="K41" s="182">
        <f t="shared" ref="K41:L41" si="128">+K39/K$10</f>
        <v>-0.14761117429491652</v>
      </c>
      <c r="L41" s="182">
        <f t="shared" si="128"/>
        <v>6.7190507788632739E-2</v>
      </c>
      <c r="N41" s="182">
        <f t="shared" ref="N41:U41" si="129">+N39/N$10</f>
        <v>0.5703541247005256</v>
      </c>
      <c r="O41" s="182">
        <f t="shared" si="129"/>
        <v>0.80069034628660507</v>
      </c>
      <c r="P41" s="182">
        <f t="shared" si="129"/>
        <v>0.85275602238695203</v>
      </c>
      <c r="Q41" s="182">
        <f t="shared" si="129"/>
        <v>0.85987187050778169</v>
      </c>
      <c r="R41" s="182">
        <f t="shared" si="129"/>
        <v>0.4681321985050953</v>
      </c>
      <c r="S41" s="182">
        <f t="shared" si="129"/>
        <v>0.51989500378997011</v>
      </c>
      <c r="T41" s="182">
        <f t="shared" si="129"/>
        <v>0.34510652934217972</v>
      </c>
      <c r="U41" s="182">
        <f t="shared" si="129"/>
        <v>0.33213156445947195</v>
      </c>
      <c r="W41" s="182">
        <f t="shared" ref="W41:AC41" si="130">+W39/W$10</f>
        <v>0.66733930560924037</v>
      </c>
      <c r="X41" s="182">
        <f t="shared" si="130"/>
        <v>0.6621557308667827</v>
      </c>
      <c r="Y41" s="182">
        <f t="shared" si="130"/>
        <v>0.45080701687915586</v>
      </c>
      <c r="Z41" s="182">
        <f t="shared" si="130"/>
        <v>0.45289595995709692</v>
      </c>
      <c r="AA41" s="182">
        <f t="shared" si="130"/>
        <v>0.55713604134914851</v>
      </c>
      <c r="AB41" s="182">
        <f t="shared" si="130"/>
        <v>0.5570919312896504</v>
      </c>
      <c r="AC41" s="182">
        <f t="shared" si="130"/>
        <v>-0.21041688111168297</v>
      </c>
      <c r="AD41" s="119"/>
      <c r="AE41" s="182">
        <f t="shared" ref="AE41:AH41" si="131">+AE39/AE$10</f>
        <v>0.60346614463380932</v>
      </c>
      <c r="AF41" s="182">
        <f t="shared" si="131"/>
        <v>0.71774365428139364</v>
      </c>
      <c r="AG41" s="182">
        <f t="shared" si="131"/>
        <v>0.90390550132376113</v>
      </c>
      <c r="AH41" s="182">
        <f t="shared" si="131"/>
        <v>0.94052895780193724</v>
      </c>
      <c r="AI41" s="119"/>
      <c r="AJ41" s="182">
        <f t="shared" ref="AJ41:AM41" si="132">+AJ39/AJ$10</f>
        <v>0.6498246457975122</v>
      </c>
      <c r="AK41" s="182">
        <f t="shared" si="132"/>
        <v>0.68915915416891693</v>
      </c>
      <c r="AL41" s="182">
        <f>+AL39/AL$10</f>
        <v>0.92964971134342334</v>
      </c>
      <c r="AM41" s="182">
        <f t="shared" si="132"/>
        <v>0.59597845678945716</v>
      </c>
      <c r="AN41" s="119"/>
      <c r="AO41" s="182">
        <f t="shared" ref="AO41:AR41" si="133">+AO39/AO$10</f>
        <v>0.66025967540574282</v>
      </c>
      <c r="AP41" s="182">
        <f t="shared" si="133"/>
        <v>-0.25389386144196208</v>
      </c>
      <c r="AQ41" s="182">
        <f t="shared" si="133"/>
        <v>-2.8968713789107763E-4</v>
      </c>
      <c r="AR41" s="182">
        <f t="shared" si="133"/>
        <v>-11.926600284495022</v>
      </c>
      <c r="AS41" s="119"/>
      <c r="AT41" s="182">
        <f t="shared" ref="AT41:AW41" si="134">+AT39/AT$10</f>
        <v>0.74883954533439068</v>
      </c>
      <c r="AU41" s="182">
        <f t="shared" si="134"/>
        <v>0.60796329539552219</v>
      </c>
      <c r="AV41" s="182">
        <f t="shared" si="134"/>
        <v>0.79552594169918278</v>
      </c>
      <c r="AW41" s="182">
        <f t="shared" si="134"/>
        <v>0.12011696066241272</v>
      </c>
      <c r="AX41" s="169"/>
      <c r="AY41" s="182">
        <f t="shared" ref="AY41:BB41" si="135">+AY39/AY$10</f>
        <v>0.69813249224652363</v>
      </c>
      <c r="AZ41" s="182">
        <f t="shared" si="135"/>
        <v>0.72817520284565129</v>
      </c>
      <c r="BA41" s="182">
        <f t="shared" si="135"/>
        <v>0.68090914557152304</v>
      </c>
      <c r="BB41" s="182">
        <f t="shared" si="135"/>
        <v>0.24703259818208606</v>
      </c>
      <c r="BC41" s="169"/>
      <c r="BD41" s="182">
        <f t="shared" ref="BD41:BG41" si="136">+BD39/BD$10</f>
        <v>0.82527439997948848</v>
      </c>
      <c r="BE41" s="182">
        <f t="shared" si="136"/>
        <v>0.73711475764180345</v>
      </c>
      <c r="BF41" s="182">
        <f t="shared" si="136"/>
        <v>0.61897357424032384</v>
      </c>
      <c r="BG41" s="182">
        <f t="shared" si="136"/>
        <v>8.2989934365854084E-2</v>
      </c>
      <c r="BH41" s="169"/>
      <c r="BI41" s="182">
        <f t="shared" ref="BI41:BO41" si="137">+BI39/BI$10</f>
        <v>0.98787283971503725</v>
      </c>
      <c r="BJ41" s="182">
        <f t="shared" ref="BJ41" si="138">+BJ39/BJ$10</f>
        <v>0.9868439680600618</v>
      </c>
      <c r="BK41" s="182">
        <f t="shared" si="137"/>
        <v>0.70805696762453074</v>
      </c>
      <c r="BL41" s="182">
        <f t="shared" ref="BL41" si="139">+BL39/BL$10</f>
        <v>0.74323127109226572</v>
      </c>
      <c r="BM41" s="182">
        <f t="shared" si="137"/>
        <v>0.73663948547145974</v>
      </c>
      <c r="BN41" s="182">
        <f t="shared" ref="BN41" si="140">+BN39/BN$10</f>
        <v>0.74680026094067276</v>
      </c>
      <c r="BO41" s="182">
        <f t="shared" si="137"/>
        <v>-0.22790036711009357</v>
      </c>
      <c r="BP41" s="169"/>
      <c r="BQ41" s="182">
        <f t="shared" ref="BQ41:BR41" si="141">+BQ39/BQ$10</f>
        <v>0.94192870184239164</v>
      </c>
      <c r="BR41" s="182">
        <f t="shared" si="141"/>
        <v>0.61304382329062312</v>
      </c>
      <c r="BS41" s="182">
        <f t="shared" ref="BS41" si="142">+BS39/BS$10</f>
        <v>0.79767736044664683</v>
      </c>
      <c r="BT41" s="122"/>
      <c r="BU41" s="122"/>
    </row>
    <row r="42" spans="2:73" s="183" customFormat="1" ht="12.5">
      <c r="AD42" s="119"/>
      <c r="AI42" s="119"/>
      <c r="AN42" s="119"/>
      <c r="AS42" s="119"/>
      <c r="BT42" s="122"/>
      <c r="BU42" s="122"/>
    </row>
    <row r="43" spans="2:73" ht="16.5" customHeight="1">
      <c r="B43" s="56" t="s">
        <v>217</v>
      </c>
      <c r="C43" s="115">
        <f>SUM(C44:C48)</f>
        <v>-195038</v>
      </c>
      <c r="D43" s="115">
        <f>SUM(D44:D48)</f>
        <v>187985</v>
      </c>
      <c r="E43" s="115">
        <f>SUM(E44:E48)</f>
        <v>-1712</v>
      </c>
      <c r="F43" s="115">
        <f>SUM(F44:F48)</f>
        <v>-13105</v>
      </c>
      <c r="H43" s="115">
        <f>SUM(H44:H48)</f>
        <v>-32621</v>
      </c>
      <c r="I43" s="115">
        <f>SUM(I44:I48)</f>
        <v>-18479</v>
      </c>
      <c r="J43" s="115">
        <f>SUM(J44:J48)</f>
        <v>-26865</v>
      </c>
      <c r="K43" s="115">
        <f>SUM(K44:K48)</f>
        <v>-29254</v>
      </c>
      <c r="L43" s="115">
        <f>SUM(L44:L48)</f>
        <v>-29254</v>
      </c>
      <c r="N43" s="115">
        <f t="shared" ref="N43:U43" si="143">SUM(N44:N48)</f>
        <v>-16546</v>
      </c>
      <c r="O43" s="115">
        <f t="shared" si="143"/>
        <v>-16546</v>
      </c>
      <c r="P43" s="115">
        <f t="shared" si="143"/>
        <v>-36752</v>
      </c>
      <c r="Q43" s="115">
        <f t="shared" si="143"/>
        <v>-36752</v>
      </c>
      <c r="R43" s="115">
        <f t="shared" si="143"/>
        <v>-45263</v>
      </c>
      <c r="S43" s="115">
        <f t="shared" si="143"/>
        <v>-45263</v>
      </c>
      <c r="T43" s="115">
        <f t="shared" si="143"/>
        <v>-33135</v>
      </c>
      <c r="U43" s="115">
        <f t="shared" si="143"/>
        <v>-36774</v>
      </c>
      <c r="W43" s="115">
        <f t="shared" ref="W43:AC43" si="144">SUM(W44:W48)</f>
        <v>-31999</v>
      </c>
      <c r="X43" s="115">
        <f t="shared" si="144"/>
        <v>-32824</v>
      </c>
      <c r="Y43" s="115">
        <f t="shared" si="144"/>
        <v>-29905</v>
      </c>
      <c r="Z43" s="115">
        <f t="shared" si="144"/>
        <v>-30664</v>
      </c>
      <c r="AA43" s="115">
        <f t="shared" si="144"/>
        <v>-27288</v>
      </c>
      <c r="AB43" s="115">
        <f t="shared" si="144"/>
        <v>-27968</v>
      </c>
      <c r="AC43" s="115">
        <f t="shared" si="144"/>
        <v>-27156</v>
      </c>
      <c r="AD43" s="119"/>
      <c r="AE43" s="115">
        <f t="shared" ref="AE43:AH43" si="145">SUM(AE44:AE48)</f>
        <v>-26447</v>
      </c>
      <c r="AF43" s="115">
        <f t="shared" si="145"/>
        <v>-29085</v>
      </c>
      <c r="AG43" s="115">
        <f t="shared" si="145"/>
        <v>-27827</v>
      </c>
      <c r="AH43" s="115">
        <f t="shared" si="145"/>
        <v>-27691</v>
      </c>
      <c r="AI43" s="119"/>
      <c r="AJ43" s="115">
        <f t="shared" ref="AJ43:AM43" si="146">SUM(AJ44:AJ48)</f>
        <v>-25842</v>
      </c>
      <c r="AK43" s="115">
        <f t="shared" si="146"/>
        <v>-23446</v>
      </c>
      <c r="AL43" s="115">
        <f t="shared" si="146"/>
        <v>-24753</v>
      </c>
      <c r="AM43" s="115">
        <f t="shared" si="146"/>
        <v>-28612</v>
      </c>
      <c r="AN43" s="119"/>
      <c r="AO43" s="115">
        <f t="shared" ref="AO43:AR43" si="147">SUM(AO44:AO48)</f>
        <v>-24999</v>
      </c>
      <c r="AP43" s="115">
        <f t="shared" si="147"/>
        <v>-38883</v>
      </c>
      <c r="AQ43" s="115">
        <f t="shared" si="147"/>
        <v>-17657</v>
      </c>
      <c r="AR43" s="115">
        <f t="shared" si="147"/>
        <v>-21231</v>
      </c>
      <c r="AS43" s="119"/>
      <c r="AT43" s="115">
        <f t="shared" ref="AT43:AW43" si="148">SUM(AT44:AT48)</f>
        <v>-17300</v>
      </c>
      <c r="AU43" s="115">
        <f t="shared" si="148"/>
        <v>-26681</v>
      </c>
      <c r="AV43" s="115">
        <f t="shared" si="148"/>
        <v>-21799</v>
      </c>
      <c r="AW43" s="115">
        <f t="shared" si="148"/>
        <v>-26684</v>
      </c>
      <c r="AX43" s="115"/>
      <c r="AY43" s="115">
        <f t="shared" ref="AY43:BA43" si="149">SUM(AY44:AY48)</f>
        <v>-22451</v>
      </c>
      <c r="AZ43" s="115">
        <f t="shared" si="149"/>
        <v>-30508</v>
      </c>
      <c r="BA43" s="115">
        <f t="shared" si="149"/>
        <v>-28951</v>
      </c>
      <c r="BB43" s="115">
        <f t="shared" ref="BB43" si="150">SUM(BB44:BB48)</f>
        <v>-23295</v>
      </c>
      <c r="BC43" s="115"/>
      <c r="BD43" s="115">
        <f t="shared" ref="BD43:BG43" si="151">SUM(BD44:BD48)</f>
        <v>397</v>
      </c>
      <c r="BE43" s="115">
        <f t="shared" si="151"/>
        <v>-47811</v>
      </c>
      <c r="BF43" s="115">
        <f t="shared" si="151"/>
        <v>-22105.404699999999</v>
      </c>
      <c r="BG43" s="115">
        <f t="shared" si="151"/>
        <v>-36911.595300000001</v>
      </c>
      <c r="BH43" s="115"/>
      <c r="BI43" s="115">
        <f t="shared" ref="BI43:BJ43" si="152">SUM(BI44:BI48)</f>
        <v>-13413</v>
      </c>
      <c r="BJ43" s="115">
        <f t="shared" si="152"/>
        <v>-13413</v>
      </c>
      <c r="BK43" s="115">
        <f t="shared" ref="BK43:BO43" si="153">SUM(BK44:BK48)</f>
        <v>-42722</v>
      </c>
      <c r="BL43" s="115">
        <f t="shared" ref="BL43" si="154">SUM(BL44:BL48)</f>
        <v>-42724</v>
      </c>
      <c r="BM43" s="115">
        <f t="shared" si="153"/>
        <v>-30973</v>
      </c>
      <c r="BN43" s="115">
        <f t="shared" ref="BN43" si="155">SUM(BN44:BN48)</f>
        <v>-30941</v>
      </c>
      <c r="BO43" s="115">
        <f t="shared" si="153"/>
        <v>-36059</v>
      </c>
      <c r="BP43" s="115"/>
      <c r="BQ43" s="115">
        <f t="shared" ref="BQ43:BR43" si="156">SUM(BQ44:BQ48)</f>
        <v>-38291</v>
      </c>
      <c r="BR43" s="115">
        <f t="shared" si="156"/>
        <v>-40768</v>
      </c>
      <c r="BS43" s="115">
        <f t="shared" ref="BS43" si="157">SUM(BS44:BS48)</f>
        <v>-155163</v>
      </c>
      <c r="BT43" s="977">
        <f>+BQ43+BR43+BS43-'ER GA separado Acum.'!C46</f>
        <v>0</v>
      </c>
      <c r="BU43" s="122">
        <f>BJ43+BL43+BN43-'ER GA separado Acum.'!E46</f>
        <v>0</v>
      </c>
    </row>
    <row r="44" spans="2:73" ht="16.5" customHeight="1">
      <c r="B44" s="92" t="s">
        <v>148</v>
      </c>
      <c r="C44" s="114">
        <v>-189633</v>
      </c>
      <c r="D44" s="114">
        <v>169794</v>
      </c>
      <c r="E44" s="114">
        <f>17123+1</f>
        <v>17124</v>
      </c>
      <c r="F44" s="114">
        <v>-11163</v>
      </c>
      <c r="H44" s="114">
        <v>-32641</v>
      </c>
      <c r="I44" s="114">
        <f>-18546+1</f>
        <v>-18545</v>
      </c>
      <c r="J44" s="114">
        <f>-26642</f>
        <v>-26642</v>
      </c>
      <c r="K44" s="114">
        <v>-29446</v>
      </c>
      <c r="L44" s="114">
        <v>-29446</v>
      </c>
      <c r="N44" s="114">
        <v>-22738</v>
      </c>
      <c r="O44" s="114">
        <v>-22738</v>
      </c>
      <c r="P44" s="114">
        <v>-36720</v>
      </c>
      <c r="Q44" s="114">
        <v>-36720</v>
      </c>
      <c r="R44" s="114">
        <v>-45240</v>
      </c>
      <c r="S44" s="114">
        <v>-45240</v>
      </c>
      <c r="T44" s="114">
        <v>-33178</v>
      </c>
      <c r="U44" s="114">
        <f>-33178-3643</f>
        <v>-36821</v>
      </c>
      <c r="W44" s="114">
        <v>-31738</v>
      </c>
      <c r="X44" s="114">
        <v>-32563</v>
      </c>
      <c r="Y44" s="165">
        <v>-29574</v>
      </c>
      <c r="Z44" s="165">
        <f>-29574-759</f>
        <v>-30333</v>
      </c>
      <c r="AA44" s="165">
        <v>-31994</v>
      </c>
      <c r="AB44" s="165">
        <f>-31994-680</f>
        <v>-32674</v>
      </c>
      <c r="AC44" s="166">
        <v>-27121</v>
      </c>
      <c r="AD44" s="119"/>
      <c r="AE44" s="114">
        <v>-26333</v>
      </c>
      <c r="AF44" s="165">
        <v>-29011</v>
      </c>
      <c r="AG44" s="165">
        <v>-27117</v>
      </c>
      <c r="AH44" s="165">
        <v>-29029</v>
      </c>
      <c r="AI44" s="119"/>
      <c r="AJ44" s="114">
        <v>-25855</v>
      </c>
      <c r="AK44" s="165">
        <v>-23446</v>
      </c>
      <c r="AL44" s="165">
        <v>-22318</v>
      </c>
      <c r="AM44" s="165">
        <v>-28566</v>
      </c>
      <c r="AN44" s="119"/>
      <c r="AO44" s="114">
        <v>-25602</v>
      </c>
      <c r="AP44" s="166">
        <f>-40505+1966</f>
        <v>-38539</v>
      </c>
      <c r="AQ44" s="165">
        <v>-17687</v>
      </c>
      <c r="AR44" s="165">
        <v>-20850</v>
      </c>
      <c r="AS44" s="119"/>
      <c r="AT44" s="114">
        <v>-17314</v>
      </c>
      <c r="AU44" s="166">
        <v>-26158</v>
      </c>
      <c r="AV44" s="165">
        <v>-22256</v>
      </c>
      <c r="AW44" s="165">
        <v>-25430</v>
      </c>
      <c r="AX44" s="166"/>
      <c r="AY44" s="114">
        <v>-22074</v>
      </c>
      <c r="AZ44" s="166">
        <v>-30546</v>
      </c>
      <c r="BA44" s="166">
        <v>-29161</v>
      </c>
      <c r="BB44" s="165">
        <v>-26892</v>
      </c>
      <c r="BC44" s="166"/>
      <c r="BD44" s="114">
        <v>657</v>
      </c>
      <c r="BE44" s="166">
        <v>-42484</v>
      </c>
      <c r="BF44" s="165">
        <v>-31583.404699999999</v>
      </c>
      <c r="BG44" s="165">
        <v>-9953.5953000000009</v>
      </c>
      <c r="BH44" s="166"/>
      <c r="BI44" s="114">
        <v>-15736</v>
      </c>
      <c r="BJ44" s="114">
        <v>-15736</v>
      </c>
      <c r="BK44" s="166">
        <v>-42336</v>
      </c>
      <c r="BL44" s="166">
        <f>-42336-1</f>
        <v>-42337</v>
      </c>
      <c r="BM44" s="165">
        <v>-31870</v>
      </c>
      <c r="BN44" s="165">
        <f>-31870+1</f>
        <v>-31869</v>
      </c>
      <c r="BO44" s="165">
        <v>-43692</v>
      </c>
      <c r="BP44" s="166"/>
      <c r="BQ44" s="165">
        <v>-31471</v>
      </c>
      <c r="BR44" s="165">
        <f>-36065+1</f>
        <v>-36064</v>
      </c>
      <c r="BS44" s="165">
        <f>-149313-1</f>
        <v>-149314</v>
      </c>
      <c r="BT44" s="977">
        <f>+BQ44+BR44+BS44-'ER GA separado Acum.'!C47</f>
        <v>0</v>
      </c>
      <c r="BU44" s="122">
        <f>BJ44+BL44+BN44-'ER GA separado Acum.'!E47</f>
        <v>0</v>
      </c>
    </row>
    <row r="45" spans="2:73" ht="16.5" hidden="1" customHeight="1">
      <c r="B45" s="92" t="s">
        <v>218</v>
      </c>
      <c r="C45" s="167">
        <v>0</v>
      </c>
      <c r="D45" s="167">
        <v>0</v>
      </c>
      <c r="E45" s="167">
        <v>0</v>
      </c>
      <c r="F45" s="167"/>
      <c r="H45" s="167">
        <v>0</v>
      </c>
      <c r="I45" s="167">
        <v>0</v>
      </c>
      <c r="J45" s="167">
        <v>0</v>
      </c>
      <c r="K45" s="167">
        <v>0</v>
      </c>
      <c r="L45" s="167">
        <v>0</v>
      </c>
      <c r="N45" s="167">
        <v>0</v>
      </c>
      <c r="O45" s="167">
        <v>0</v>
      </c>
      <c r="P45" s="167">
        <v>0</v>
      </c>
      <c r="Q45" s="167"/>
      <c r="R45" s="167">
        <v>0</v>
      </c>
      <c r="S45" s="167"/>
      <c r="T45" s="167"/>
      <c r="U45" s="167"/>
      <c r="W45" s="167">
        <v>0</v>
      </c>
      <c r="X45" s="167"/>
      <c r="Y45" s="165"/>
      <c r="Z45" s="165"/>
      <c r="AD45" s="119"/>
      <c r="AE45" s="167"/>
      <c r="AF45" s="165">
        <v>0</v>
      </c>
      <c r="AG45" s="165">
        <v>0</v>
      </c>
      <c r="AH45" s="165">
        <v>0</v>
      </c>
      <c r="AI45" s="119"/>
      <c r="AJ45" s="167"/>
      <c r="AK45" s="165"/>
      <c r="AL45" s="165"/>
      <c r="AM45" s="165"/>
      <c r="AN45" s="119"/>
      <c r="AO45" s="167"/>
      <c r="AP45" s="165"/>
      <c r="AQ45" s="165"/>
      <c r="AR45" s="165"/>
      <c r="AS45" s="119"/>
      <c r="AT45" s="167"/>
      <c r="AU45" s="165"/>
      <c r="AV45" s="165"/>
      <c r="AW45" s="165"/>
      <c r="AX45" s="166"/>
      <c r="AY45" s="167"/>
      <c r="AZ45" s="165">
        <v>0</v>
      </c>
      <c r="BA45" s="165"/>
      <c r="BB45" s="165"/>
      <c r="BC45" s="166"/>
      <c r="BD45" s="167">
        <v>0</v>
      </c>
      <c r="BE45" s="165">
        <v>0</v>
      </c>
      <c r="BF45" s="165">
        <v>0</v>
      </c>
      <c r="BG45" s="165">
        <v>0</v>
      </c>
      <c r="BH45" s="166"/>
      <c r="BI45" s="167">
        <v>0</v>
      </c>
      <c r="BJ45" s="167">
        <v>0</v>
      </c>
      <c r="BK45" s="165">
        <v>0</v>
      </c>
      <c r="BL45" s="165">
        <v>0</v>
      </c>
      <c r="BM45" s="165">
        <v>0</v>
      </c>
      <c r="BN45" s="165">
        <v>0</v>
      </c>
      <c r="BO45" s="165">
        <v>0</v>
      </c>
      <c r="BP45" s="166"/>
      <c r="BQ45" s="165">
        <v>0</v>
      </c>
      <c r="BR45" s="165">
        <v>0</v>
      </c>
      <c r="BS45" s="165">
        <v>0</v>
      </c>
      <c r="BT45" s="977">
        <f>+BQ45+BR45+BS45-'ER GA separado Acum.'!C48</f>
        <v>0</v>
      </c>
      <c r="BU45" s="122">
        <f>BJ45+BL45+BN45-'ER GA separado Acum.'!E48</f>
        <v>0</v>
      </c>
    </row>
    <row r="46" spans="2:73" ht="12.75" customHeight="1">
      <c r="B46" s="92" t="s">
        <v>149</v>
      </c>
      <c r="C46" s="114">
        <v>-5405</v>
      </c>
      <c r="D46" s="119">
        <v>18191</v>
      </c>
      <c r="E46" s="114">
        <v>-18836</v>
      </c>
      <c r="F46" s="114">
        <v>-1942</v>
      </c>
      <c r="H46" s="119">
        <f>21-1</f>
        <v>20</v>
      </c>
      <c r="I46" s="119">
        <v>66</v>
      </c>
      <c r="J46" s="114">
        <v>-223</v>
      </c>
      <c r="K46" s="119">
        <v>192</v>
      </c>
      <c r="L46" s="119">
        <v>192</v>
      </c>
      <c r="N46" s="119">
        <v>6192</v>
      </c>
      <c r="O46" s="119">
        <v>6192</v>
      </c>
      <c r="P46" s="114">
        <v>-32</v>
      </c>
      <c r="Q46" s="114">
        <v>-32</v>
      </c>
      <c r="R46" s="114">
        <v>-23</v>
      </c>
      <c r="S46" s="114">
        <v>-23</v>
      </c>
      <c r="T46" s="114">
        <v>43</v>
      </c>
      <c r="U46" s="119">
        <f>43+4</f>
        <v>47</v>
      </c>
      <c r="W46" s="114">
        <v>-261</v>
      </c>
      <c r="X46" s="114">
        <v>-261</v>
      </c>
      <c r="Y46" s="165">
        <v>-331</v>
      </c>
      <c r="Z46" s="165">
        <v>-331</v>
      </c>
      <c r="AA46" s="165">
        <v>4706</v>
      </c>
      <c r="AB46" s="165">
        <v>4706</v>
      </c>
      <c r="AC46" s="165">
        <v>-35</v>
      </c>
      <c r="AD46" s="119"/>
      <c r="AE46" s="114">
        <v>-114</v>
      </c>
      <c r="AF46" s="165">
        <v>-74</v>
      </c>
      <c r="AG46" s="165">
        <v>-710</v>
      </c>
      <c r="AH46" s="165">
        <v>1338</v>
      </c>
      <c r="AI46" s="119"/>
      <c r="AJ46" s="114">
        <v>13</v>
      </c>
      <c r="AK46" s="165">
        <v>0</v>
      </c>
      <c r="AL46" s="165">
        <v>-2435</v>
      </c>
      <c r="AM46" s="165">
        <v>-46</v>
      </c>
      <c r="AN46" s="119"/>
      <c r="AO46" s="114">
        <v>603</v>
      </c>
      <c r="AP46" s="165">
        <v>-344</v>
      </c>
      <c r="AQ46" s="165">
        <v>30</v>
      </c>
      <c r="AR46" s="165">
        <v>-381</v>
      </c>
      <c r="AS46" s="119"/>
      <c r="AT46" s="114">
        <v>14</v>
      </c>
      <c r="AU46" s="165">
        <v>-523</v>
      </c>
      <c r="AV46" s="165">
        <v>457</v>
      </c>
      <c r="AW46" s="165">
        <v>-1254</v>
      </c>
      <c r="AX46" s="166"/>
      <c r="AY46" s="114">
        <v>-377</v>
      </c>
      <c r="AZ46" s="165">
        <v>38</v>
      </c>
      <c r="BA46" s="165">
        <v>210</v>
      </c>
      <c r="BB46" s="165">
        <v>3597</v>
      </c>
      <c r="BC46" s="166"/>
      <c r="BD46" s="114">
        <v>-260</v>
      </c>
      <c r="BE46" s="165">
        <v>-5327</v>
      </c>
      <c r="BF46" s="165">
        <v>9478</v>
      </c>
      <c r="BG46" s="165">
        <v>-26958</v>
      </c>
      <c r="BH46" s="166"/>
      <c r="BI46" s="114">
        <v>2323</v>
      </c>
      <c r="BJ46" s="114">
        <v>2323</v>
      </c>
      <c r="BK46" s="165">
        <v>-386</v>
      </c>
      <c r="BL46" s="165">
        <f>-386-1</f>
        <v>-387</v>
      </c>
      <c r="BM46" s="165">
        <v>897</v>
      </c>
      <c r="BN46" s="165">
        <f>927+1</f>
        <v>928</v>
      </c>
      <c r="BO46" s="165">
        <v>7633</v>
      </c>
      <c r="BP46" s="166"/>
      <c r="BQ46" s="165">
        <v>-6820</v>
      </c>
      <c r="BR46" s="165">
        <v>-4704</v>
      </c>
      <c r="BS46" s="165">
        <f>-5850+1</f>
        <v>-5849</v>
      </c>
      <c r="BT46" s="977">
        <f>+BQ46+BR46+BS46-'ER GA separado Acum.'!C49</f>
        <v>0</v>
      </c>
      <c r="BU46" s="122">
        <f>BJ46+BL46+BN46-'ER GA separado Acum.'!E49</f>
        <v>0</v>
      </c>
    </row>
    <row r="47" spans="2:73" ht="13.5" hidden="1" customHeight="1">
      <c r="B47" s="92" t="s">
        <v>219</v>
      </c>
      <c r="C47" s="119">
        <v>0</v>
      </c>
      <c r="D47" s="119">
        <v>0</v>
      </c>
      <c r="E47" s="119">
        <v>0</v>
      </c>
      <c r="F47" s="119"/>
      <c r="H47" s="119">
        <v>0</v>
      </c>
      <c r="I47" s="119">
        <v>0</v>
      </c>
      <c r="J47" s="119">
        <v>0</v>
      </c>
      <c r="K47" s="119"/>
      <c r="L47" s="119">
        <v>0</v>
      </c>
      <c r="N47" s="119">
        <v>0</v>
      </c>
      <c r="O47" s="119">
        <v>0</v>
      </c>
      <c r="P47" s="119">
        <v>0</v>
      </c>
      <c r="Q47" s="119"/>
      <c r="R47" s="119">
        <v>0</v>
      </c>
      <c r="S47" s="119"/>
      <c r="T47" s="119"/>
      <c r="U47" s="119"/>
      <c r="W47" s="119">
        <v>0</v>
      </c>
      <c r="X47" s="119">
        <v>0</v>
      </c>
      <c r="AD47" s="119"/>
      <c r="AE47" s="119">
        <v>0</v>
      </c>
      <c r="AI47" s="119"/>
      <c r="AJ47" s="119">
        <v>0</v>
      </c>
      <c r="AN47" s="119"/>
      <c r="AO47" s="119">
        <v>0</v>
      </c>
      <c r="AS47" s="119"/>
      <c r="AT47" s="119">
        <v>0</v>
      </c>
      <c r="AV47"/>
      <c r="AY47" s="119">
        <v>0</v>
      </c>
      <c r="BD47" s="119"/>
      <c r="BF47"/>
      <c r="BI47" s="119"/>
      <c r="BJ47" s="119"/>
      <c r="BT47" s="122">
        <f>AY47+AZ47+BA47+BB47-'ER GA separado Acum.'!C44</f>
        <v>-0.88776706458274401</v>
      </c>
      <c r="BU47" s="122">
        <f>AY47+AZ47-'ER GA separado Acum.'!E45</f>
        <v>0</v>
      </c>
    </row>
    <row r="48" spans="2:73" ht="5.25" customHeight="1">
      <c r="B48" s="92"/>
      <c r="C48" s="119"/>
      <c r="D48" s="119"/>
      <c r="E48" s="119"/>
      <c r="F48" s="119"/>
      <c r="H48" s="119"/>
      <c r="I48" s="119"/>
      <c r="J48" s="119"/>
      <c r="K48" s="119"/>
      <c r="L48" s="119"/>
      <c r="N48" s="119"/>
      <c r="O48" s="119"/>
      <c r="P48" s="119"/>
      <c r="Q48" s="119"/>
      <c r="R48" s="119"/>
      <c r="S48" s="119"/>
      <c r="T48" s="119"/>
      <c r="U48" s="119"/>
      <c r="W48" s="114"/>
      <c r="X48" s="114"/>
      <c r="AD48" s="119"/>
      <c r="AE48" s="114"/>
      <c r="AI48" s="119"/>
      <c r="AJ48" s="114"/>
      <c r="AN48" s="119"/>
      <c r="AO48" s="114"/>
      <c r="AS48" s="119"/>
      <c r="AT48" s="114"/>
      <c r="AV48"/>
      <c r="AY48" s="114"/>
      <c r="BD48" s="114"/>
      <c r="BF48"/>
      <c r="BI48" s="114"/>
      <c r="BJ48" s="114"/>
      <c r="BT48" s="122"/>
      <c r="BU48" s="122"/>
    </row>
    <row r="49" spans="2:73" ht="5.25" customHeight="1">
      <c r="C49" s="167"/>
      <c r="D49" s="167"/>
      <c r="E49" s="167"/>
      <c r="F49" s="167"/>
      <c r="H49" s="167"/>
      <c r="I49" s="167"/>
      <c r="J49" s="167"/>
      <c r="K49" s="167"/>
      <c r="L49" s="167"/>
      <c r="N49" s="167"/>
      <c r="O49" s="167"/>
      <c r="P49" s="167"/>
      <c r="Q49" s="167"/>
      <c r="R49" s="167"/>
      <c r="S49" s="167"/>
      <c r="T49" s="167"/>
      <c r="U49" s="167"/>
      <c r="W49" s="167"/>
      <c r="X49" s="167"/>
      <c r="AD49" s="119"/>
      <c r="AE49" s="167"/>
      <c r="AI49" s="119"/>
      <c r="AJ49" s="167"/>
      <c r="AN49" s="119"/>
      <c r="AO49" s="167"/>
      <c r="AS49" s="119"/>
      <c r="AT49" s="167"/>
      <c r="AV49"/>
      <c r="AY49" s="167"/>
      <c r="BD49" s="167"/>
      <c r="BF49"/>
      <c r="BI49" s="167"/>
      <c r="BJ49" s="167"/>
      <c r="BT49" s="122"/>
      <c r="BU49" s="122"/>
    </row>
    <row r="50" spans="2:73" ht="13">
      <c r="B50" s="56" t="s">
        <v>150</v>
      </c>
      <c r="C50" s="115">
        <f>+C35+C43</f>
        <v>-37712</v>
      </c>
      <c r="D50" s="71">
        <f>+D35+D43</f>
        <v>257159</v>
      </c>
      <c r="E50" s="71">
        <f>+E35+E43</f>
        <v>30299</v>
      </c>
      <c r="F50" s="115">
        <f>+F35+F43</f>
        <v>-49517</v>
      </c>
      <c r="H50" s="71">
        <f>+H35+H43</f>
        <v>44431</v>
      </c>
      <c r="I50" s="71">
        <f>+I35+I43</f>
        <v>94161</v>
      </c>
      <c r="J50" s="71">
        <f>+J35+J43</f>
        <v>304933</v>
      </c>
      <c r="K50" s="115">
        <f>+K35+K43</f>
        <v>-45438</v>
      </c>
      <c r="L50" s="115">
        <f>+L35+L43</f>
        <v>-19463</v>
      </c>
      <c r="N50" s="71">
        <f t="shared" ref="N50:U50" si="158">+N35+N43</f>
        <v>88250</v>
      </c>
      <c r="O50" s="71">
        <f t="shared" si="158"/>
        <v>102050</v>
      </c>
      <c r="P50" s="71">
        <f t="shared" si="158"/>
        <v>60049</v>
      </c>
      <c r="Q50" s="71">
        <f t="shared" si="158"/>
        <v>65865</v>
      </c>
      <c r="R50" s="71">
        <f t="shared" si="158"/>
        <v>44184</v>
      </c>
      <c r="S50" s="71">
        <f t="shared" si="158"/>
        <v>64990</v>
      </c>
      <c r="T50" s="71">
        <f t="shared" si="158"/>
        <v>180776</v>
      </c>
      <c r="U50" s="71">
        <f t="shared" si="158"/>
        <v>166840</v>
      </c>
      <c r="W50" s="71">
        <f t="shared" ref="W50:AC50" si="159">+W35+W43</f>
        <v>88063</v>
      </c>
      <c r="X50" s="71">
        <f t="shared" si="159"/>
        <v>88079</v>
      </c>
      <c r="Y50" s="71">
        <f t="shared" si="159"/>
        <v>64684</v>
      </c>
      <c r="Z50" s="71">
        <f t="shared" si="159"/>
        <v>64991</v>
      </c>
      <c r="AA50" s="71">
        <f t="shared" si="159"/>
        <v>376929</v>
      </c>
      <c r="AB50" s="71">
        <f t="shared" si="159"/>
        <v>376376</v>
      </c>
      <c r="AC50" s="115">
        <f t="shared" si="159"/>
        <v>-38310</v>
      </c>
      <c r="AD50" s="119"/>
      <c r="AE50" s="71">
        <f t="shared" ref="AE50:AH50" si="160">+AE35+AE43</f>
        <v>486234</v>
      </c>
      <c r="AF50" s="71">
        <f t="shared" si="160"/>
        <v>40745</v>
      </c>
      <c r="AG50" s="71">
        <f t="shared" si="160"/>
        <v>193887</v>
      </c>
      <c r="AH50" s="115">
        <f t="shared" si="160"/>
        <v>125809</v>
      </c>
      <c r="AI50" s="119"/>
      <c r="AJ50" s="71">
        <f t="shared" ref="AJ50:AM50" si="161">+AJ35+AJ43</f>
        <v>169997</v>
      </c>
      <c r="AK50" s="71">
        <f t="shared" si="161"/>
        <v>38936</v>
      </c>
      <c r="AL50" s="71">
        <f t="shared" si="161"/>
        <v>209573</v>
      </c>
      <c r="AM50" s="115">
        <f t="shared" si="161"/>
        <v>77494</v>
      </c>
      <c r="AN50" s="119"/>
      <c r="AO50" s="71">
        <f t="shared" ref="AO50:AR50" si="162">+AO35+AO43</f>
        <v>103458</v>
      </c>
      <c r="AP50" s="71">
        <f t="shared" si="162"/>
        <v>-50440</v>
      </c>
      <c r="AQ50" s="71">
        <f t="shared" si="162"/>
        <v>-23375</v>
      </c>
      <c r="AR50" s="115">
        <f t="shared" si="162"/>
        <v>-67708</v>
      </c>
      <c r="AS50" s="119"/>
      <c r="AT50" s="71">
        <f t="shared" ref="AT50:AW50" si="163">+AT35+AT43</f>
        <v>119943</v>
      </c>
      <c r="AU50" s="71">
        <f t="shared" si="163"/>
        <v>102392</v>
      </c>
      <c r="AV50" s="71">
        <f t="shared" si="163"/>
        <v>109839</v>
      </c>
      <c r="AW50" s="115">
        <f t="shared" si="163"/>
        <v>-22265</v>
      </c>
      <c r="AX50" s="115"/>
      <c r="AY50" s="71">
        <f t="shared" ref="AY50:BB50" si="164">+AY35+AY43</f>
        <v>171903</v>
      </c>
      <c r="AZ50" s="71">
        <f t="shared" si="164"/>
        <v>90350</v>
      </c>
      <c r="BA50" s="71">
        <f t="shared" si="164"/>
        <v>79870</v>
      </c>
      <c r="BB50" s="115">
        <f t="shared" si="164"/>
        <v>14671</v>
      </c>
      <c r="BC50" s="115"/>
      <c r="BD50" s="71">
        <f t="shared" ref="BD50:BG50" si="165">+BD35+BD43</f>
        <v>353856</v>
      </c>
      <c r="BE50" s="71">
        <f t="shared" si="165"/>
        <v>360830</v>
      </c>
      <c r="BF50" s="71">
        <f t="shared" si="165"/>
        <v>144199</v>
      </c>
      <c r="BG50" s="115">
        <f t="shared" si="165"/>
        <v>-23091</v>
      </c>
      <c r="BH50" s="115"/>
      <c r="BI50" s="71">
        <f t="shared" ref="BI50:BO50" si="166">+BI35+BI43</f>
        <v>2922991</v>
      </c>
      <c r="BJ50" s="71">
        <f t="shared" ref="BJ50" si="167">+BJ35+BJ43</f>
        <v>2690474</v>
      </c>
      <c r="BK50" s="71">
        <f t="shared" si="166"/>
        <v>111090</v>
      </c>
      <c r="BL50" s="71">
        <f t="shared" ref="BL50" si="168">+BL35+BL43</f>
        <v>101752</v>
      </c>
      <c r="BM50" s="71">
        <f t="shared" si="166"/>
        <v>128617</v>
      </c>
      <c r="BN50" s="71">
        <f t="shared" ref="BN50" si="169">+BN35+BN43</f>
        <v>130860</v>
      </c>
      <c r="BO50" s="71">
        <f t="shared" si="166"/>
        <v>-65594</v>
      </c>
      <c r="BP50" s="71"/>
      <c r="BQ50" s="71">
        <f t="shared" ref="BQ50:BR50" si="170">+BQ35+BQ43</f>
        <v>1237898</v>
      </c>
      <c r="BR50" s="71">
        <f t="shared" si="170"/>
        <v>58978</v>
      </c>
      <c r="BS50" s="71">
        <f t="shared" ref="BS50" si="171">+BS35+BS43</f>
        <v>95857</v>
      </c>
      <c r="BT50" s="977">
        <f>+BQ50+BR50+BS50-'ER GA separado Acum.'!C53</f>
        <v>0</v>
      </c>
      <c r="BU50" s="122">
        <f>BJ50+BL50+BN50-'ER GA separado Acum.'!E53</f>
        <v>0</v>
      </c>
    </row>
    <row r="51" spans="2:73" s="95" customFormat="1" ht="5.25" hidden="1" customHeight="1">
      <c r="B51" s="51"/>
      <c r="L51" s="95">
        <v>0</v>
      </c>
      <c r="AD51" s="119"/>
      <c r="AI51" s="119"/>
      <c r="AN51" s="119"/>
      <c r="AS51" s="119"/>
      <c r="BT51" s="122">
        <f>AY51+AZ51+BA51+BB51-'ER GA separado Acum.'!C48</f>
        <v>0</v>
      </c>
      <c r="BU51" s="122">
        <f>AY51+AZ51-'ER GA separado Acum.'!E49</f>
        <v>-2864</v>
      </c>
    </row>
    <row r="52" spans="2:73" s="95" customFormat="1" ht="5.25" customHeight="1">
      <c r="B52" s="51"/>
      <c r="AD52" s="119"/>
      <c r="AI52" s="119"/>
      <c r="AN52" s="119"/>
      <c r="AS52" s="119"/>
      <c r="BT52" s="122"/>
      <c r="BU52" s="122"/>
    </row>
    <row r="53" spans="2:73" ht="15.75" customHeight="1">
      <c r="B53" s="184" t="s">
        <v>151</v>
      </c>
      <c r="C53" s="114">
        <v>-16337</v>
      </c>
      <c r="D53" s="114">
        <v>-4897</v>
      </c>
      <c r="E53" s="114">
        <v>7198</v>
      </c>
      <c r="F53" s="114">
        <v>13223</v>
      </c>
      <c r="H53" s="114">
        <v>9792</v>
      </c>
      <c r="I53" s="114">
        <v>-10606</v>
      </c>
      <c r="J53" s="114">
        <v>-5741</v>
      </c>
      <c r="K53" s="114">
        <v>32841</v>
      </c>
      <c r="L53" s="114">
        <v>35155</v>
      </c>
      <c r="N53" s="114">
        <v>-2546</v>
      </c>
      <c r="O53" s="114">
        <v>-2546</v>
      </c>
      <c r="P53" s="114">
        <v>14733</v>
      </c>
      <c r="Q53" s="114">
        <v>14733</v>
      </c>
      <c r="R53" s="114">
        <v>17439</v>
      </c>
      <c r="S53" s="114">
        <v>17439</v>
      </c>
      <c r="T53" s="114">
        <v>-8187</v>
      </c>
      <c r="U53" s="114">
        <f>-8187+6550</f>
        <v>-1637</v>
      </c>
      <c r="W53" s="114">
        <v>1092</v>
      </c>
      <c r="X53" s="114">
        <v>1108</v>
      </c>
      <c r="Y53" s="165">
        <v>3266</v>
      </c>
      <c r="Z53" s="165">
        <f>3266+307</f>
        <v>3573</v>
      </c>
      <c r="AA53" s="165">
        <v>43776</v>
      </c>
      <c r="AB53" s="165">
        <f>43776-553</f>
        <v>43223</v>
      </c>
      <c r="AC53" s="165">
        <v>-9609</v>
      </c>
      <c r="AD53" s="119"/>
      <c r="AE53" s="114">
        <v>5846</v>
      </c>
      <c r="AF53" s="165">
        <v>797</v>
      </c>
      <c r="AG53" s="165">
        <v>3371</v>
      </c>
      <c r="AH53" s="165">
        <v>24985</v>
      </c>
      <c r="AI53" s="119"/>
      <c r="AJ53" s="114">
        <v>-2191</v>
      </c>
      <c r="AK53" s="165">
        <v>5407</v>
      </c>
      <c r="AL53" s="165">
        <v>10472</v>
      </c>
      <c r="AM53" s="165">
        <v>-427</v>
      </c>
      <c r="AN53" s="119"/>
      <c r="AO53" s="114">
        <v>4062</v>
      </c>
      <c r="AP53" s="165">
        <v>5388</v>
      </c>
      <c r="AQ53" s="165">
        <v>5330</v>
      </c>
      <c r="AR53" s="165">
        <f>8590-2312</f>
        <v>6278</v>
      </c>
      <c r="AS53" s="119"/>
      <c r="AT53" s="114">
        <v>1761</v>
      </c>
      <c r="AU53" s="165">
        <v>-12485</v>
      </c>
      <c r="AV53" s="165">
        <v>-2423</v>
      </c>
      <c r="AW53" s="165">
        <v>-13149</v>
      </c>
      <c r="AX53" s="166"/>
      <c r="AY53" s="114">
        <v>777</v>
      </c>
      <c r="AZ53" s="165">
        <v>7333</v>
      </c>
      <c r="BA53" s="165">
        <v>-2769</v>
      </c>
      <c r="BB53" s="165">
        <v>5664</v>
      </c>
      <c r="BC53" s="166"/>
      <c r="BD53" s="114">
        <v>7574</v>
      </c>
      <c r="BE53" s="165">
        <v>3562</v>
      </c>
      <c r="BF53" s="165">
        <v>25710</v>
      </c>
      <c r="BG53" s="165">
        <v>9607</v>
      </c>
      <c r="BH53" s="166"/>
      <c r="BI53" s="114">
        <v>348139</v>
      </c>
      <c r="BJ53" s="114">
        <v>111266</v>
      </c>
      <c r="BK53" s="165">
        <v>2730</v>
      </c>
      <c r="BL53" s="165">
        <f>2730-1</f>
        <v>2729</v>
      </c>
      <c r="BM53" s="165">
        <v>3678</v>
      </c>
      <c r="BN53" s="165">
        <f>3678+1</f>
        <v>3679</v>
      </c>
      <c r="BO53" s="165">
        <v>210570</v>
      </c>
      <c r="BP53" s="166"/>
      <c r="BQ53" s="165">
        <v>9707</v>
      </c>
      <c r="BR53" s="165">
        <f>8661-1</f>
        <v>8660</v>
      </c>
      <c r="BS53" s="165">
        <v>282946</v>
      </c>
      <c r="BT53" s="977">
        <f>+BQ53+BR53+BS53-'ER GA separado Acum.'!C57</f>
        <v>0</v>
      </c>
      <c r="BU53" s="122">
        <f>BJ53+BL53+BN53-'ER GA separado Acum.'!E57</f>
        <v>0</v>
      </c>
    </row>
    <row r="54" spans="2:73" ht="16.5" customHeight="1">
      <c r="B54" s="56" t="s">
        <v>669</v>
      </c>
      <c r="C54" s="167"/>
      <c r="D54" s="167"/>
      <c r="E54" s="167"/>
      <c r="F54" s="167"/>
      <c r="H54" s="167"/>
      <c r="I54" s="167"/>
      <c r="J54" s="167"/>
      <c r="K54" s="167"/>
      <c r="L54" s="167"/>
      <c r="N54" s="167"/>
      <c r="O54" s="167"/>
      <c r="P54" s="167"/>
      <c r="Q54" s="167"/>
      <c r="R54" s="167"/>
      <c r="S54" s="167"/>
      <c r="T54" s="167"/>
      <c r="U54" s="167"/>
      <c r="W54" s="167"/>
      <c r="X54" s="167"/>
      <c r="AD54" s="119"/>
      <c r="AE54" s="167"/>
      <c r="AI54" s="119"/>
      <c r="AJ54" s="167"/>
      <c r="AN54" s="119"/>
      <c r="AO54" s="167"/>
      <c r="AS54" s="119"/>
      <c r="AT54" s="167"/>
      <c r="AV54"/>
      <c r="AY54" s="167"/>
      <c r="BD54" s="167"/>
      <c r="BF54"/>
      <c r="BI54" s="167"/>
      <c r="BJ54" s="67">
        <f t="shared" ref="BJ54:BO54" si="172">+BJ50-BJ53</f>
        <v>2579208</v>
      </c>
      <c r="BK54" s="67">
        <f t="shared" si="172"/>
        <v>108360</v>
      </c>
      <c r="BL54" s="67">
        <f t="shared" si="172"/>
        <v>99023</v>
      </c>
      <c r="BM54" s="67">
        <f t="shared" si="172"/>
        <v>124939</v>
      </c>
      <c r="BN54" s="67">
        <f t="shared" si="172"/>
        <v>127181</v>
      </c>
      <c r="BO54" s="67">
        <f t="shared" si="172"/>
        <v>-276164</v>
      </c>
      <c r="BQ54" s="67">
        <f>+BQ50-BQ53</f>
        <v>1228191</v>
      </c>
      <c r="BR54" s="67">
        <f>+BR50-BR53</f>
        <v>50318</v>
      </c>
      <c r="BS54" s="67">
        <f>+BS50-BS53</f>
        <v>-187089</v>
      </c>
      <c r="BT54" s="977">
        <f>+BQ54+BR54+BS54-'ER GA separado Acum.'!C59</f>
        <v>0</v>
      </c>
      <c r="BU54" s="122">
        <f>BJ54+BL54+BN54-'ER GA separado Acum.'!E59</f>
        <v>0</v>
      </c>
    </row>
    <row r="55" spans="2:73" ht="16.5" customHeight="1">
      <c r="B55" s="97" t="s">
        <v>515</v>
      </c>
      <c r="C55" s="167"/>
      <c r="D55" s="167"/>
      <c r="E55" s="167"/>
      <c r="F55" s="167"/>
      <c r="H55" s="167"/>
      <c r="I55" s="167"/>
      <c r="J55" s="167"/>
      <c r="K55" s="167"/>
      <c r="L55" s="167"/>
      <c r="N55" s="167"/>
      <c r="O55" s="167"/>
      <c r="P55" s="167"/>
      <c r="Q55" s="167"/>
      <c r="R55" s="167"/>
      <c r="S55" s="167"/>
      <c r="T55" s="167"/>
      <c r="U55" s="167"/>
      <c r="W55" s="167"/>
      <c r="X55" s="167"/>
      <c r="AD55" s="119"/>
      <c r="AE55" s="167"/>
      <c r="AI55" s="119"/>
      <c r="AJ55" s="167"/>
      <c r="AN55" s="119"/>
      <c r="AO55" s="167"/>
      <c r="AS55" s="119"/>
      <c r="AT55" s="167"/>
      <c r="AV55"/>
      <c r="AY55" s="167"/>
      <c r="BD55" s="167"/>
      <c r="BF55"/>
      <c r="BI55" s="167"/>
      <c r="BJ55" s="165">
        <v>-4356</v>
      </c>
      <c r="BK55" s="165">
        <v>0</v>
      </c>
      <c r="BL55" s="165">
        <v>9337</v>
      </c>
      <c r="BM55" s="165"/>
      <c r="BN55" s="165">
        <v>-2242</v>
      </c>
      <c r="BO55" s="165"/>
      <c r="BQ55" s="165">
        <v>261841</v>
      </c>
      <c r="BR55" s="165">
        <f>-12369-1</f>
        <v>-12370</v>
      </c>
      <c r="BS55" s="165">
        <v>2962555</v>
      </c>
      <c r="BT55" s="977">
        <f>+BQ55+BR55+BS55-'ER GA separado Acum.'!C60</f>
        <v>0</v>
      </c>
      <c r="BU55" s="122">
        <f>BJ55+BL55+BN55-'ER GA separado Acum.'!E60</f>
        <v>0</v>
      </c>
    </row>
    <row r="56" spans="2:73" ht="8" customHeight="1">
      <c r="C56" s="167"/>
      <c r="D56" s="167"/>
      <c r="E56" s="167"/>
      <c r="F56" s="167"/>
      <c r="H56" s="167"/>
      <c r="I56" s="167"/>
      <c r="J56" s="167"/>
      <c r="K56" s="167"/>
      <c r="L56" s="167"/>
      <c r="N56" s="167"/>
      <c r="O56" s="167"/>
      <c r="P56" s="167"/>
      <c r="Q56" s="167"/>
      <c r="R56" s="167"/>
      <c r="S56" s="167"/>
      <c r="T56" s="167"/>
      <c r="U56" s="167"/>
      <c r="W56" s="167"/>
      <c r="X56" s="167"/>
      <c r="AD56" s="119"/>
      <c r="AE56" s="167"/>
      <c r="AI56" s="119"/>
      <c r="AJ56" s="167"/>
      <c r="AN56" s="119"/>
      <c r="AO56" s="167"/>
      <c r="AS56" s="119"/>
      <c r="AT56" s="167"/>
      <c r="AV56"/>
      <c r="AY56" s="167"/>
      <c r="BD56" s="167"/>
      <c r="BF56"/>
      <c r="BI56" s="167"/>
      <c r="BJ56" s="167"/>
      <c r="BT56" s="122"/>
      <c r="BU56" s="122"/>
    </row>
    <row r="57" spans="2:73" s="56" customFormat="1" ht="16.5" customHeight="1">
      <c r="B57" s="185" t="s">
        <v>220</v>
      </c>
      <c r="C57" s="178">
        <f>+C50-C53</f>
        <v>-21375</v>
      </c>
      <c r="D57" s="158">
        <f>+D50-D53</f>
        <v>262056</v>
      </c>
      <c r="E57" s="158">
        <f>+E50-E53</f>
        <v>23101</v>
      </c>
      <c r="F57" s="115">
        <f>+F50-F53</f>
        <v>-62740</v>
      </c>
      <c r="G57" s="113"/>
      <c r="H57" s="158">
        <f>+H50-H53</f>
        <v>34639</v>
      </c>
      <c r="I57" s="158">
        <f>+I50-I53</f>
        <v>104767</v>
      </c>
      <c r="J57" s="158">
        <f>+J50-J53</f>
        <v>310674</v>
      </c>
      <c r="K57" s="158">
        <f>+K50-K53</f>
        <v>-78279</v>
      </c>
      <c r="L57" s="158">
        <f>+L50-L53</f>
        <v>-54618</v>
      </c>
      <c r="N57" s="158">
        <f t="shared" ref="N57:U57" si="173">+N50-N53</f>
        <v>90796</v>
      </c>
      <c r="O57" s="158">
        <f t="shared" si="173"/>
        <v>104596</v>
      </c>
      <c r="P57" s="158">
        <f t="shared" si="173"/>
        <v>45316</v>
      </c>
      <c r="Q57" s="158">
        <f t="shared" si="173"/>
        <v>51132</v>
      </c>
      <c r="R57" s="158">
        <f t="shared" si="173"/>
        <v>26745</v>
      </c>
      <c r="S57" s="158">
        <f t="shared" si="173"/>
        <v>47551</v>
      </c>
      <c r="T57" s="158">
        <f t="shared" si="173"/>
        <v>188963</v>
      </c>
      <c r="U57" s="158">
        <f t="shared" si="173"/>
        <v>168477</v>
      </c>
      <c r="W57" s="158">
        <f t="shared" ref="W57:AC57" si="174">+W50-W53</f>
        <v>86971</v>
      </c>
      <c r="X57" s="158">
        <f t="shared" si="174"/>
        <v>86971</v>
      </c>
      <c r="Y57" s="158">
        <f t="shared" si="174"/>
        <v>61418</v>
      </c>
      <c r="Z57" s="158">
        <f t="shared" si="174"/>
        <v>61418</v>
      </c>
      <c r="AA57" s="158">
        <f t="shared" si="174"/>
        <v>333153</v>
      </c>
      <c r="AB57" s="158">
        <f t="shared" si="174"/>
        <v>333153</v>
      </c>
      <c r="AC57" s="178">
        <f t="shared" si="174"/>
        <v>-28701</v>
      </c>
      <c r="AD57" s="119"/>
      <c r="AE57" s="158">
        <f t="shared" ref="AE57:AH57" si="175">+AE50-AE53</f>
        <v>480388</v>
      </c>
      <c r="AF57" s="158">
        <f t="shared" si="175"/>
        <v>39948</v>
      </c>
      <c r="AG57" s="158">
        <f t="shared" si="175"/>
        <v>190516</v>
      </c>
      <c r="AH57" s="178">
        <f t="shared" si="175"/>
        <v>100824</v>
      </c>
      <c r="AI57" s="119"/>
      <c r="AJ57" s="158">
        <f t="shared" ref="AJ57:AM57" si="176">+AJ50-AJ53</f>
        <v>172188</v>
      </c>
      <c r="AK57" s="158">
        <f t="shared" si="176"/>
        <v>33529</v>
      </c>
      <c r="AL57" s="158">
        <f t="shared" si="176"/>
        <v>199101</v>
      </c>
      <c r="AM57" s="178">
        <f t="shared" si="176"/>
        <v>77921</v>
      </c>
      <c r="AN57" s="119"/>
      <c r="AO57" s="158">
        <f t="shared" ref="AO57:AR57" si="177">+AO50-AO53</f>
        <v>99396</v>
      </c>
      <c r="AP57" s="158">
        <f t="shared" si="177"/>
        <v>-55828</v>
      </c>
      <c r="AQ57" s="158">
        <f t="shared" si="177"/>
        <v>-28705</v>
      </c>
      <c r="AR57" s="178">
        <f t="shared" si="177"/>
        <v>-73986</v>
      </c>
      <c r="AS57" s="119"/>
      <c r="AT57" s="158">
        <f t="shared" ref="AT57:AW57" si="178">+AT50-AT53</f>
        <v>118182</v>
      </c>
      <c r="AU57" s="158">
        <f t="shared" si="178"/>
        <v>114877</v>
      </c>
      <c r="AV57" s="158">
        <f t="shared" si="178"/>
        <v>112262</v>
      </c>
      <c r="AW57" s="178">
        <f t="shared" si="178"/>
        <v>-9116</v>
      </c>
      <c r="AX57" s="115"/>
      <c r="AY57" s="158">
        <f t="shared" ref="AY57:BB57" si="179">+AY50-AY53</f>
        <v>171126</v>
      </c>
      <c r="AZ57" s="158">
        <f t="shared" si="179"/>
        <v>83017</v>
      </c>
      <c r="BA57" s="158">
        <f t="shared" si="179"/>
        <v>82639</v>
      </c>
      <c r="BB57" s="178">
        <f t="shared" si="179"/>
        <v>9007</v>
      </c>
      <c r="BC57" s="115"/>
      <c r="BD57" s="158">
        <f t="shared" ref="BD57:BG57" si="180">+BD50-BD53</f>
        <v>346282</v>
      </c>
      <c r="BE57" s="158">
        <f t="shared" si="180"/>
        <v>357268</v>
      </c>
      <c r="BF57" s="158">
        <f t="shared" si="180"/>
        <v>118489</v>
      </c>
      <c r="BG57" s="178">
        <f t="shared" si="180"/>
        <v>-32698</v>
      </c>
      <c r="BH57" s="115"/>
      <c r="BI57" s="158">
        <f t="shared" ref="BI57" si="181">+BI50-BI53</f>
        <v>2574852</v>
      </c>
      <c r="BJ57" s="158">
        <f>+BJ54+BJ55</f>
        <v>2574852</v>
      </c>
      <c r="BK57" s="1000">
        <f t="shared" ref="BK57:BO57" si="182">+BK54+BK55</f>
        <v>108360</v>
      </c>
      <c r="BL57" s="1000">
        <f t="shared" ref="BL57" si="183">+BL54+BL55</f>
        <v>108360</v>
      </c>
      <c r="BM57" s="1000">
        <f t="shared" si="182"/>
        <v>124939</v>
      </c>
      <c r="BN57" s="1000">
        <f t="shared" ref="BN57" si="184">+BN54+BN55</f>
        <v>124939</v>
      </c>
      <c r="BO57" s="1000">
        <f t="shared" si="182"/>
        <v>-276164</v>
      </c>
      <c r="BP57" s="71"/>
      <c r="BQ57" s="158">
        <f>+BQ54+BQ55</f>
        <v>1490032</v>
      </c>
      <c r="BR57" s="158">
        <f>+BR54+BR55</f>
        <v>37948</v>
      </c>
      <c r="BS57" s="158">
        <f>+BS54+BS55</f>
        <v>2775466</v>
      </c>
      <c r="BT57" s="977">
        <f>+BQ57+BR57+BS57-'ER GA separado Acum.'!C61</f>
        <v>0</v>
      </c>
      <c r="BU57" s="122">
        <f>BJ57+BL57+BN57-'ER GA separado Acum.'!E61</f>
        <v>0</v>
      </c>
    </row>
    <row r="58" spans="2:73" s="177" customFormat="1" ht="13" hidden="1" customHeight="1">
      <c r="B58" s="186" t="s">
        <v>35</v>
      </c>
      <c r="C58" s="161">
        <v>-10.53</v>
      </c>
      <c r="D58" s="161">
        <v>137.87</v>
      </c>
      <c r="E58" s="161">
        <v>11.78</v>
      </c>
      <c r="F58" s="161">
        <v>-25.75</v>
      </c>
      <c r="G58" s="180"/>
      <c r="H58" s="161">
        <v>10.75</v>
      </c>
      <c r="I58" s="161">
        <v>41.98</v>
      </c>
      <c r="J58" s="161">
        <v>102.97</v>
      </c>
      <c r="K58" s="161">
        <f>-22.4-(3726/3244.51)</f>
        <v>-23.548401453532271</v>
      </c>
      <c r="L58" s="161">
        <v>-155.69999999999999</v>
      </c>
      <c r="N58" s="161">
        <v>10.75</v>
      </c>
      <c r="O58" s="161">
        <v>10.75</v>
      </c>
      <c r="P58" s="161">
        <v>10.75</v>
      </c>
      <c r="Q58" s="161"/>
      <c r="R58" s="161">
        <v>10.75</v>
      </c>
      <c r="S58" s="161"/>
      <c r="T58" s="161">
        <v>11.75</v>
      </c>
      <c r="U58" s="161">
        <v>11.75</v>
      </c>
      <c r="W58" s="161">
        <v>10.75</v>
      </c>
      <c r="X58" s="161">
        <v>10.75</v>
      </c>
      <c r="AE58" s="161">
        <v>10.75</v>
      </c>
      <c r="AJ58" s="161">
        <v>10.75</v>
      </c>
      <c r="AO58" s="161">
        <v>10.75</v>
      </c>
      <c r="AT58" s="161">
        <v>10.75</v>
      </c>
      <c r="AY58" s="161">
        <v>10.75</v>
      </c>
      <c r="BD58" s="161">
        <v>10.75</v>
      </c>
      <c r="BI58" s="161">
        <v>10.75</v>
      </c>
      <c r="BJ58" s="161">
        <v>10.75</v>
      </c>
      <c r="BT58" s="119">
        <v>-222324.25</v>
      </c>
      <c r="BU58" s="119">
        <v>-53018</v>
      </c>
    </row>
    <row r="59" spans="2:73" ht="16.5" customHeight="1">
      <c r="B59" s="187" t="s">
        <v>156</v>
      </c>
      <c r="C59" s="182">
        <f>+C57/C10</f>
        <v>-9.0918371253206065E-2</v>
      </c>
      <c r="D59" s="182">
        <f>+D57/D10</f>
        <v>1.2503268285700653</v>
      </c>
      <c r="E59" s="182">
        <f>+E57/E10</f>
        <v>0.19628685529781631</v>
      </c>
      <c r="F59" s="182">
        <f>+F57/F10</f>
        <v>-0.85324556989569023</v>
      </c>
      <c r="G59" s="159"/>
      <c r="H59" s="182">
        <f>+H57/H10</f>
        <v>0.27525786303459893</v>
      </c>
      <c r="I59" s="182">
        <f>+I57/I10</f>
        <v>0.61305612283709687</v>
      </c>
      <c r="J59" s="182">
        <f>+J57/J10</f>
        <v>0.44674747236534262</v>
      </c>
      <c r="K59" s="182">
        <f t="shared" ref="K59:L59" si="185">+K57/K10</f>
        <v>-0.74812917530798118</v>
      </c>
      <c r="L59" s="182">
        <f t="shared" si="185"/>
        <v>-0.35883554848924831</v>
      </c>
      <c r="N59" s="182">
        <f t="shared" ref="N59:U59" si="186">+N57/N10</f>
        <v>0.54111589210579636</v>
      </c>
      <c r="O59" s="182">
        <f t="shared" si="186"/>
        <v>0.64702025263209983</v>
      </c>
      <c r="P59" s="182">
        <f t="shared" si="186"/>
        <v>0.39566580227187398</v>
      </c>
      <c r="Q59" s="182">
        <f t="shared" si="186"/>
        <v>0.42487141349597413</v>
      </c>
      <c r="R59" s="182">
        <f t="shared" si="186"/>
        <v>0.13863115663325074</v>
      </c>
      <c r="S59" s="182">
        <f t="shared" si="186"/>
        <v>0.22248996359757067</v>
      </c>
      <c r="T59" s="182">
        <f t="shared" si="186"/>
        <v>0.30371309725865347</v>
      </c>
      <c r="U59" s="182">
        <f t="shared" si="186"/>
        <v>0.2736086683264069</v>
      </c>
      <c r="W59" s="182">
        <f t="shared" ref="W59:AC59" si="187">+W57/W10</f>
        <v>0.49436688570064347</v>
      </c>
      <c r="X59" s="182">
        <f t="shared" si="187"/>
        <v>0.48695150697356709</v>
      </c>
      <c r="Y59" s="182">
        <f t="shared" si="187"/>
        <v>0.29087654157273574</v>
      </c>
      <c r="Z59" s="182">
        <f t="shared" si="187"/>
        <v>0.2889279867527238</v>
      </c>
      <c r="AA59" s="182">
        <f t="shared" si="187"/>
        <v>0.44152541249751509</v>
      </c>
      <c r="AB59" s="182">
        <f t="shared" si="187"/>
        <v>0.44133298184212305</v>
      </c>
      <c r="AC59" s="182">
        <f t="shared" si="187"/>
        <v>-0.5908594956253217</v>
      </c>
      <c r="AE59" s="182">
        <f t="shared" ref="AE59:AH59" si="188">+AE57/AE10</f>
        <v>0.56447701144022788</v>
      </c>
      <c r="AF59" s="182">
        <f t="shared" si="188"/>
        <v>0.40543585267580762</v>
      </c>
      <c r="AG59" s="182">
        <f t="shared" si="188"/>
        <v>0.77361248720905684</v>
      </c>
      <c r="AH59" s="182">
        <f t="shared" si="188"/>
        <v>0.54834095643141112</v>
      </c>
      <c r="AJ59" s="182">
        <f t="shared" ref="AJ59:AM59" si="189">+AJ57/AJ10</f>
        <v>0.5596643080253394</v>
      </c>
      <c r="AK59" s="182">
        <f t="shared" si="189"/>
        <v>0.34823023555315524</v>
      </c>
      <c r="AL59" s="182">
        <f t="shared" si="189"/>
        <v>0.77664612264003741</v>
      </c>
      <c r="AM59" s="182">
        <f t="shared" si="189"/>
        <v>0.4205081434631035</v>
      </c>
      <c r="AO59" s="182">
        <f t="shared" ref="AO59:AR59" si="190">+AO57/AO10</f>
        <v>0.49635955056179776</v>
      </c>
      <c r="AP59" s="182">
        <f t="shared" si="190"/>
        <v>-1.9672986116005355</v>
      </c>
      <c r="AQ59" s="182">
        <f t="shared" si="190"/>
        <v>-1.1879241847376263</v>
      </c>
      <c r="AR59" s="182">
        <f t="shared" si="190"/>
        <v>-21.048648648648648</v>
      </c>
      <c r="AT59" s="182">
        <f t="shared" ref="AT59:AW59" si="191">+AT57/AT10</f>
        <v>0.62480570975416339</v>
      </c>
      <c r="AU59" s="182">
        <f t="shared" si="191"/>
        <v>0.52340055220929282</v>
      </c>
      <c r="AV59" s="182">
        <f t="shared" si="191"/>
        <v>0.65672951486185294</v>
      </c>
      <c r="AW59" s="182">
        <f t="shared" si="191"/>
        <v>-0.12455764001803599</v>
      </c>
      <c r="AX59" s="169"/>
      <c r="AY59" s="182">
        <f t="shared" ref="AY59:BB59" si="192">+AY57/AY10</f>
        <v>0.60105159266765251</v>
      </c>
      <c r="AZ59" s="182">
        <f t="shared" si="192"/>
        <v>0.48251110129495733</v>
      </c>
      <c r="BA59" s="182">
        <f t="shared" si="192"/>
        <v>0.49689736035115145</v>
      </c>
      <c r="BB59" s="182">
        <f t="shared" si="192"/>
        <v>5.7695387315598319E-2</v>
      </c>
      <c r="BC59" s="169"/>
      <c r="BD59" s="182">
        <f t="shared" ref="BD59:BG59" si="193">+BD57/BD10</f>
        <v>0.80713335058166502</v>
      </c>
      <c r="BE59" s="182">
        <f t="shared" si="193"/>
        <v>0.64352900913233779</v>
      </c>
      <c r="BF59" s="182">
        <f t="shared" si="193"/>
        <v>0.4391962518440542</v>
      </c>
      <c r="BG59" s="182">
        <f t="shared" si="193"/>
        <v>-0.18875156581020938</v>
      </c>
      <c r="BH59" s="169"/>
      <c r="BI59" s="182">
        <f t="shared" ref="BI59:BM59" si="194">+BI57/BI10</f>
        <v>0.86603180924275547</v>
      </c>
      <c r="BJ59" s="182">
        <f t="shared" ref="BJ59" si="195">+BJ57/BJ10</f>
        <v>0.93950618905629479</v>
      </c>
      <c r="BK59" s="182">
        <f t="shared" si="194"/>
        <v>0.4967019467452638</v>
      </c>
      <c r="BL59" s="182">
        <f t="shared" ref="BL59" si="196">+BL57/BL10</f>
        <v>0.5549154260957736</v>
      </c>
      <c r="BM59" s="182">
        <f t="shared" si="194"/>
        <v>0.57397036866888707</v>
      </c>
      <c r="BN59" s="182">
        <f t="shared" ref="BN59" si="197">+BN57/BN10</f>
        <v>0.57397300550364305</v>
      </c>
      <c r="BO59" s="182">
        <f t="shared" ref="BO59:BQ59" si="198">+BO57/BO10</f>
        <v>-2.1802707930367506</v>
      </c>
      <c r="BP59" s="169"/>
      <c r="BQ59" s="182">
        <f t="shared" si="198"/>
        <v>1.099188167382845</v>
      </c>
      <c r="BR59" s="182">
        <f t="shared" ref="BR59:BS59" si="199">+BR57/BR10</f>
        <v>0.23164872998528846</v>
      </c>
      <c r="BS59" s="182">
        <f t="shared" si="199"/>
        <v>8.7993545053056739</v>
      </c>
      <c r="BT59" s="119"/>
      <c r="BU59" s="119"/>
    </row>
    <row r="60" spans="2:73" ht="9" customHeight="1"/>
    <row r="61" spans="2:73" ht="14.5" hidden="1" customHeight="1">
      <c r="B61" s="1201" t="s">
        <v>221</v>
      </c>
      <c r="C61" s="1201"/>
      <c r="D61" s="1201"/>
      <c r="E61" s="50"/>
      <c r="F61" s="50"/>
    </row>
    <row r="62" spans="2:73" ht="14.5" hidden="1" customHeight="1">
      <c r="B62" s="1217"/>
      <c r="C62" s="1217"/>
      <c r="D62" s="1217"/>
      <c r="E62" s="53"/>
      <c r="F62" s="53"/>
    </row>
    <row r="63" spans="2:73" hidden="1">
      <c r="B63" s="1217" t="s">
        <v>222</v>
      </c>
      <c r="C63" s="1217"/>
      <c r="D63" s="1217"/>
      <c r="E63" s="53"/>
      <c r="F63" s="53"/>
    </row>
    <row r="64" spans="2:73" ht="14.5" hidden="1" customHeight="1"/>
    <row r="65" spans="2:62" ht="26" hidden="1" customHeight="1">
      <c r="C65" s="54" t="s">
        <v>223</v>
      </c>
      <c r="D65" s="54" t="s">
        <v>224</v>
      </c>
      <c r="E65" s="54"/>
      <c r="F65" s="54"/>
    </row>
    <row r="66" spans="2:62" ht="14.5" hidden="1" customHeight="1"/>
    <row r="67" spans="2:62" ht="14.5" hidden="1" customHeight="1"/>
    <row r="68" spans="2:62" ht="14.5" hidden="1" customHeight="1">
      <c r="B68" s="188" t="s">
        <v>225</v>
      </c>
      <c r="C68" s="71">
        <f>SUM(C69:C71)</f>
        <v>-200607</v>
      </c>
      <c r="D68" s="71">
        <f>SUM(D69:D71)</f>
        <v>0</v>
      </c>
      <c r="E68" s="71"/>
      <c r="F68" s="71"/>
    </row>
    <row r="69" spans="2:62" ht="25" hidden="1">
      <c r="B69" s="64" t="s">
        <v>226</v>
      </c>
      <c r="C69" s="119">
        <v>-572</v>
      </c>
      <c r="D69" s="167">
        <v>0</v>
      </c>
      <c r="E69" s="167"/>
      <c r="F69" s="167"/>
    </row>
    <row r="70" spans="2:62" hidden="1">
      <c r="B70" s="64" t="s">
        <v>227</v>
      </c>
      <c r="C70" s="119">
        <v>-200035</v>
      </c>
      <c r="D70" s="167">
        <v>0</v>
      </c>
      <c r="E70" s="167"/>
      <c r="F70" s="167"/>
    </row>
    <row r="71" spans="2:62" ht="14.5" hidden="1" customHeight="1">
      <c r="B71" s="64"/>
      <c r="C71" s="167"/>
      <c r="D71" s="167"/>
      <c r="E71" s="167"/>
      <c r="F71" s="167"/>
    </row>
    <row r="72" spans="2:62" ht="14.5" hidden="1" customHeight="1"/>
    <row r="73" spans="2:62" ht="14.5" hidden="1" customHeight="1">
      <c r="B73" s="56" t="s">
        <v>228</v>
      </c>
      <c r="C73" s="71">
        <f>+C57+C68</f>
        <v>-221982</v>
      </c>
      <c r="D73" s="71">
        <f>+D57+D68</f>
        <v>262056</v>
      </c>
      <c r="E73" s="71"/>
      <c r="F73" s="71"/>
    </row>
    <row r="74" spans="2:62" ht="16.5" customHeight="1">
      <c r="B74" s="56"/>
      <c r="C74" s="71"/>
      <c r="D74" s="71"/>
      <c r="E74" s="71"/>
      <c r="F74" s="71"/>
      <c r="U74" s="119"/>
    </row>
    <row r="75" spans="2:62" ht="16.5" hidden="1" customHeight="1">
      <c r="C75" s="110"/>
      <c r="D75" s="110">
        <v>1111</v>
      </c>
      <c r="E75" s="110"/>
      <c r="F75" s="110"/>
    </row>
    <row r="76" spans="2:62" ht="16.5" hidden="1" customHeight="1">
      <c r="C76" s="110"/>
      <c r="D76" s="110">
        <f>+D57-D75</f>
        <v>260945</v>
      </c>
      <c r="E76" s="110"/>
      <c r="F76" s="110"/>
    </row>
    <row r="77" spans="2:62" ht="16.5" customHeight="1">
      <c r="C77" s="119"/>
      <c r="D77" s="119"/>
      <c r="E77" s="119"/>
      <c r="F77" s="119"/>
      <c r="BJ77" s="860" t="s">
        <v>608</v>
      </c>
    </row>
    <row r="78" spans="2:62" ht="16.5" customHeight="1">
      <c r="C78" s="119"/>
    </row>
    <row r="79" spans="2:62" ht="16.5" customHeight="1">
      <c r="C79" s="119"/>
    </row>
  </sheetData>
  <mergeCells count="18">
    <mergeCell ref="BQ6:BS6"/>
    <mergeCell ref="BI6:BO6"/>
    <mergeCell ref="W6:AC6"/>
    <mergeCell ref="AE6:AH6"/>
    <mergeCell ref="N6:U6"/>
    <mergeCell ref="AY6:BB6"/>
    <mergeCell ref="AJ6:AM6"/>
    <mergeCell ref="AO6:AR6"/>
    <mergeCell ref="AT6:AW6"/>
    <mergeCell ref="BD6:BG6"/>
    <mergeCell ref="B63:D63"/>
    <mergeCell ref="B62:D62"/>
    <mergeCell ref="B61:D61"/>
    <mergeCell ref="B1:I1"/>
    <mergeCell ref="B2:I2"/>
    <mergeCell ref="B3:I3"/>
    <mergeCell ref="C6:F6"/>
    <mergeCell ref="H6:L6"/>
  </mergeCells>
  <pageMargins left="0.7" right="0.7" top="0.75" bottom="0.75" header="0.3" footer="0.3"/>
  <customProperties>
    <customPr name="EpmWorksheetKeyString_GUID" r:id="rId1"/>
    <customPr name="FPMExcelClientCellBasedFunctionStatus" r:id="rId2"/>
    <customPr name="FPMExcelClientRefreshTime" r:id="rId3"/>
  </customProperties>
  <ignoredErrors>
    <ignoredError sqref="BD6" numberStoredAsText="1"/>
  </ignoredErrors>
  <drawing r:id="rId4"/>
  <legacyDrawing r:id="rId5"/>
  <controls>
    <mc:AlternateContent xmlns:mc="http://schemas.openxmlformats.org/markup-compatibility/2006">
      <mc:Choice Requires="x14">
        <control shapeId="12289" r:id="rId6" name="FPMExcelClientSheetOptionstb1">
          <controlPr defaultSize="0" autoLine="0" autoPict="0" r:id="rId7">
            <anchor moveWithCells="1" sizeWithCells="1">
              <from>
                <xdr:col>0</xdr:col>
                <xdr:colOff>0</xdr:colOff>
                <xdr:row>0</xdr:row>
                <xdr:rowOff>0</xdr:rowOff>
              </from>
              <to>
                <xdr:col>1</xdr:col>
                <xdr:colOff>755650</xdr:colOff>
                <xdr:row>0</xdr:row>
                <xdr:rowOff>0</xdr:rowOff>
              </to>
            </anchor>
          </controlPr>
        </control>
      </mc:Choice>
      <mc:Fallback>
        <control shapeId="12289" r:id="rId6" name="FPMExcelClientSheetOptionstb1"/>
      </mc:Fallback>
    </mc:AlternateContent>
  </controls>
</worksheet>
</file>

<file path=docMetadata/LabelInfo.xml><?xml version="1.0" encoding="utf-8"?>
<clbl:labelList xmlns:clbl="http://schemas.microsoft.com/office/2020/mipLabelMetadata">
  <clbl:label id="{1928502c-fb87-4df2-b484-8111cd6f910b}" enabled="1" method="Standard" siteId="{faa44fd9-dabe-4064-a6bb-59608ea9d0f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6</vt:i4>
      </vt:variant>
    </vt:vector>
  </HeadingPairs>
  <TitlesOfParts>
    <vt:vector size="31" baseType="lpstr">
      <vt:lpstr>Resultados separados</vt:lpstr>
      <vt:lpstr>Resultados consolidados</vt:lpstr>
      <vt:lpstr>Aporte por segmento acumulado</vt:lpstr>
      <vt:lpstr>Aporte por segmento trimestral</vt:lpstr>
      <vt:lpstr>Ingresos oper y FC dividendos -</vt:lpstr>
      <vt:lpstr>ESF GA Consol Q</vt:lpstr>
      <vt:lpstr>ER GA Consol Q</vt:lpstr>
      <vt:lpstr>ESF GA Separado Q</vt:lpstr>
      <vt:lpstr>ER GA separado Q</vt:lpstr>
      <vt:lpstr>ESF GA Cons Acum.</vt:lpstr>
      <vt:lpstr>ER GA Cons Acum.</vt:lpstr>
      <vt:lpstr>ESFA separado</vt:lpstr>
      <vt:lpstr>ESF GA separado</vt:lpstr>
      <vt:lpstr>ER GA separado Acum.</vt:lpstr>
      <vt:lpstr>Segmentos Mar</vt:lpstr>
      <vt:lpstr>Segmentos Jun</vt:lpstr>
      <vt:lpstr>Segmentos Sep</vt:lpstr>
      <vt:lpstr>Ingresos por geografía</vt:lpstr>
      <vt:lpstr>Dividendos GA separado</vt:lpstr>
      <vt:lpstr>MPP GA separado</vt:lpstr>
      <vt:lpstr>Util. Vta. Inv. GA Separado</vt:lpstr>
      <vt:lpstr>Dividendos GA Consolidado </vt:lpstr>
      <vt:lpstr>MPP GA consolidado</vt:lpstr>
      <vt:lpstr>EFE GA separado</vt:lpstr>
      <vt:lpstr>EFE GA Consolidado</vt:lpstr>
      <vt:lpstr>'Resultados separados'!_Hlk506819215</vt:lpstr>
      <vt:lpstr>'EFE GA separado'!_Toc189092733</vt:lpstr>
      <vt:lpstr>'Ingresos oper y FC dividendos -'!_Toc198063247</vt:lpstr>
      <vt:lpstr>'ESFA separado'!_Toc198063248</vt:lpstr>
      <vt:lpstr>'Resultados separados'!_Toc33604390</vt:lpstr>
      <vt:lpstr>'Resultados consolidados'!_Toc33604391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Andres Restrepo</dc:creator>
  <cp:lastModifiedBy>Carolina Arango</cp:lastModifiedBy>
  <dcterms:created xsi:type="dcterms:W3CDTF">2022-10-28T16:52:55Z</dcterms:created>
  <dcterms:modified xsi:type="dcterms:W3CDTF">2025-11-14T22:07:11Z</dcterms:modified>
</cp:coreProperties>
</file>