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FB26C669-3FEE-4065-A0FA-5BCF47738DFF}" xr6:coauthVersionLast="47" xr6:coauthVersionMax="47" xr10:uidLastSave="{00000000-0000-0000-0000-000000000000}"/>
  <bookViews>
    <workbookView xWindow="28690" yWindow="-110" windowWidth="29020" windowHeight="15700" firstSheet="2" activeTab="11" xr2:uid="{00000000-000D-0000-FFFF-FFFF00000000}"/>
  </bookViews>
  <sheets>
    <sheet name="2014" sheetId="14" r:id="rId1"/>
    <sheet name="2015" sheetId="15" r:id="rId2"/>
    <sheet name="2016" sheetId="16" r:id="rId3"/>
    <sheet name="2017" sheetId="17" r:id="rId4"/>
    <sheet name="2018" sheetId="18" r:id="rId5"/>
    <sheet name="2019" sheetId="19" r:id="rId6"/>
    <sheet name="2020" sheetId="20" r:id="rId7"/>
    <sheet name="2021" sheetId="21" r:id="rId8"/>
    <sheet name="2022" sheetId="22" r:id="rId9"/>
    <sheet name="2023" sheetId="23" r:id="rId10"/>
    <sheet name="2024" sheetId="24" r:id="rId11"/>
    <sheet name="2025" sheetId="25" r:id="rId12"/>
  </sheets>
  <definedNames>
    <definedName name="CIQWBGuid" hidden="1">"c3fcd4dc-241e-4efd-84d6-fd4d7ada971b"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"10/24/2025 13:34:20"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5" l="1"/>
  <c r="B8" i="25" l="1"/>
  <c r="C8" i="25"/>
  <c r="C22" i="25" s="1"/>
  <c r="B9" i="25"/>
  <c r="C9" i="25"/>
  <c r="B10" i="25"/>
  <c r="B11" i="25"/>
  <c r="B15" i="25"/>
  <c r="B16" i="25"/>
  <c r="B17" i="25" s="1"/>
  <c r="B19" i="25" s="1"/>
  <c r="C21" i="25"/>
  <c r="D21" i="25"/>
  <c r="F21" i="25"/>
  <c r="D22" i="25"/>
  <c r="E22" i="25"/>
  <c r="F22" i="25"/>
  <c r="B8" i="24"/>
  <c r="C8" i="24"/>
  <c r="B9" i="24"/>
  <c r="C9" i="24"/>
  <c r="B10" i="24"/>
  <c r="C10" i="24"/>
  <c r="B11" i="24"/>
  <c r="C11" i="24"/>
  <c r="B15" i="24"/>
  <c r="B16" i="24"/>
  <c r="D16" i="24"/>
  <c r="D22" i="24" s="1"/>
  <c r="D23" i="24" s="1"/>
  <c r="B17" i="24"/>
  <c r="B19" i="24" s="1"/>
  <c r="B18" i="24"/>
  <c r="B20" i="24" s="1"/>
  <c r="C22" i="24"/>
  <c r="C23" i="24" s="1"/>
  <c r="E22" i="24"/>
  <c r="F22" i="24"/>
  <c r="E23" i="24"/>
  <c r="F23" i="24"/>
  <c r="B8" i="23"/>
  <c r="C8" i="23"/>
  <c r="B9" i="23"/>
  <c r="C9" i="23"/>
  <c r="B10" i="23"/>
  <c r="C10" i="23"/>
  <c r="B11" i="23"/>
  <c r="C11" i="23"/>
  <c r="F24" i="23" s="1"/>
  <c r="C14" i="23"/>
  <c r="B15" i="23"/>
  <c r="B16" i="23"/>
  <c r="B17" i="23"/>
  <c r="B18" i="23"/>
  <c r="B19" i="23"/>
  <c r="C23" i="23"/>
  <c r="C24" i="23" s="1"/>
  <c r="D23" i="23"/>
  <c r="E23" i="23"/>
  <c r="E24" i="23" s="1"/>
  <c r="F23" i="23"/>
  <c r="D24" i="23"/>
  <c r="B8" i="22"/>
  <c r="B9" i="22"/>
  <c r="B10" i="22"/>
  <c r="C10" i="22"/>
  <c r="B11" i="22"/>
  <c r="C11" i="22"/>
  <c r="B15" i="22"/>
  <c r="B16" i="22" s="1"/>
  <c r="B17" i="22" s="1"/>
  <c r="C22" i="22"/>
  <c r="D22" i="22"/>
  <c r="D23" i="22" s="1"/>
  <c r="E22" i="22"/>
  <c r="E23" i="22" s="1"/>
  <c r="F22" i="22"/>
  <c r="F23" i="22" s="1"/>
  <c r="C23" i="22"/>
  <c r="B8" i="21"/>
  <c r="B9" i="21"/>
  <c r="C9" i="21"/>
  <c r="B10" i="21"/>
  <c r="C10" i="21"/>
  <c r="B11" i="21"/>
  <c r="C11" i="21"/>
  <c r="B15" i="21"/>
  <c r="B16" i="21"/>
  <c r="B17" i="21" s="1"/>
  <c r="B18" i="21" s="1"/>
  <c r="C23" i="21"/>
  <c r="D23" i="21"/>
  <c r="E23" i="21"/>
  <c r="F23" i="21"/>
  <c r="B8" i="20"/>
  <c r="C8" i="20"/>
  <c r="B9" i="20"/>
  <c r="C9" i="20"/>
  <c r="B10" i="20"/>
  <c r="C10" i="20"/>
  <c r="B11" i="20"/>
  <c r="C11" i="20"/>
  <c r="B15" i="20"/>
  <c r="B16" i="20"/>
  <c r="B17" i="20" s="1"/>
  <c r="B18" i="20" s="1"/>
  <c r="B19" i="20" s="1"/>
  <c r="B20" i="20" s="1"/>
  <c r="C23" i="20"/>
  <c r="D23" i="20"/>
  <c r="E23" i="20"/>
  <c r="F23" i="20"/>
  <c r="B8" i="19"/>
  <c r="C8" i="19"/>
  <c r="B9" i="19"/>
  <c r="B10" i="19"/>
  <c r="C10" i="19"/>
  <c r="B11" i="19"/>
  <c r="B15" i="19"/>
  <c r="B16" i="19"/>
  <c r="B17" i="19"/>
  <c r="B18" i="19"/>
  <c r="B19" i="19" s="1"/>
  <c r="B20" i="19" s="1"/>
  <c r="C23" i="19"/>
  <c r="D23" i="19"/>
  <c r="E23" i="19"/>
  <c r="F23" i="19"/>
  <c r="C8" i="18"/>
  <c r="C9" i="18"/>
  <c r="C10" i="18"/>
  <c r="C11" i="18"/>
  <c r="B15" i="18"/>
  <c r="B16" i="18"/>
  <c r="B17" i="18" s="1"/>
  <c r="B18" i="18" s="1"/>
  <c r="B19" i="18" s="1"/>
  <c r="B20" i="18" s="1"/>
  <c r="C22" i="18"/>
  <c r="D22" i="18"/>
  <c r="E22" i="18"/>
  <c r="F22" i="18"/>
  <c r="C21" i="17"/>
  <c r="C8" i="17"/>
  <c r="C9" i="17"/>
  <c r="C10" i="17"/>
  <c r="F21" i="17"/>
  <c r="C11" i="17" s="1"/>
  <c r="B15" i="17"/>
  <c r="D21" i="17"/>
  <c r="E21" i="17"/>
  <c r="C20" i="16"/>
  <c r="C8" i="16" s="1"/>
  <c r="D20" i="16"/>
  <c r="C9" i="16"/>
  <c r="E20" i="16"/>
  <c r="C10" i="16"/>
  <c r="F20" i="16"/>
  <c r="C11" i="16" s="1"/>
  <c r="C15" i="15"/>
  <c r="D15" i="15"/>
  <c r="D21" i="15" s="1"/>
  <c r="C21" i="15"/>
  <c r="E21" i="15"/>
  <c r="F21" i="15"/>
  <c r="C23" i="14"/>
  <c r="D23" i="14"/>
  <c r="E23" i="14"/>
  <c r="F23" i="14"/>
  <c r="B18" i="22" l="1"/>
  <c r="B19" i="22"/>
  <c r="B19" i="21"/>
  <c r="B20" i="21"/>
  <c r="B18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2F6754DE-449A-43BA-A866-4BA01AC15E9A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2509A7DB-9E8B-4756-96A5-2CF5B15ACB8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A634DA11-F37F-4E2E-8770-1BE728D8AF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BD9381DE-308D-4E64-8011-4548FA58147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C36ED509-8128-4A07-9755-90D887284D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97618F58-413E-40F4-96B0-55E2ECB785E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9386638D-C3EC-4306-88D7-76633AC2079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163303FB-BB61-47CC-A8B7-3EEC0278755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4CF36137-532F-4569-BEC2-428697E94DA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E1B10FED-C3C3-4334-B727-5F98C936837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33A481FF-C2BA-420E-AC48-E572B3C9E89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82A14B1E-431D-44A5-849C-1B717F3BB10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88EA4BA5-A91B-410A-8009-E288758BB2A3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4125A3AE-1812-401F-B689-F97DB8B4FDE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sharedStrings.xml><?xml version="1.0" encoding="utf-8"?>
<sst xmlns="http://schemas.openxmlformats.org/spreadsheetml/2006/main" count="116" uniqueCount="56">
  <si>
    <t>Saldo de la deuda</t>
  </si>
  <si>
    <t>Costo de la deuda</t>
  </si>
  <si>
    <t>1T-2014</t>
  </si>
  <si>
    <t>2T-2014</t>
  </si>
  <si>
    <t>3T-2014</t>
  </si>
  <si>
    <t>4T-2014</t>
  </si>
  <si>
    <t>1T-2015</t>
  </si>
  <si>
    <t>2T-2015</t>
  </si>
  <si>
    <t>3T-2015</t>
  </si>
  <si>
    <t>4T-2015</t>
  </si>
  <si>
    <t>1T-2016</t>
  </si>
  <si>
    <r>
      <t>Saldo de la deuda</t>
    </r>
    <r>
      <rPr>
        <b/>
        <vertAlign val="superscript"/>
        <sz val="11"/>
        <color theme="1"/>
        <rFont val="Franklin Gothic Book"/>
        <family val="2"/>
      </rPr>
      <t>1</t>
    </r>
  </si>
  <si>
    <t>ENDEUDAMIENTO - SEPARADO</t>
  </si>
  <si>
    <t>2T-2016</t>
  </si>
  <si>
    <t>3T-2016</t>
  </si>
  <si>
    <t>4T-2016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</si>
  <si>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millones, no incluye BOCEAS</t>
    </r>
  </si>
  <si>
    <t>Costo promedio de la deuda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</si>
  <si>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</t>
    </r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</si>
  <si>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</si>
  <si>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</si>
  <si>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</si>
  <si>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</si>
  <si>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</si>
  <si>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</si>
  <si>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</si>
  <si>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</si>
  <si>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</si>
  <si>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</si>
  <si>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</si>
  <si>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4T-2019</t>
  </si>
  <si>
    <t>1T-2020</t>
  </si>
  <si>
    <t>2T-2020</t>
  </si>
  <si>
    <t>3T-2020</t>
  </si>
  <si>
    <t>4T-2020</t>
  </si>
  <si>
    <t>Cifras en miles de millones</t>
  </si>
  <si>
    <t>1T-2021</t>
  </si>
  <si>
    <t>2T-2021</t>
  </si>
  <si>
    <t>3T-2021</t>
  </si>
  <si>
    <t>4T-2021</t>
  </si>
  <si>
    <t>1T-2022</t>
  </si>
  <si>
    <t>2T-2022</t>
  </si>
  <si>
    <t>3T-2022</t>
  </si>
  <si>
    <t>4T-2022</t>
  </si>
  <si>
    <t>2T-2023</t>
  </si>
  <si>
    <t>3T-2023</t>
  </si>
  <si>
    <t>4T-2023</t>
  </si>
  <si>
    <t>1T-2023</t>
  </si>
  <si>
    <t>1T-2024</t>
  </si>
  <si>
    <t>2T-2024</t>
  </si>
  <si>
    <t>3T-2024</t>
  </si>
  <si>
    <t>4T-2024</t>
  </si>
  <si>
    <t>1T-2025</t>
  </si>
  <si>
    <t>2T-2025</t>
  </si>
  <si>
    <t>3T-2025</t>
  </si>
  <si>
    <t>4T-2025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</si>
</sst>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_(* #,##0_);_(* \(#,##0\);_(* &quot;-&quot;??_);_(@_)"/>
    <numFmt numFmtId="167" formatCode="0.0%"/>
    <numFmt numFmtId="168" formatCode="#,##0.000000000"/>
    <numFmt numFmtId="169" formatCode="_(* #,##0.000_);_(* \(#,##0.000\);_(* &quot;-&quot;??_);_(@_)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Franklin Gothic Book"/>
      <family val="2"/>
    </font>
    <font>
      <sz val="11"/>
      <name val="Franklin Gothic Book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sz val="8"/>
      <color rgb="FF002060"/>
      <name val="Franklin Gothic Book"/>
      <family val="2"/>
    </font>
    <font>
      <sz val="10"/>
      <color theme="0" tint="-0.1499984740745262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4" fillId="0" borderId="0" xfId="0" applyFont="1"/>
    <xf numFmtId="10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166" fontId="3" fillId="0" borderId="0" xfId="6" applyNumberFormat="1" applyFont="1"/>
    <xf numFmtId="0" fontId="4" fillId="0" borderId="0" xfId="0" applyFont="1" applyAlignment="1">
      <alignment horizontal="right"/>
    </xf>
    <xf numFmtId="3" fontId="7" fillId="0" borderId="0" xfId="0" applyNumberFormat="1" applyFont="1"/>
    <xf numFmtId="10" fontId="7" fillId="0" borderId="0" xfId="0" applyNumberFormat="1" applyFont="1"/>
    <xf numFmtId="166" fontId="4" fillId="0" borderId="0" xfId="6" applyNumberFormat="1" applyFont="1" applyFill="1"/>
    <xf numFmtId="0" fontId="8" fillId="0" borderId="0" xfId="0" applyFont="1"/>
    <xf numFmtId="166" fontId="3" fillId="0" borderId="0" xfId="6" applyNumberFormat="1" applyFont="1" applyFill="1"/>
    <xf numFmtId="167" fontId="3" fillId="0" borderId="0" xfId="0" applyNumberFormat="1" applyFont="1"/>
    <xf numFmtId="167" fontId="7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164" fontId="4" fillId="0" borderId="0" xfId="6" applyFont="1" applyFill="1"/>
    <xf numFmtId="164" fontId="3" fillId="0" borderId="0" xfId="6" applyFont="1" applyFill="1"/>
    <xf numFmtId="4" fontId="7" fillId="0" borderId="0" xfId="0" applyNumberFormat="1" applyFont="1"/>
    <xf numFmtId="1" fontId="4" fillId="0" borderId="0" xfId="7" applyNumberFormat="1" applyFont="1" applyFill="1" applyAlignment="1">
      <alignment horizontal="center" vertical="center"/>
    </xf>
    <xf numFmtId="1" fontId="4" fillId="0" borderId="0" xfId="7" applyNumberFormat="1" applyFont="1" applyAlignment="1">
      <alignment horizontal="center" vertical="center"/>
    </xf>
    <xf numFmtId="2" fontId="3" fillId="0" borderId="0" xfId="0" applyNumberFormat="1" applyFont="1"/>
    <xf numFmtId="0" fontId="10" fillId="0" borderId="0" xfId="0" applyFont="1"/>
    <xf numFmtId="168" fontId="3" fillId="0" borderId="0" xfId="0" applyNumberFormat="1" applyFont="1"/>
    <xf numFmtId="169" fontId="3" fillId="0" borderId="0" xfId="0" applyNumberFormat="1" applyFont="1"/>
    <xf numFmtId="4" fontId="11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</cellXfs>
  <cellStyles count="10">
    <cellStyle name="Millares" xfId="6" builtinId="3"/>
    <cellStyle name="Millares 2" xfId="8" xr:uid="{423540BC-C224-47C7-BC5D-5A54C1CC3EB3}"/>
    <cellStyle name="Millares 2 2" xfId="7" xr:uid="{0527F9E9-9E46-493D-BA43-9E7E4FAE8391}"/>
    <cellStyle name="Millares 2 2 2" xfId="9" xr:uid="{02B80B55-996E-4A29-828B-3263304B1192}"/>
    <cellStyle name="Normal" xfId="0" builtinId="0"/>
    <cellStyle name="Normal 133" xfId="4" xr:uid="{00000000-0005-0000-0000-000002000000}"/>
    <cellStyle name="Normal 2" xfId="1" xr:uid="{00000000-0005-0000-0000-000003000000}"/>
    <cellStyle name="Normal 2 2" xfId="5" xr:uid="{00000000-0005-0000-0000-000004000000}"/>
    <cellStyle name="Porcentual 10" xfId="3" xr:uid="{00000000-0005-0000-0000-000005000000}"/>
    <cellStyle name="Porcentu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F505C02-861B-48D8-A361-6D21B7FB9BD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67BEF5A-CCBC-4590-9301-9624C261B37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3B32547-1983-4175-9438-38D5CA5CE8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540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1ABD647-0023-4AEC-8E7A-821A34E05F9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49C487C-54CE-4A19-82D4-10CEEABC0E0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B1B33FD-AC5A-4B60-BF6C-BAA362F90E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8C637C1-ACA9-43E4-8F41-2D646F3F16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34880E0-25B8-48F5-ACD8-8374A86A19C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7175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25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20.54296875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17</v>
      </c>
    </row>
    <row r="8" spans="1:6" x14ac:dyDescent="0.4">
      <c r="B8" s="9" t="s">
        <v>2</v>
      </c>
      <c r="C8" s="6">
        <v>943</v>
      </c>
      <c r="D8" s="5">
        <v>5.6000000000000001E-2</v>
      </c>
    </row>
    <row r="9" spans="1:6" x14ac:dyDescent="0.4">
      <c r="B9" s="9" t="s">
        <v>3</v>
      </c>
      <c r="C9" s="6">
        <v>813</v>
      </c>
      <c r="D9" s="5">
        <v>5.8999999999999997E-2</v>
      </c>
    </row>
    <row r="10" spans="1:6" x14ac:dyDescent="0.4">
      <c r="B10" s="9" t="s">
        <v>4</v>
      </c>
      <c r="C10" s="6">
        <v>1195</v>
      </c>
      <c r="D10" s="5">
        <v>6.0999999999999999E-2</v>
      </c>
    </row>
    <row r="11" spans="1:6" x14ac:dyDescent="0.4">
      <c r="B11" s="9" t="s">
        <v>5</v>
      </c>
      <c r="C11" s="10">
        <v>1000</v>
      </c>
      <c r="D11" s="11">
        <v>6.1199999999999997E-2</v>
      </c>
    </row>
    <row r="13" spans="1:6" x14ac:dyDescent="0.4">
      <c r="C13" s="7" t="s">
        <v>2</v>
      </c>
      <c r="D13" s="7" t="s">
        <v>3</v>
      </c>
      <c r="E13" s="7" t="s">
        <v>4</v>
      </c>
      <c r="F13" s="7" t="s">
        <v>5</v>
      </c>
    </row>
    <row r="14" spans="1:6" x14ac:dyDescent="0.4">
      <c r="B14" s="4">
        <v>2014</v>
      </c>
      <c r="C14" s="14">
        <v>497.8</v>
      </c>
      <c r="D14" s="8">
        <v>367.87</v>
      </c>
      <c r="E14" s="8">
        <v>195</v>
      </c>
      <c r="F14" s="8"/>
    </row>
    <row r="15" spans="1:6" x14ac:dyDescent="0.4">
      <c r="B15" s="4">
        <v>2015</v>
      </c>
      <c r="C15" s="14">
        <v>145.5</v>
      </c>
      <c r="D15" s="8">
        <v>144.69999999999999</v>
      </c>
      <c r="E15" s="8"/>
      <c r="F15" s="8"/>
    </row>
    <row r="16" spans="1:6" x14ac:dyDescent="0.4">
      <c r="B16" s="4">
        <v>2016</v>
      </c>
      <c r="C16" s="14"/>
      <c r="D16" s="8"/>
      <c r="E16" s="8">
        <v>108.36499999999999</v>
      </c>
      <c r="F16" s="8">
        <v>108.36499999999999</v>
      </c>
    </row>
    <row r="17" spans="2:6" x14ac:dyDescent="0.4">
      <c r="B17" s="4">
        <v>2017</v>
      </c>
      <c r="C17" s="14"/>
      <c r="D17" s="14"/>
      <c r="E17" s="8">
        <v>132.25</v>
      </c>
      <c r="F17" s="8">
        <v>132.25</v>
      </c>
    </row>
    <row r="18" spans="2:6" x14ac:dyDescent="0.4">
      <c r="B18" s="4">
        <v>2018</v>
      </c>
      <c r="C18" s="14">
        <v>100</v>
      </c>
      <c r="D18" s="14">
        <v>100</v>
      </c>
      <c r="E18" s="8"/>
      <c r="F18" s="8"/>
    </row>
    <row r="19" spans="2:6" x14ac:dyDescent="0.4">
      <c r="B19" s="4">
        <v>2019</v>
      </c>
      <c r="C19" s="14"/>
      <c r="D19" s="14"/>
      <c r="E19" s="8">
        <v>114.96299999999999</v>
      </c>
      <c r="F19" s="8">
        <v>114.96299999999999</v>
      </c>
    </row>
    <row r="20" spans="2:6" x14ac:dyDescent="0.4">
      <c r="B20" s="4">
        <v>2020</v>
      </c>
      <c r="C20" s="14">
        <v>200</v>
      </c>
      <c r="D20" s="14">
        <v>200</v>
      </c>
      <c r="E20" s="8"/>
      <c r="F20" s="8"/>
    </row>
    <row r="21" spans="2:6" x14ac:dyDescent="0.4">
      <c r="B21" s="4">
        <v>2024</v>
      </c>
      <c r="C21" s="14"/>
      <c r="D21" s="14"/>
      <c r="E21" s="8">
        <v>254.31800000000001</v>
      </c>
      <c r="F21" s="8">
        <v>254.31800000000001</v>
      </c>
    </row>
    <row r="22" spans="2:6" x14ac:dyDescent="0.4">
      <c r="B22" s="4">
        <v>2029</v>
      </c>
      <c r="C22" s="8"/>
      <c r="D22" s="8"/>
      <c r="E22" s="8">
        <v>390.10399999999998</v>
      </c>
      <c r="F22" s="8">
        <v>390.10399999999998</v>
      </c>
    </row>
    <row r="23" spans="2:6" x14ac:dyDescent="0.4">
      <c r="C23" s="12">
        <f>+SUM(C14:C22)</f>
        <v>943.3</v>
      </c>
      <c r="D23" s="12">
        <f t="shared" ref="D23:F23" si="0">+SUM(D14:D22)</f>
        <v>812.56999999999994</v>
      </c>
      <c r="E23" s="12">
        <f t="shared" si="0"/>
        <v>1195</v>
      </c>
      <c r="F23" s="12">
        <f t="shared" si="0"/>
        <v>1000</v>
      </c>
    </row>
    <row r="25" spans="2:6" ht="17.5" x14ac:dyDescent="0.4">
      <c r="B25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62E4-28EA-4B51-AABB-35D9F73239DA}">
  <dimension ref="A5:K27"/>
  <sheetViews>
    <sheetView showGridLines="0" workbookViewId="0">
      <selection activeCell="B6" sqref="B6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1T-2023</v>
      </c>
      <c r="C8" s="18">
        <f>1652745203008.52/1000000000</f>
        <v>1652.7452030085201</v>
      </c>
      <c r="D8" s="15">
        <v>0.10499545859519333</v>
      </c>
    </row>
    <row r="9" spans="1:11" x14ac:dyDescent="0.4">
      <c r="B9" s="9" t="str">
        <f>+D13</f>
        <v>2T-2023</v>
      </c>
      <c r="C9" s="18">
        <f>1636080397838.43/1000000000</f>
        <v>1636.0803978384299</v>
      </c>
      <c r="D9" s="15">
        <v>0.10455995254122352</v>
      </c>
    </row>
    <row r="10" spans="1:11" x14ac:dyDescent="0.4">
      <c r="B10" s="9" t="str">
        <f>+E13</f>
        <v>3T-2023</v>
      </c>
      <c r="C10" s="18">
        <f>1612574873428.43/1000000000</f>
        <v>1612.57487342843</v>
      </c>
      <c r="D10" s="15">
        <v>9.8951297983384645E-2</v>
      </c>
    </row>
    <row r="11" spans="1:11" x14ac:dyDescent="0.4">
      <c r="B11" s="9" t="str">
        <f>+F13</f>
        <v>4T-2023</v>
      </c>
      <c r="C11" s="18">
        <f>1612574873428.43/1000000000</f>
        <v>1612.57487342843</v>
      </c>
      <c r="D11" s="15">
        <v>9.3666739669255428E-2</v>
      </c>
    </row>
    <row r="13" spans="1:11" x14ac:dyDescent="0.4">
      <c r="C13" s="7" t="s">
        <v>47</v>
      </c>
      <c r="D13" s="7" t="s">
        <v>44</v>
      </c>
      <c r="E13" s="7" t="s">
        <v>45</v>
      </c>
      <c r="F13" s="7" t="s">
        <v>46</v>
      </c>
    </row>
    <row r="14" spans="1:11" x14ac:dyDescent="0.4">
      <c r="B14" s="4">
        <v>2023</v>
      </c>
      <c r="C14" s="20">
        <f>40170329580.09/1000000000</f>
        <v>40.170329580089998</v>
      </c>
      <c r="D14" s="20">
        <v>23.505524410001001</v>
      </c>
      <c r="E14" s="20">
        <v>0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2024</v>
      </c>
      <c r="C15" s="20">
        <v>228.06800000000001</v>
      </c>
      <c r="D15" s="20">
        <v>228.06800000000001</v>
      </c>
      <c r="E15" s="20">
        <v>134.81800000000001</v>
      </c>
      <c r="F15" s="20">
        <v>134.81800000000001</v>
      </c>
      <c r="G15" s="17"/>
      <c r="J15" s="22"/>
      <c r="K15" s="24"/>
    </row>
    <row r="16" spans="1:11" x14ac:dyDescent="0.4">
      <c r="B16" s="4">
        <f t="shared" si="0"/>
        <v>2025</v>
      </c>
      <c r="C16" s="20">
        <v>354.065</v>
      </c>
      <c r="D16" s="20">
        <v>354.065</v>
      </c>
      <c r="E16" s="20">
        <v>187.965</v>
      </c>
      <c r="F16" s="20">
        <v>187.965</v>
      </c>
      <c r="G16" s="27"/>
      <c r="J16" s="22"/>
      <c r="K16" s="24"/>
    </row>
    <row r="17" spans="2:11" x14ac:dyDescent="0.4">
      <c r="B17" s="4">
        <f t="shared" si="0"/>
        <v>2026</v>
      </c>
      <c r="C17" s="20">
        <v>102.85</v>
      </c>
      <c r="D17" s="20">
        <v>102.85</v>
      </c>
      <c r="E17" s="20">
        <v>362.2</v>
      </c>
      <c r="F17" s="20">
        <v>362.2</v>
      </c>
      <c r="G17" s="27"/>
      <c r="J17" s="22"/>
      <c r="K17" s="24"/>
    </row>
    <row r="18" spans="2:11" x14ac:dyDescent="0.4">
      <c r="B18" s="4">
        <f t="shared" si="0"/>
        <v>2027</v>
      </c>
      <c r="C18" s="20">
        <v>368.95287342842863</v>
      </c>
      <c r="D18" s="20">
        <v>368.95287342842863</v>
      </c>
      <c r="E18" s="20">
        <v>368.95287342842863</v>
      </c>
      <c r="F18" s="20">
        <v>368.95287342842863</v>
      </c>
      <c r="G18" s="17"/>
      <c r="J18" s="22"/>
      <c r="K18" s="24"/>
    </row>
    <row r="19" spans="2:11" x14ac:dyDescent="0.4">
      <c r="B19" s="4">
        <f>+B17+2</f>
        <v>2028</v>
      </c>
      <c r="C19" s="20">
        <v>0</v>
      </c>
      <c r="D19" s="20">
        <v>0</v>
      </c>
      <c r="E19" s="20">
        <v>0</v>
      </c>
      <c r="F19" s="20">
        <v>0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2030</v>
      </c>
      <c r="C21" s="20">
        <v>0</v>
      </c>
      <c r="D21" s="20">
        <v>0</v>
      </c>
      <c r="E21" s="20">
        <v>0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1652.7452030085187</v>
      </c>
      <c r="D23" s="19">
        <f>+SUM(D14:D22)</f>
        <v>1636.0803978384299</v>
      </c>
      <c r="E23" s="19">
        <f>+SUM(E14:E22)</f>
        <v>1612.5748734284286</v>
      </c>
      <c r="F23" s="19">
        <f>+SUM(F14:F22)</f>
        <v>1612.5748734284286</v>
      </c>
      <c r="J23" s="23"/>
      <c r="K23" s="24"/>
    </row>
    <row r="24" spans="2:11" ht="10.5" customHeight="1" x14ac:dyDescent="0.4">
      <c r="C24" s="28">
        <f>+C23-C8</f>
        <v>0</v>
      </c>
      <c r="D24" s="28">
        <f>+D23-C9</f>
        <v>0</v>
      </c>
      <c r="E24" s="28">
        <f>+E23-C10</f>
        <v>0</v>
      </c>
      <c r="F24" s="28">
        <f>+F23-C11</f>
        <v>0</v>
      </c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C26" s="19"/>
      <c r="F26" s="26"/>
      <c r="J26" s="23"/>
      <c r="K26" s="24"/>
    </row>
    <row r="27" spans="2:11" x14ac:dyDescent="0.4">
      <c r="C27" s="19"/>
      <c r="D27" s="19"/>
      <c r="J27" s="23"/>
      <c r="K27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48A2-3BB8-412B-9DE0-B3A87BD3D8DA}">
  <dimension ref="A5:K26"/>
  <sheetViews>
    <sheetView showGridLines="0" workbookViewId="0">
      <selection activeCell="E14" sqref="E14:E2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1T-2024</v>
      </c>
      <c r="C8" s="18">
        <f>1628144466738/1000000000</f>
        <v>1628.1444667379999</v>
      </c>
      <c r="D8" s="15">
        <v>8.6999999999999994E-2</v>
      </c>
      <c r="E8" s="6"/>
    </row>
    <row r="9" spans="1:11" x14ac:dyDescent="0.4">
      <c r="B9" s="9" t="str">
        <f>+D13</f>
        <v>2T-2024</v>
      </c>
      <c r="C9" s="18">
        <f>1725007941701.07/1000000000</f>
        <v>1725.00794170107</v>
      </c>
      <c r="D9" s="15">
        <v>8.8503067646784173E-2</v>
      </c>
    </row>
    <row r="10" spans="1:11" x14ac:dyDescent="0.4">
      <c r="B10" s="9" t="str">
        <f>+E13</f>
        <v>3T-2024</v>
      </c>
      <c r="C10" s="18">
        <f>1803236176247.69/1000000000</f>
        <v>1803.2361762476899</v>
      </c>
      <c r="D10" s="15">
        <v>8.6832510594625489E-2</v>
      </c>
    </row>
    <row r="11" spans="1:11" x14ac:dyDescent="0.4">
      <c r="B11" s="9" t="str">
        <f>+F13</f>
        <v>4T-2024</v>
      </c>
      <c r="C11" s="18">
        <f>1716434547607.69/1000000000</f>
        <v>1716.4345476076899</v>
      </c>
      <c r="D11" s="15">
        <v>8.0044381971925427E-2</v>
      </c>
    </row>
    <row r="12" spans="1:11" x14ac:dyDescent="0.4">
      <c r="C12" s="18"/>
    </row>
    <row r="13" spans="1:11" x14ac:dyDescent="0.4">
      <c r="C13" s="7" t="s">
        <v>48</v>
      </c>
      <c r="D13" s="7" t="s">
        <v>49</v>
      </c>
      <c r="E13" s="7" t="s">
        <v>50</v>
      </c>
      <c r="F13" s="7" t="s">
        <v>51</v>
      </c>
    </row>
    <row r="14" spans="1:11" x14ac:dyDescent="0.4">
      <c r="B14" s="4">
        <v>2024</v>
      </c>
      <c r="C14" s="20">
        <v>150.38759999999999</v>
      </c>
      <c r="D14" s="20">
        <v>195.40684057886699</v>
      </c>
      <c r="E14" s="20">
        <v>53.801628639999997</v>
      </c>
      <c r="F14" s="20"/>
      <c r="G14" s="17"/>
      <c r="J14" s="22"/>
      <c r="K14" s="24"/>
    </row>
    <row r="15" spans="1:11" x14ac:dyDescent="0.4">
      <c r="B15" s="4">
        <f t="shared" ref="B15:B18" si="0">+B14+1</f>
        <v>2025</v>
      </c>
      <c r="C15" s="20">
        <v>187.965</v>
      </c>
      <c r="D15" s="20">
        <v>187.965</v>
      </c>
      <c r="E15" s="20">
        <v>187.965</v>
      </c>
      <c r="F15" s="20">
        <v>186.965</v>
      </c>
      <c r="G15" s="17"/>
      <c r="J15" s="22"/>
      <c r="K15" s="24"/>
    </row>
    <row r="16" spans="1:11" x14ac:dyDescent="0.4">
      <c r="B16" s="4">
        <f t="shared" si="0"/>
        <v>2026</v>
      </c>
      <c r="C16" s="20">
        <v>362.2</v>
      </c>
      <c r="D16" s="20">
        <f>414044201122.203/1000000000</f>
        <v>414.04420112220299</v>
      </c>
      <c r="E16" s="20">
        <v>455.46827345328956</v>
      </c>
      <c r="F16" s="20">
        <v>455.4682734532895</v>
      </c>
      <c r="G16" s="27"/>
      <c r="J16" s="22"/>
      <c r="K16" s="24"/>
    </row>
    <row r="17" spans="2:11" x14ac:dyDescent="0.4">
      <c r="B17" s="4">
        <f t="shared" si="0"/>
        <v>2027</v>
      </c>
      <c r="C17" s="20">
        <v>368.9529</v>
      </c>
      <c r="D17" s="20">
        <v>368.9529</v>
      </c>
      <c r="E17" s="20">
        <v>417.36227415439606</v>
      </c>
      <c r="F17" s="20">
        <v>385.36227415439606</v>
      </c>
      <c r="G17" s="27"/>
      <c r="J17" s="22"/>
      <c r="K17" s="24"/>
    </row>
    <row r="18" spans="2:11" x14ac:dyDescent="0.4">
      <c r="B18" s="4">
        <f t="shared" si="0"/>
        <v>2028</v>
      </c>
      <c r="C18" s="20"/>
      <c r="D18" s="20"/>
      <c r="E18" s="20">
        <v>130</v>
      </c>
      <c r="F18" s="20">
        <v>130</v>
      </c>
      <c r="G18" s="17"/>
      <c r="J18" s="22"/>
      <c r="K18" s="24"/>
    </row>
    <row r="19" spans="2:11" x14ac:dyDescent="0.4">
      <c r="B19" s="4">
        <f>+B17+2</f>
        <v>2029</v>
      </c>
      <c r="C19" s="20">
        <v>390.10399999999998</v>
      </c>
      <c r="D19" s="20">
        <v>390.10399999999998</v>
      </c>
      <c r="E19" s="20">
        <v>390.10399999999998</v>
      </c>
      <c r="F19" s="20">
        <v>390.10399999999998</v>
      </c>
      <c r="G19" s="17"/>
      <c r="J19" s="22"/>
      <c r="K19" s="24"/>
    </row>
    <row r="20" spans="2:11" x14ac:dyDescent="0.4">
      <c r="B20" s="4">
        <f>+B18+2</f>
        <v>2030</v>
      </c>
      <c r="C20" s="20"/>
      <c r="D20" s="20"/>
      <c r="E20" s="20"/>
      <c r="F20" s="20"/>
      <c r="G20" s="17"/>
      <c r="J20" s="23"/>
      <c r="K20" s="24"/>
    </row>
    <row r="21" spans="2:11" x14ac:dyDescent="0.4">
      <c r="B21" s="4">
        <v>2034</v>
      </c>
      <c r="C21" s="24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1628.1445000000001</v>
      </c>
      <c r="D22" s="19">
        <f>+SUM(D14:D21)</f>
        <v>1725.0079417010702</v>
      </c>
      <c r="E22" s="19">
        <f>+SUM(E14:E21)</f>
        <v>1803.2361762476858</v>
      </c>
      <c r="F22" s="19">
        <f>+SUM(F14:F21)</f>
        <v>1716.4345476076858</v>
      </c>
      <c r="J22" s="23"/>
      <c r="K22" s="24"/>
    </row>
    <row r="23" spans="2:11" ht="10.5" customHeight="1" x14ac:dyDescent="0.4">
      <c r="C23" s="29">
        <f>+C22-C8</f>
        <v>3.3262000215472654E-5</v>
      </c>
      <c r="D23" s="29">
        <f>+D22-C9</f>
        <v>0</v>
      </c>
      <c r="E23" s="29">
        <f>+E22-C10</f>
        <v>-4.0927261579781771E-12</v>
      </c>
      <c r="F23" s="29">
        <f>+F22-C11</f>
        <v>-4.0927261579781771E-12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D9B2-91C1-4D75-AFAF-5D7C9F91D266}">
  <dimension ref="A5:K25"/>
  <sheetViews>
    <sheetView showGridLines="0" tabSelected="1" workbookViewId="0">
      <selection activeCell="F31" sqref="F31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906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1T-2025</v>
      </c>
      <c r="C8" s="18">
        <f>1814071271874.01/1000000000</f>
        <v>1814.0712718740101</v>
      </c>
      <c r="D8" s="15">
        <v>8.0802553409585975E-2</v>
      </c>
      <c r="E8" s="6"/>
    </row>
    <row r="9" spans="1:11" x14ac:dyDescent="0.4">
      <c r="B9" s="9" t="str">
        <f>+D13</f>
        <v>2T-2025</v>
      </c>
      <c r="C9" s="18">
        <f>1894439866692.01/1000000000</f>
        <v>1894.4398666920099</v>
      </c>
      <c r="D9" s="15">
        <v>8.6049811134427001E-2</v>
      </c>
    </row>
    <row r="10" spans="1:11" x14ac:dyDescent="0.4">
      <c r="B10" s="9" t="str">
        <f>+E13</f>
        <v>3T-2025</v>
      </c>
      <c r="C10" s="18">
        <v>2002.9866084646801</v>
      </c>
      <c r="D10" s="15">
        <v>9.0732923546020139E-2</v>
      </c>
    </row>
    <row r="11" spans="1:11" x14ac:dyDescent="0.4">
      <c r="B11" s="9" t="str">
        <f>+F13</f>
        <v>4T-2025</v>
      </c>
      <c r="C11" s="18"/>
      <c r="D11" s="15"/>
    </row>
    <row r="12" spans="1:11" x14ac:dyDescent="0.4">
      <c r="C12" s="18"/>
    </row>
    <row r="13" spans="1:11" x14ac:dyDescent="0.4">
      <c r="C13" s="7" t="s">
        <v>52</v>
      </c>
      <c r="D13" s="7" t="s">
        <v>53</v>
      </c>
      <c r="E13" s="7" t="s">
        <v>54</v>
      </c>
      <c r="F13" s="7" t="s">
        <v>55</v>
      </c>
    </row>
    <row r="14" spans="1:11" x14ac:dyDescent="0.4">
      <c r="B14" s="4">
        <v>2025</v>
      </c>
      <c r="C14" s="20">
        <v>234.498239367</v>
      </c>
      <c r="D14" s="20">
        <v>284.86683418499996</v>
      </c>
      <c r="E14" s="20">
        <v>120.11699685906001</v>
      </c>
      <c r="F14" s="20"/>
      <c r="G14" s="17"/>
      <c r="J14" s="22"/>
      <c r="K14" s="24"/>
    </row>
    <row r="15" spans="1:11" x14ac:dyDescent="0.4">
      <c r="B15" s="4">
        <f t="shared" ref="B15:B17" si="0">+B14+1</f>
        <v>2026</v>
      </c>
      <c r="C15" s="20">
        <v>455.46827345328956</v>
      </c>
      <c r="D15" s="20">
        <v>485.46827345328956</v>
      </c>
      <c r="E15" s="20">
        <v>485.4682734532895</v>
      </c>
      <c r="F15" s="20"/>
      <c r="G15" s="27"/>
      <c r="J15" s="22"/>
      <c r="K15" s="24"/>
    </row>
    <row r="16" spans="1:11" x14ac:dyDescent="0.4">
      <c r="B16" s="4">
        <f t="shared" si="0"/>
        <v>2027</v>
      </c>
      <c r="C16" s="20">
        <v>455.46575905372322</v>
      </c>
      <c r="D16" s="20">
        <v>455.46575905372316</v>
      </c>
      <c r="E16" s="20">
        <v>478.76233815232672</v>
      </c>
      <c r="F16" s="20"/>
      <c r="G16" s="27"/>
      <c r="J16" s="22"/>
      <c r="K16" s="24"/>
    </row>
    <row r="17" spans="2:11" x14ac:dyDescent="0.4">
      <c r="B17" s="4">
        <f t="shared" si="0"/>
        <v>2028</v>
      </c>
      <c r="C17" s="20">
        <v>130</v>
      </c>
      <c r="D17" s="20">
        <v>130</v>
      </c>
      <c r="E17" s="20">
        <v>130</v>
      </c>
      <c r="F17" s="20"/>
      <c r="G17" s="17"/>
      <c r="J17" s="22"/>
      <c r="K17" s="24"/>
    </row>
    <row r="18" spans="2:11" x14ac:dyDescent="0.4">
      <c r="B18" s="4">
        <f>+B16+2</f>
        <v>2029</v>
      </c>
      <c r="C18" s="20">
        <v>370.10399999999998</v>
      </c>
      <c r="D18" s="20">
        <v>370.10399999999998</v>
      </c>
      <c r="E18" s="20">
        <v>370.10399999999998</v>
      </c>
      <c r="F18" s="20"/>
      <c r="G18" s="17"/>
      <c r="J18" s="22"/>
      <c r="K18" s="24"/>
    </row>
    <row r="19" spans="2:11" x14ac:dyDescent="0.4">
      <c r="B19" s="4">
        <f>+B17+2</f>
        <v>2030</v>
      </c>
      <c r="C19" s="20">
        <v>0</v>
      </c>
      <c r="D19" s="20">
        <v>0</v>
      </c>
      <c r="E19" s="20">
        <v>250</v>
      </c>
      <c r="F19" s="20"/>
      <c r="G19" s="17"/>
      <c r="J19" s="23"/>
      <c r="K19" s="24"/>
    </row>
    <row r="20" spans="2:11" x14ac:dyDescent="0.4">
      <c r="B20" s="4">
        <v>2034</v>
      </c>
      <c r="C20" s="24">
        <v>168.535</v>
      </c>
      <c r="D20" s="20">
        <v>168.535</v>
      </c>
      <c r="E20" s="20">
        <v>168.535</v>
      </c>
      <c r="F20" s="20"/>
      <c r="G20" s="17"/>
      <c r="J20" s="23"/>
      <c r="K20" s="24"/>
    </row>
    <row r="21" spans="2:11" x14ac:dyDescent="0.4">
      <c r="C21" s="19">
        <f>+SUM(C14:C20)</f>
        <v>1814.0712718740128</v>
      </c>
      <c r="D21" s="19">
        <f>+SUM(D14:D20)</f>
        <v>1894.4398666920129</v>
      </c>
      <c r="E21" s="19">
        <f>+SUM(E14:E20)</f>
        <v>2002.9866084646765</v>
      </c>
      <c r="F21" s="19">
        <f>+SUM(F14:F20)</f>
        <v>0</v>
      </c>
      <c r="J21" s="23"/>
      <c r="K21" s="24"/>
    </row>
    <row r="22" spans="2:11" ht="10.5" customHeight="1" x14ac:dyDescent="0.4">
      <c r="C22" s="29">
        <f>+C21-C8</f>
        <v>2.7284841053187847E-12</v>
      </c>
      <c r="D22" s="29">
        <f>+D21-C9</f>
        <v>2.9558577807620168E-12</v>
      </c>
      <c r="E22" s="29">
        <f>+E21-C10</f>
        <v>-3.637978807091713E-12</v>
      </c>
      <c r="F22" s="29">
        <f>+F21-C11</f>
        <v>0</v>
      </c>
      <c r="J22" s="23"/>
      <c r="K22" s="24"/>
    </row>
    <row r="23" spans="2:11" x14ac:dyDescent="0.4">
      <c r="B23" s="25" t="s">
        <v>35</v>
      </c>
      <c r="J23" s="23"/>
      <c r="K23" s="24"/>
    </row>
    <row r="24" spans="2:11" x14ac:dyDescent="0.4">
      <c r="C24" s="19"/>
      <c r="F24" s="26"/>
      <c r="J24" s="23"/>
      <c r="K24" s="24"/>
    </row>
    <row r="25" spans="2:11" x14ac:dyDescent="0.4">
      <c r="C25" s="19"/>
      <c r="D25" s="19"/>
      <c r="J25" s="23"/>
      <c r="K25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3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</v>
      </c>
    </row>
    <row r="8" spans="1:6" x14ac:dyDescent="0.4">
      <c r="B8" s="9" t="s">
        <v>6</v>
      </c>
      <c r="C8" s="6">
        <v>1100</v>
      </c>
      <c r="D8" s="5">
        <v>7.4399999999999994E-2</v>
      </c>
    </row>
    <row r="9" spans="1:6" x14ac:dyDescent="0.4">
      <c r="B9" s="9" t="s">
        <v>7</v>
      </c>
      <c r="C9" s="6">
        <v>1660</v>
      </c>
      <c r="D9" s="5">
        <v>7.1400000000000005E-2</v>
      </c>
    </row>
    <row r="10" spans="1:6" x14ac:dyDescent="0.4">
      <c r="B10" s="9" t="s">
        <v>8</v>
      </c>
      <c r="C10" s="6">
        <v>1650</v>
      </c>
      <c r="D10" s="5">
        <v>7.4300000000000005E-2</v>
      </c>
    </row>
    <row r="11" spans="1:6" x14ac:dyDescent="0.4">
      <c r="B11" s="9" t="s">
        <v>9</v>
      </c>
      <c r="C11" s="6">
        <v>1650</v>
      </c>
      <c r="D11" s="5">
        <v>8.6900000000000005E-2</v>
      </c>
    </row>
    <row r="13" spans="1:6" x14ac:dyDescent="0.4">
      <c r="C13" s="7" t="s">
        <v>6</v>
      </c>
      <c r="D13" s="7" t="s">
        <v>7</v>
      </c>
      <c r="E13" s="7" t="s">
        <v>8</v>
      </c>
      <c r="F13" s="7" t="s">
        <v>9</v>
      </c>
    </row>
    <row r="14" spans="1:6" x14ac:dyDescent="0.4">
      <c r="B14" s="4">
        <v>2015</v>
      </c>
      <c r="C14" s="8"/>
      <c r="D14" s="8">
        <v>10</v>
      </c>
      <c r="E14" s="8"/>
      <c r="F14" s="8"/>
    </row>
    <row r="15" spans="1:6" x14ac:dyDescent="0.4">
      <c r="B15" s="4">
        <v>2016</v>
      </c>
      <c r="C15" s="8">
        <f>108.365+100</f>
        <v>208.36500000000001</v>
      </c>
      <c r="D15" s="8">
        <f>108.365+100</f>
        <v>208.36500000000001</v>
      </c>
      <c r="E15" s="8">
        <v>208.36500000000001</v>
      </c>
      <c r="F15" s="8">
        <v>208.36500000000001</v>
      </c>
    </row>
    <row r="16" spans="1:6" x14ac:dyDescent="0.4">
      <c r="B16" s="4">
        <v>2017</v>
      </c>
      <c r="C16" s="8">
        <v>132.25</v>
      </c>
      <c r="D16" s="8">
        <v>132.25</v>
      </c>
      <c r="E16" s="8">
        <v>132.25</v>
      </c>
      <c r="F16" s="8">
        <v>132.25</v>
      </c>
    </row>
    <row r="17" spans="2:6" x14ac:dyDescent="0.4">
      <c r="B17" s="4">
        <v>2019</v>
      </c>
      <c r="C17" s="8">
        <v>114.96299999999999</v>
      </c>
      <c r="D17" s="8">
        <v>114.96299999999999</v>
      </c>
      <c r="E17" s="8">
        <v>114.96299999999999</v>
      </c>
      <c r="F17" s="8">
        <v>114.96299999999999</v>
      </c>
    </row>
    <row r="18" spans="2:6" x14ac:dyDescent="0.4">
      <c r="B18" s="4">
        <v>2020</v>
      </c>
      <c r="C18" s="8"/>
      <c r="D18" s="8">
        <v>550</v>
      </c>
      <c r="E18" s="8">
        <v>550</v>
      </c>
      <c r="F18" s="8">
        <v>550</v>
      </c>
    </row>
    <row r="19" spans="2:6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</row>
    <row r="20" spans="2:6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</row>
    <row r="21" spans="2:6" x14ac:dyDescent="0.4">
      <c r="C21" s="12">
        <f>+SUM(C14:C20)</f>
        <v>1100</v>
      </c>
      <c r="D21" s="12">
        <f t="shared" ref="D21:F21" si="0">+SUM(D14:D20)</f>
        <v>1660</v>
      </c>
      <c r="E21" s="12">
        <f t="shared" si="0"/>
        <v>1650</v>
      </c>
      <c r="F21" s="12">
        <f t="shared" si="0"/>
        <v>1650</v>
      </c>
    </row>
    <row r="23" spans="2:6" ht="17.5" x14ac:dyDescent="0.4">
      <c r="B23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F22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x14ac:dyDescent="0.4">
      <c r="C7" s="4" t="s">
        <v>0</v>
      </c>
      <c r="D7" s="4" t="s">
        <v>1</v>
      </c>
    </row>
    <row r="8" spans="1:6" x14ac:dyDescent="0.4">
      <c r="B8" s="9" t="s">
        <v>10</v>
      </c>
      <c r="C8" s="6">
        <f>+C20</f>
        <v>1550</v>
      </c>
      <c r="D8" s="15">
        <v>0.1007</v>
      </c>
    </row>
    <row r="9" spans="1:6" x14ac:dyDescent="0.4">
      <c r="B9" s="9" t="s">
        <v>13</v>
      </c>
      <c r="C9" s="6">
        <f>+D20</f>
        <v>1550</v>
      </c>
      <c r="D9" s="15">
        <v>0.1082</v>
      </c>
    </row>
    <row r="10" spans="1:6" x14ac:dyDescent="0.4">
      <c r="B10" s="9" t="s">
        <v>14</v>
      </c>
      <c r="C10" s="6">
        <f>+E20</f>
        <v>1441.635</v>
      </c>
      <c r="D10" s="15">
        <v>0.1109</v>
      </c>
    </row>
    <row r="11" spans="1:6" x14ac:dyDescent="0.4">
      <c r="B11" s="9" t="s">
        <v>15</v>
      </c>
      <c r="C11" s="10">
        <f>+F20</f>
        <v>1441.635</v>
      </c>
      <c r="D11" s="16">
        <v>9.69E-2</v>
      </c>
    </row>
    <row r="13" spans="1:6" x14ac:dyDescent="0.4">
      <c r="C13" s="7" t="s">
        <v>10</v>
      </c>
      <c r="D13" s="7" t="s">
        <v>13</v>
      </c>
      <c r="E13" s="7" t="s">
        <v>14</v>
      </c>
      <c r="F13" s="7" t="s">
        <v>15</v>
      </c>
    </row>
    <row r="14" spans="1:6" x14ac:dyDescent="0.4">
      <c r="B14" s="4">
        <v>2016</v>
      </c>
      <c r="C14" s="8">
        <v>108.36499999999999</v>
      </c>
      <c r="D14" s="8">
        <v>108.36499999999999</v>
      </c>
      <c r="E14" s="8">
        <v>0</v>
      </c>
      <c r="F14" s="8">
        <v>0</v>
      </c>
    </row>
    <row r="15" spans="1:6" x14ac:dyDescent="0.4">
      <c r="B15" s="4">
        <v>2017</v>
      </c>
      <c r="C15" s="8">
        <v>132.25</v>
      </c>
      <c r="D15" s="8">
        <v>132.25</v>
      </c>
      <c r="E15" s="8">
        <v>132.25</v>
      </c>
      <c r="F15" s="8">
        <v>132.25</v>
      </c>
    </row>
    <row r="16" spans="1:6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</row>
    <row r="17" spans="2:6" x14ac:dyDescent="0.4">
      <c r="B17" s="4">
        <v>2020</v>
      </c>
      <c r="C17" s="8">
        <v>550</v>
      </c>
      <c r="D17" s="8">
        <v>550</v>
      </c>
      <c r="E17" s="8">
        <v>550</v>
      </c>
      <c r="F17" s="8">
        <v>550</v>
      </c>
    </row>
    <row r="18" spans="2:6" x14ac:dyDescent="0.4">
      <c r="B18" s="4">
        <v>2024</v>
      </c>
      <c r="C18" s="8">
        <v>254.31800000000001</v>
      </c>
      <c r="D18" s="8">
        <v>254.31800000000001</v>
      </c>
      <c r="E18" s="8">
        <v>254.31800000000001</v>
      </c>
      <c r="F18" s="8">
        <v>254.31800000000001</v>
      </c>
    </row>
    <row r="19" spans="2:6" x14ac:dyDescent="0.4">
      <c r="B19" s="4">
        <v>2029</v>
      </c>
      <c r="C19" s="8">
        <v>390.10399999999998</v>
      </c>
      <c r="D19" s="8">
        <v>390.10399999999998</v>
      </c>
      <c r="E19" s="8">
        <v>390.10399999999998</v>
      </c>
      <c r="F19" s="8">
        <v>390.10399999999998</v>
      </c>
    </row>
    <row r="20" spans="2:6" x14ac:dyDescent="0.4">
      <c r="C20" s="12">
        <f>+SUM(C14:C19)</f>
        <v>1550</v>
      </c>
      <c r="D20" s="12">
        <f>+SUM(D14:D19)</f>
        <v>1550</v>
      </c>
      <c r="E20" s="12">
        <f>+SUM(E14:E19)</f>
        <v>1441.635</v>
      </c>
      <c r="F20" s="12">
        <f>+SUM(F14:F19)</f>
        <v>1441.635</v>
      </c>
    </row>
    <row r="22" spans="2:6" ht="17.5" x14ac:dyDescent="0.4">
      <c r="B22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23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19</v>
      </c>
      <c r="C8" s="6">
        <f>+C21</f>
        <v>1576.655580783</v>
      </c>
      <c r="D8" s="15">
        <v>8.9399999999999993E-2</v>
      </c>
    </row>
    <row r="9" spans="1:7" x14ac:dyDescent="0.4">
      <c r="B9" s="9" t="s">
        <v>20</v>
      </c>
      <c r="C9" s="6">
        <f>1761636.55497/1000</f>
        <v>1761.6365549699999</v>
      </c>
      <c r="D9" s="15">
        <v>7.8977997273628198E-2</v>
      </c>
    </row>
    <row r="10" spans="1:7" x14ac:dyDescent="0.4">
      <c r="B10" s="9" t="s">
        <v>21</v>
      </c>
      <c r="C10" s="6">
        <f>1567385/1000</f>
        <v>1567.385</v>
      </c>
      <c r="D10" s="15">
        <v>7.3400000000000007E-2</v>
      </c>
    </row>
    <row r="11" spans="1:7" x14ac:dyDescent="0.4">
      <c r="B11" s="9" t="s">
        <v>22</v>
      </c>
      <c r="C11" s="10">
        <f>+F21</f>
        <v>1567.385</v>
      </c>
      <c r="D11" s="16">
        <v>7.3004911074136425E-2</v>
      </c>
    </row>
    <row r="13" spans="1:7" x14ac:dyDescent="0.4">
      <c r="C13" s="7" t="s">
        <v>19</v>
      </c>
      <c r="D13" s="7" t="s">
        <v>20</v>
      </c>
      <c r="E13" s="7" t="s">
        <v>21</v>
      </c>
      <c r="F13" s="7" t="s">
        <v>22</v>
      </c>
    </row>
    <row r="14" spans="1:7" x14ac:dyDescent="0.4">
      <c r="B14" s="4">
        <v>2017</v>
      </c>
      <c r="C14" s="8">
        <v>162.27058078300001</v>
      </c>
      <c r="D14" s="8">
        <v>137.25155497</v>
      </c>
      <c r="E14" s="8"/>
      <c r="F14" s="8"/>
      <c r="G14" s="17"/>
    </row>
    <row r="15" spans="1:7" x14ac:dyDescent="0.4">
      <c r="B15" s="4">
        <f>+B14+1</f>
        <v>2018</v>
      </c>
      <c r="C15" s="8">
        <v>105</v>
      </c>
      <c r="D15" s="8">
        <v>315</v>
      </c>
      <c r="E15" s="8">
        <v>350</v>
      </c>
      <c r="F15" s="8">
        <v>350</v>
      </c>
      <c r="G15" s="17"/>
    </row>
    <row r="16" spans="1:7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  <c r="G16" s="17"/>
    </row>
    <row r="17" spans="2:7" x14ac:dyDescent="0.4">
      <c r="B17" s="4">
        <v>2020</v>
      </c>
      <c r="C17" s="8">
        <v>550</v>
      </c>
      <c r="D17" s="8">
        <v>550</v>
      </c>
      <c r="E17" s="8">
        <v>273</v>
      </c>
      <c r="F17" s="8">
        <v>273</v>
      </c>
      <c r="G17" s="17"/>
    </row>
    <row r="18" spans="2:7" x14ac:dyDescent="0.4">
      <c r="B18" s="4">
        <v>2021</v>
      </c>
      <c r="C18" s="8">
        <v>0</v>
      </c>
      <c r="D18" s="8">
        <v>0</v>
      </c>
      <c r="E18" s="8">
        <v>185</v>
      </c>
      <c r="F18" s="8">
        <v>185</v>
      </c>
      <c r="G18" s="17"/>
    </row>
    <row r="19" spans="2:7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  <c r="G19" s="17"/>
    </row>
    <row r="20" spans="2:7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  <c r="G20" s="17"/>
    </row>
    <row r="21" spans="2:7" x14ac:dyDescent="0.4">
      <c r="C21" s="12">
        <f>+SUM(C14:C20)</f>
        <v>1576.655580783</v>
      </c>
      <c r="D21" s="12">
        <f>+SUM(D14:D20)</f>
        <v>1761.6365549699999</v>
      </c>
      <c r="E21" s="12">
        <f>+SUM(E14:E20)</f>
        <v>1567.385</v>
      </c>
      <c r="F21" s="12">
        <f>+SUM(F14:F20)</f>
        <v>1567.385</v>
      </c>
    </row>
    <row r="23" spans="2:7" ht="17.5" x14ac:dyDescent="0.4">
      <c r="B23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G24"/>
  <sheetViews>
    <sheetView showGridLines="0" topLeftCell="A4" workbookViewId="0">
      <selection activeCell="F10" sqref="F1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23</v>
      </c>
      <c r="C8" s="6">
        <f>1847385000000/1000000000</f>
        <v>1847.385</v>
      </c>
      <c r="D8" s="15">
        <v>6.7976713166680858E-2</v>
      </c>
    </row>
    <row r="9" spans="1:7" x14ac:dyDescent="0.4">
      <c r="B9" s="9" t="s">
        <v>24</v>
      </c>
      <c r="C9" s="6">
        <f>1771694009266/1000000000</f>
        <v>1771.694009266</v>
      </c>
      <c r="D9" s="15">
        <v>6.5824897897388102E-2</v>
      </c>
    </row>
    <row r="10" spans="1:7" x14ac:dyDescent="0.4">
      <c r="B10" s="9" t="s">
        <v>25</v>
      </c>
      <c r="C10" s="6">
        <f>1731514050847/1000000000</f>
        <v>1731.5140508469999</v>
      </c>
      <c r="D10" s="15">
        <v>6.7286168095363585E-2</v>
      </c>
    </row>
    <row r="11" spans="1:7" x14ac:dyDescent="0.4">
      <c r="B11" s="9" t="s">
        <v>26</v>
      </c>
      <c r="C11" s="10">
        <f>1611128060000/1000000000</f>
        <v>1611.12806</v>
      </c>
      <c r="D11" s="16">
        <v>6.7703848809193889E-2</v>
      </c>
    </row>
    <row r="13" spans="1:7" x14ac:dyDescent="0.4">
      <c r="C13" s="7" t="s">
        <v>23</v>
      </c>
      <c r="D13" s="7" t="s">
        <v>24</v>
      </c>
      <c r="E13" s="7" t="s">
        <v>25</v>
      </c>
      <c r="F13" s="7" t="s">
        <v>26</v>
      </c>
    </row>
    <row r="14" spans="1:7" x14ac:dyDescent="0.4">
      <c r="B14" s="4">
        <v>2018</v>
      </c>
      <c r="C14" s="14">
        <v>350</v>
      </c>
      <c r="D14" s="14">
        <v>274.30900926599998</v>
      </c>
      <c r="E14" s="14">
        <v>234</v>
      </c>
      <c r="F14" s="14"/>
      <c r="G14" s="17"/>
    </row>
    <row r="15" spans="1:7" x14ac:dyDescent="0.4">
      <c r="B15" s="4">
        <f>+B14+1</f>
        <v>2019</v>
      </c>
      <c r="C15" s="14">
        <v>114.96299999999999</v>
      </c>
      <c r="D15" s="14">
        <v>114.96299999999999</v>
      </c>
      <c r="E15" s="14">
        <v>115</v>
      </c>
      <c r="F15" s="14">
        <v>228.70605999999998</v>
      </c>
      <c r="G15" s="17"/>
    </row>
    <row r="16" spans="1:7" x14ac:dyDescent="0.4">
      <c r="B16" s="4">
        <f t="shared" ref="B16:B20" si="0">+B15+1</f>
        <v>2020</v>
      </c>
      <c r="C16" s="14">
        <v>93</v>
      </c>
      <c r="D16" s="14">
        <v>93</v>
      </c>
      <c r="E16" s="14">
        <v>93</v>
      </c>
      <c r="F16" s="14">
        <v>93</v>
      </c>
      <c r="G16" s="17"/>
    </row>
    <row r="17" spans="2:7" x14ac:dyDescent="0.4">
      <c r="B17" s="4">
        <f t="shared" si="0"/>
        <v>2021</v>
      </c>
      <c r="C17" s="14">
        <v>300</v>
      </c>
      <c r="D17" s="14">
        <v>357.5</v>
      </c>
      <c r="E17" s="14">
        <v>358</v>
      </c>
      <c r="F17" s="14">
        <v>357.5</v>
      </c>
      <c r="G17" s="17"/>
    </row>
    <row r="18" spans="2:7" x14ac:dyDescent="0.4">
      <c r="B18" s="4">
        <f t="shared" si="0"/>
        <v>2022</v>
      </c>
      <c r="C18" s="14">
        <v>230</v>
      </c>
      <c r="D18" s="14">
        <v>230</v>
      </c>
      <c r="E18" s="14">
        <v>230</v>
      </c>
      <c r="F18" s="14">
        <v>230</v>
      </c>
      <c r="G18" s="17"/>
    </row>
    <row r="19" spans="2:7" x14ac:dyDescent="0.4">
      <c r="B19" s="4">
        <f t="shared" si="0"/>
        <v>2023</v>
      </c>
      <c r="C19" s="14">
        <v>115</v>
      </c>
      <c r="D19" s="14">
        <v>57.5</v>
      </c>
      <c r="E19" s="14">
        <v>58</v>
      </c>
      <c r="F19" s="14">
        <v>57.5</v>
      </c>
      <c r="G19" s="17"/>
    </row>
    <row r="20" spans="2:7" x14ac:dyDescent="0.4">
      <c r="B20" s="4">
        <f t="shared" si="0"/>
        <v>2024</v>
      </c>
      <c r="C20" s="14">
        <v>254.31800000000001</v>
      </c>
      <c r="D20" s="14">
        <v>254.31800000000001</v>
      </c>
      <c r="E20" s="14">
        <v>254</v>
      </c>
      <c r="F20" s="14">
        <v>254.31800000000001</v>
      </c>
      <c r="G20" s="17"/>
    </row>
    <row r="21" spans="2:7" x14ac:dyDescent="0.4">
      <c r="B21" s="4">
        <v>2029</v>
      </c>
      <c r="C21" s="14">
        <v>390.10399999999998</v>
      </c>
      <c r="D21" s="14">
        <v>390.10399999999998</v>
      </c>
      <c r="E21" s="14">
        <v>390.10399999999998</v>
      </c>
      <c r="F21" s="14">
        <v>390.10399999999998</v>
      </c>
      <c r="G21" s="17"/>
    </row>
    <row r="22" spans="2:7" x14ac:dyDescent="0.4">
      <c r="C22" s="12">
        <f>+SUM(C14:C21)</f>
        <v>1847.385</v>
      </c>
      <c r="D22" s="12">
        <f>+SUM(D14:D21)</f>
        <v>1771.694009266</v>
      </c>
      <c r="E22" s="12">
        <f>+SUM(E14:E21)</f>
        <v>1732.104</v>
      </c>
      <c r="F22" s="12">
        <f>+SUM(F14:F21)</f>
        <v>1611.12806</v>
      </c>
    </row>
    <row r="24" spans="2:7" ht="17.5" x14ac:dyDescent="0.4">
      <c r="B24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D8B7-5FB5-4EAF-AD19-885CE01F6E21}">
  <dimension ref="A5:G25"/>
  <sheetViews>
    <sheetView showGridLines="0" workbookViewId="0">
      <selection activeCell="J22" sqref="J22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tr">
        <f>+C13</f>
        <v>1T-2019</v>
      </c>
      <c r="C8" s="18">
        <f>1544761510768.2/1000000000</f>
        <v>1544.7615107682</v>
      </c>
      <c r="D8" s="15">
        <v>6.7000000000000004E-2</v>
      </c>
    </row>
    <row r="9" spans="1:7" x14ac:dyDescent="0.4">
      <c r="B9" s="9" t="str">
        <f>+D13</f>
        <v>2T-2019</v>
      </c>
      <c r="C9" s="18">
        <v>1493.7984836967601</v>
      </c>
      <c r="D9" s="15">
        <v>6.8000000000000005E-2</v>
      </c>
    </row>
    <row r="10" spans="1:7" x14ac:dyDescent="0.4">
      <c r="B10" s="9" t="str">
        <f>+E13</f>
        <v>3T-2019</v>
      </c>
      <c r="C10" s="18">
        <f>1582122000000/1000000000</f>
        <v>1582.1220000000001</v>
      </c>
      <c r="D10" s="15">
        <v>7.0000000000000007E-2</v>
      </c>
    </row>
    <row r="11" spans="1:7" x14ac:dyDescent="0.4">
      <c r="B11" s="9" t="str">
        <f>+F13</f>
        <v>4T-2019</v>
      </c>
      <c r="C11" s="21">
        <v>1592.1220000000001</v>
      </c>
      <c r="D11" s="16">
        <v>7.0000000000000007E-2</v>
      </c>
    </row>
    <row r="13" spans="1:7" x14ac:dyDescent="0.4">
      <c r="C13" s="7" t="s">
        <v>27</v>
      </c>
      <c r="D13" s="7" t="s">
        <v>28</v>
      </c>
      <c r="E13" s="7" t="s">
        <v>29</v>
      </c>
      <c r="F13" s="7" t="s">
        <v>30</v>
      </c>
    </row>
    <row r="14" spans="1:7" x14ac:dyDescent="0.4">
      <c r="B14" s="4">
        <v>2019</v>
      </c>
      <c r="C14" s="20">
        <v>242.3395107682</v>
      </c>
      <c r="D14" s="20">
        <v>230.87648369675998</v>
      </c>
      <c r="E14" s="20"/>
      <c r="F14" s="14"/>
      <c r="G14" s="17"/>
    </row>
    <row r="15" spans="1:7" x14ac:dyDescent="0.4">
      <c r="B15" s="4">
        <f t="shared" ref="B15:B20" si="0">+B14+1</f>
        <v>2020</v>
      </c>
      <c r="C15" s="20">
        <v>0</v>
      </c>
      <c r="D15" s="20">
        <v>0</v>
      </c>
      <c r="E15" s="20"/>
      <c r="F15" s="14"/>
      <c r="G15" s="17"/>
    </row>
    <row r="16" spans="1:7" x14ac:dyDescent="0.4">
      <c r="B16" s="4">
        <f t="shared" si="0"/>
        <v>2021</v>
      </c>
      <c r="C16" s="20">
        <v>92.5</v>
      </c>
      <c r="D16" s="20">
        <v>92.5</v>
      </c>
      <c r="E16" s="20"/>
      <c r="F16" s="14"/>
      <c r="G16" s="17"/>
    </row>
    <row r="17" spans="2:7" x14ac:dyDescent="0.4">
      <c r="B17" s="4">
        <f t="shared" si="0"/>
        <v>2022</v>
      </c>
      <c r="C17" s="20">
        <v>243</v>
      </c>
      <c r="D17" s="20">
        <v>210</v>
      </c>
      <c r="E17" s="20">
        <v>296</v>
      </c>
      <c r="F17" s="20">
        <v>315.5</v>
      </c>
      <c r="G17" s="17"/>
    </row>
    <row r="18" spans="2:7" x14ac:dyDescent="0.4">
      <c r="B18" s="4">
        <f t="shared" si="0"/>
        <v>2023</v>
      </c>
      <c r="C18" s="20">
        <v>322.5</v>
      </c>
      <c r="D18" s="20">
        <v>316</v>
      </c>
      <c r="E18" s="20">
        <v>315.2</v>
      </c>
      <c r="F18" s="20">
        <v>305.7</v>
      </c>
      <c r="G18" s="17"/>
    </row>
    <row r="19" spans="2:7" x14ac:dyDescent="0.4">
      <c r="B19" s="4">
        <f t="shared" si="0"/>
        <v>2024</v>
      </c>
      <c r="C19" s="20">
        <v>254.31800000000001</v>
      </c>
      <c r="D19" s="20">
        <v>254.31800000000001</v>
      </c>
      <c r="E19" s="20">
        <v>254.31800000000001</v>
      </c>
      <c r="F19" s="20">
        <v>254.31800000000001</v>
      </c>
      <c r="G19" s="17"/>
    </row>
    <row r="20" spans="2:7" x14ac:dyDescent="0.4">
      <c r="B20" s="4">
        <f t="shared" si="0"/>
        <v>2025</v>
      </c>
      <c r="C20" s="20"/>
      <c r="D20" s="20"/>
      <c r="E20" s="20">
        <v>157.965</v>
      </c>
      <c r="F20" s="20">
        <v>157.965</v>
      </c>
      <c r="G20" s="17"/>
    </row>
    <row r="21" spans="2:7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</row>
    <row r="22" spans="2:7" x14ac:dyDescent="0.4">
      <c r="B22" s="4">
        <v>2034</v>
      </c>
      <c r="C22" s="20"/>
      <c r="D22" s="20"/>
      <c r="E22" s="20">
        <v>168.535</v>
      </c>
      <c r="F22" s="20">
        <v>168.535</v>
      </c>
      <c r="G22" s="17"/>
    </row>
    <row r="23" spans="2:7" x14ac:dyDescent="0.4">
      <c r="C23" s="19">
        <f>+SUM(C14:C21)</f>
        <v>1544.7615107682</v>
      </c>
      <c r="D23" s="19">
        <f>+SUM(D14:D21)</f>
        <v>1493.7984836967601</v>
      </c>
      <c r="E23" s="19">
        <f>+SUM(E14:E22)</f>
        <v>1582.1220000000001</v>
      </c>
      <c r="F23" s="19">
        <f>+SUM(F14:F22)</f>
        <v>1592.1220000000001</v>
      </c>
    </row>
    <row r="25" spans="2:7" ht="17.5" x14ac:dyDescent="0.4">
      <c r="B25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2447-5947-40B1-9A7D-00C7DBCB27E7}">
  <dimension ref="A5:K27"/>
  <sheetViews>
    <sheetView showGridLines="0" workbookViewId="0">
      <selection activeCell="E34" sqref="E34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1T-2020</v>
      </c>
      <c r="C8" s="18">
        <f>1717122000000/1000000000</f>
        <v>1717.1220000000001</v>
      </c>
      <c r="D8" s="15">
        <v>7.0131372121719382E-2</v>
      </c>
    </row>
    <row r="9" spans="1:11" x14ac:dyDescent="0.4">
      <c r="B9" s="9" t="str">
        <f>+D13</f>
        <v>2T-2020</v>
      </c>
      <c r="C9" s="18">
        <f>1742122000000/1000000000</f>
        <v>1742.1220000000001</v>
      </c>
      <c r="D9" s="15">
        <v>5.6345724155181687E-2</v>
      </c>
    </row>
    <row r="10" spans="1:11" x14ac:dyDescent="0.4">
      <c r="B10" s="9" t="str">
        <f>+E13</f>
        <v>3T-2020</v>
      </c>
      <c r="C10" s="18">
        <f>1742122000000/1000000000</f>
        <v>1742.1220000000001</v>
      </c>
      <c r="D10" s="15">
        <v>5.0371493649661314E-2</v>
      </c>
    </row>
    <row r="11" spans="1:11" x14ac:dyDescent="0.4">
      <c r="B11" s="9" t="str">
        <f>+F13</f>
        <v>4T-2020</v>
      </c>
      <c r="C11" s="18">
        <f>1593622000000/1000000000</f>
        <v>1593.6220000000001</v>
      </c>
      <c r="D11" s="16">
        <v>4.8207579202963036E-2</v>
      </c>
    </row>
    <row r="13" spans="1:11" x14ac:dyDescent="0.4">
      <c r="C13" s="7" t="s">
        <v>31</v>
      </c>
      <c r="D13" s="7" t="s">
        <v>32</v>
      </c>
      <c r="E13" s="7" t="s">
        <v>33</v>
      </c>
      <c r="F13" s="7" t="s">
        <v>34</v>
      </c>
    </row>
    <row r="14" spans="1:11" x14ac:dyDescent="0.4">
      <c r="B14" s="4">
        <v>2020</v>
      </c>
      <c r="C14" s="20">
        <v>0</v>
      </c>
      <c r="D14" s="20">
        <v>0</v>
      </c>
      <c r="E14" s="20"/>
      <c r="F14" s="14"/>
      <c r="G14" s="17"/>
    </row>
    <row r="15" spans="1:11" x14ac:dyDescent="0.4">
      <c r="B15" s="4">
        <f>+B14+1</f>
        <v>2021</v>
      </c>
      <c r="C15" s="20">
        <v>0</v>
      </c>
      <c r="D15" s="20">
        <v>0</v>
      </c>
      <c r="E15" s="20"/>
      <c r="F15" s="14"/>
      <c r="G15" s="17"/>
      <c r="J15" s="22"/>
      <c r="K15" s="24"/>
    </row>
    <row r="16" spans="1:11" x14ac:dyDescent="0.4">
      <c r="B16" s="4">
        <f t="shared" ref="B16:B19" si="0">+B15+1</f>
        <v>2022</v>
      </c>
      <c r="C16" s="20">
        <v>370.5</v>
      </c>
      <c r="D16" s="20">
        <v>335.5</v>
      </c>
      <c r="E16" s="20">
        <v>295.5</v>
      </c>
      <c r="F16" s="20">
        <v>123.5</v>
      </c>
      <c r="G16" s="17"/>
      <c r="J16" s="22"/>
      <c r="K16" s="24"/>
    </row>
    <row r="17" spans="2:11" x14ac:dyDescent="0.4">
      <c r="B17" s="4">
        <f t="shared" si="0"/>
        <v>2023</v>
      </c>
      <c r="C17" s="20">
        <v>375.7</v>
      </c>
      <c r="D17" s="20">
        <v>435.7</v>
      </c>
      <c r="E17" s="20">
        <v>475.7</v>
      </c>
      <c r="F17" s="20"/>
      <c r="G17" s="17"/>
      <c r="J17" s="22"/>
      <c r="K17" s="24"/>
    </row>
    <row r="18" spans="2:11" x14ac:dyDescent="0.4">
      <c r="B18" s="4">
        <f t="shared" si="0"/>
        <v>2024</v>
      </c>
      <c r="C18" s="20">
        <v>254.31800000000001</v>
      </c>
      <c r="D18" s="20">
        <v>254.31800000000001</v>
      </c>
      <c r="E18" s="20">
        <v>254.31800000000001</v>
      </c>
      <c r="F18" s="20">
        <v>411.31799999999998</v>
      </c>
      <c r="G18" s="17"/>
      <c r="J18" s="22"/>
      <c r="K18" s="24"/>
    </row>
    <row r="19" spans="2:11" x14ac:dyDescent="0.4">
      <c r="B19" s="4">
        <f t="shared" si="0"/>
        <v>2025</v>
      </c>
      <c r="C19" s="20">
        <v>157.965</v>
      </c>
      <c r="D19" s="20">
        <v>157.965</v>
      </c>
      <c r="E19" s="20">
        <v>157.965</v>
      </c>
      <c r="F19" s="20">
        <v>363.66499999999996</v>
      </c>
      <c r="G19" s="17"/>
      <c r="J19" s="22"/>
      <c r="K19" s="24"/>
    </row>
    <row r="20" spans="2:11" x14ac:dyDescent="0.4">
      <c r="B20" s="4">
        <f>+B19+2</f>
        <v>2027</v>
      </c>
      <c r="C20" s="20">
        <v>0</v>
      </c>
      <c r="D20" s="20">
        <v>0</v>
      </c>
      <c r="E20" s="20">
        <v>0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1717.1220000000001</v>
      </c>
      <c r="D23" s="19">
        <f t="shared" ref="D23:F23" si="1">+SUM(D14:D22)</f>
        <v>1742.1220000000001</v>
      </c>
      <c r="E23" s="19">
        <f t="shared" si="1"/>
        <v>1742.1220000000001</v>
      </c>
      <c r="F23" s="19">
        <f t="shared" si="1"/>
        <v>1203.518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2B5B-B28A-4FF7-970E-A9DC933C4AF0}">
  <dimension ref="A5:K27"/>
  <sheetViews>
    <sheetView showGridLines="0" workbookViewId="0">
      <selection activeCell="E8" sqref="E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1T-2021</v>
      </c>
      <c r="C8" s="18">
        <v>1599.1690000000001</v>
      </c>
      <c r="D8" s="15">
        <v>4.7366960554869886E-2</v>
      </c>
    </row>
    <row r="9" spans="1:11" x14ac:dyDescent="0.4">
      <c r="B9" s="9" t="str">
        <f>+D13</f>
        <v>2T-2021</v>
      </c>
      <c r="C9" s="18">
        <f>1724315000000/1000000000</f>
        <v>1724.3150000000001</v>
      </c>
      <c r="D9" s="15">
        <v>5.2874925886083224E-2</v>
      </c>
    </row>
    <row r="10" spans="1:11" x14ac:dyDescent="0.4">
      <c r="B10" s="9" t="str">
        <f>+E13</f>
        <v>3T-2021</v>
      </c>
      <c r="C10" s="18">
        <f>1644689565926.5/1000000000</f>
        <v>1644.6895659265001</v>
      </c>
      <c r="D10" s="15">
        <v>6.2336862284366745E-2</v>
      </c>
    </row>
    <row r="11" spans="1:11" x14ac:dyDescent="0.4">
      <c r="B11" s="9" t="str">
        <f>+F13</f>
        <v>4T-2021</v>
      </c>
      <c r="C11" s="18">
        <f>1474622.000001/1000</f>
        <v>1474.6220000010001</v>
      </c>
      <c r="D11" s="16">
        <v>6.9607627647441328E-2</v>
      </c>
    </row>
    <row r="13" spans="1:11" x14ac:dyDescent="0.4">
      <c r="C13" s="7" t="s">
        <v>36</v>
      </c>
      <c r="D13" s="7" t="s">
        <v>37</v>
      </c>
      <c r="E13" s="7" t="s">
        <v>38</v>
      </c>
      <c r="F13" s="7" t="s">
        <v>39</v>
      </c>
    </row>
    <row r="14" spans="1:11" x14ac:dyDescent="0.4">
      <c r="B14" s="4">
        <v>2021</v>
      </c>
      <c r="C14" s="20">
        <v>5.5469999999999997</v>
      </c>
      <c r="D14" s="20">
        <v>130.69300000000001</v>
      </c>
      <c r="E14" s="20">
        <v>51.067565926500002</v>
      </c>
      <c r="F14" s="14"/>
      <c r="G14" s="17"/>
      <c r="J14" s="22"/>
      <c r="K14" s="24"/>
    </row>
    <row r="15" spans="1:11" x14ac:dyDescent="0.4">
      <c r="B15" s="4">
        <f t="shared" ref="B15:B19" si="0">+B14+1</f>
        <v>2022</v>
      </c>
      <c r="C15" s="20">
        <v>123.5</v>
      </c>
      <c r="D15" s="20">
        <v>123.5</v>
      </c>
      <c r="E15" s="20">
        <v>123.5</v>
      </c>
      <c r="F15" s="20">
        <v>92</v>
      </c>
      <c r="G15" s="17"/>
      <c r="J15" s="22"/>
      <c r="K15" s="24"/>
    </row>
    <row r="16" spans="1:11" x14ac:dyDescent="0.4">
      <c r="B16" s="4">
        <f t="shared" si="0"/>
        <v>2023</v>
      </c>
      <c r="C16" s="20">
        <v>0</v>
      </c>
      <c r="D16" s="20">
        <v>0</v>
      </c>
      <c r="E16" s="20">
        <v>0</v>
      </c>
      <c r="F16" s="20"/>
      <c r="G16" s="17"/>
      <c r="J16" s="22"/>
      <c r="K16" s="24"/>
    </row>
    <row r="17" spans="2:11" x14ac:dyDescent="0.4">
      <c r="B17" s="4">
        <f t="shared" si="0"/>
        <v>2024</v>
      </c>
      <c r="C17" s="20">
        <v>411.31799999999998</v>
      </c>
      <c r="D17" s="20">
        <v>278.69299999999998</v>
      </c>
      <c r="E17" s="20">
        <v>278.69299999999998</v>
      </c>
      <c r="F17" s="20">
        <v>230.56800000000001</v>
      </c>
      <c r="G17" s="27"/>
      <c r="J17" s="22"/>
      <c r="K17" s="24"/>
    </row>
    <row r="18" spans="2:11" x14ac:dyDescent="0.4">
      <c r="B18" s="4">
        <f t="shared" si="0"/>
        <v>2025</v>
      </c>
      <c r="C18" s="20">
        <v>363.66499999999996</v>
      </c>
      <c r="D18" s="20">
        <v>393.44</v>
      </c>
      <c r="E18" s="20">
        <v>393.44</v>
      </c>
      <c r="F18" s="20">
        <v>354.065</v>
      </c>
      <c r="G18" s="27"/>
      <c r="J18" s="22"/>
      <c r="K18" s="24"/>
    </row>
    <row r="19" spans="2:11" x14ac:dyDescent="0.4">
      <c r="B19" s="4">
        <f t="shared" si="0"/>
        <v>2026</v>
      </c>
      <c r="C19" s="20">
        <v>0</v>
      </c>
      <c r="D19" s="20">
        <v>102.85</v>
      </c>
      <c r="E19" s="20">
        <v>102.85</v>
      </c>
      <c r="F19" s="20">
        <v>102.85</v>
      </c>
      <c r="G19" s="17"/>
      <c r="J19" s="22"/>
      <c r="K19" s="24"/>
    </row>
    <row r="20" spans="2:11" x14ac:dyDescent="0.4">
      <c r="B20" s="4">
        <f>+B18+2</f>
        <v>2027</v>
      </c>
      <c r="C20" s="20">
        <v>136.5</v>
      </c>
      <c r="D20" s="20">
        <v>136.5</v>
      </c>
      <c r="E20" s="20">
        <v>136.5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1599.1690000000001</v>
      </c>
      <c r="D23" s="19">
        <f>+SUM(D14:D22)</f>
        <v>1724.3150000000001</v>
      </c>
      <c r="E23" s="19">
        <f>+SUM(E14:E22)</f>
        <v>1644.6895659265001</v>
      </c>
      <c r="F23" s="19">
        <f>+SUM(F14:F22)</f>
        <v>1474.6220000000001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F26" s="26"/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77DF-521B-4023-AB16-5CBDE3598A17}">
  <dimension ref="A5:K26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1T-2022</v>
      </c>
      <c r="C8" s="18">
        <v>1468.8310399426498</v>
      </c>
      <c r="D8" s="15">
        <v>8.1437762109673129E-2</v>
      </c>
    </row>
    <row r="9" spans="1:11" x14ac:dyDescent="0.4">
      <c r="B9" s="9" t="str">
        <f>+D13</f>
        <v>2T-2022</v>
      </c>
      <c r="C9" s="18">
        <v>1432.6220000000001</v>
      </c>
      <c r="D9" s="15">
        <v>9.8885895257428302E-2</v>
      </c>
    </row>
    <row r="10" spans="1:11" x14ac:dyDescent="0.4">
      <c r="B10" s="9" t="str">
        <f>+E13</f>
        <v>3T-2022</v>
      </c>
      <c r="C10" s="18">
        <f>1381477978376/1000000000</f>
        <v>1381.477978376</v>
      </c>
      <c r="D10" s="15">
        <v>0.10541144404980707</v>
      </c>
    </row>
    <row r="11" spans="1:11" x14ac:dyDescent="0.4">
      <c r="B11" s="9" t="str">
        <f>+F13</f>
        <v>4T-2022</v>
      </c>
      <c r="C11" s="18">
        <f>1380122000000/1000000000</f>
        <v>1380.1220000000001</v>
      </c>
      <c r="D11" s="15">
        <v>0.11972861500285048</v>
      </c>
    </row>
    <row r="13" spans="1:11" x14ac:dyDescent="0.4">
      <c r="C13" s="7" t="s">
        <v>40</v>
      </c>
      <c r="D13" s="7" t="s">
        <v>41</v>
      </c>
      <c r="E13" s="7" t="s">
        <v>42</v>
      </c>
      <c r="F13" s="7" t="s">
        <v>43</v>
      </c>
    </row>
    <row r="14" spans="1:11" x14ac:dyDescent="0.4">
      <c r="B14" s="4">
        <v>2022</v>
      </c>
      <c r="C14" s="20">
        <v>86.209039942650008</v>
      </c>
      <c r="D14" s="20">
        <v>50</v>
      </c>
      <c r="E14" s="20">
        <v>1.3559783759999999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2023</v>
      </c>
      <c r="C15" s="20">
        <v>0</v>
      </c>
      <c r="D15" s="20">
        <v>0</v>
      </c>
      <c r="E15" s="20">
        <v>0</v>
      </c>
      <c r="F15" s="20">
        <v>0</v>
      </c>
      <c r="G15" s="17"/>
      <c r="J15" s="22"/>
      <c r="K15" s="24"/>
    </row>
    <row r="16" spans="1:11" x14ac:dyDescent="0.4">
      <c r="B16" s="4">
        <f t="shared" si="0"/>
        <v>2024</v>
      </c>
      <c r="C16" s="20">
        <v>230.56800000000001</v>
      </c>
      <c r="D16" s="20">
        <v>230.56800000000001</v>
      </c>
      <c r="E16" s="20">
        <v>228.06800000000001</v>
      </c>
      <c r="F16" s="20">
        <v>228.06800000000001</v>
      </c>
      <c r="G16" s="27"/>
      <c r="J16" s="22"/>
      <c r="K16" s="24"/>
    </row>
    <row r="17" spans="2:11" x14ac:dyDescent="0.4">
      <c r="B17" s="4">
        <f t="shared" si="0"/>
        <v>2025</v>
      </c>
      <c r="C17" s="20">
        <v>354.065</v>
      </c>
      <c r="D17" s="20">
        <v>354.065</v>
      </c>
      <c r="E17" s="20">
        <v>354.065</v>
      </c>
      <c r="F17" s="20">
        <v>354.065</v>
      </c>
      <c r="G17" s="27"/>
      <c r="J17" s="22"/>
      <c r="K17" s="24"/>
    </row>
    <row r="18" spans="2:11" x14ac:dyDescent="0.4">
      <c r="B18" s="4">
        <f t="shared" si="0"/>
        <v>2026</v>
      </c>
      <c r="C18" s="20">
        <v>102.85</v>
      </c>
      <c r="D18" s="20">
        <v>102.85</v>
      </c>
      <c r="E18" s="20">
        <v>102.85</v>
      </c>
      <c r="F18" s="20">
        <v>102.85</v>
      </c>
      <c r="G18" s="17"/>
      <c r="J18" s="22"/>
      <c r="K18" s="24"/>
    </row>
    <row r="19" spans="2:11" x14ac:dyDescent="0.4">
      <c r="B19" s="4">
        <f>+B17+2</f>
        <v>2027</v>
      </c>
      <c r="C19" s="20">
        <v>136.5</v>
      </c>
      <c r="D19" s="20">
        <v>136.5</v>
      </c>
      <c r="E19" s="20">
        <v>136.5</v>
      </c>
      <c r="F19" s="20">
        <v>136.5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2034</v>
      </c>
      <c r="C21" s="20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1468.83103994265</v>
      </c>
      <c r="D22" s="19">
        <f>+SUM(D14:D21)</f>
        <v>1432.6220000000001</v>
      </c>
      <c r="E22" s="19">
        <f>+SUM(E14:E21)</f>
        <v>1381.477978376</v>
      </c>
      <c r="F22" s="19">
        <f>+SUM(F14:F21)</f>
        <v>1380.1220000000001</v>
      </c>
      <c r="J22" s="23"/>
      <c r="K22" s="24"/>
    </row>
    <row r="23" spans="2:11" ht="10.5" customHeight="1" x14ac:dyDescent="0.4">
      <c r="C23" s="28">
        <f>+C22-C8</f>
        <v>0</v>
      </c>
      <c r="D23" s="28">
        <f>+D22-C9</f>
        <v>0</v>
      </c>
      <c r="E23" s="28">
        <f>+E22-C10</f>
        <v>0</v>
      </c>
      <c r="F23" s="28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2015-11-18T00:35:36Z</dcterms:created>
  <dcterms:modified xsi:type="dcterms:W3CDTF">2025-11-06T13:36:24Z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{39E86051-5271-41DB-9A83-F1463EA0ACBC}</vt:lpwstr>
  </property>
</Properties>
</file>